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3"/>
    <sheet state="visible" name="Updates" sheetId="2" r:id="rId4"/>
    <sheet state="visible" name="83-87" sheetId="3" r:id="rId5"/>
    <sheet state="visible" name="1988" sheetId="4" r:id="rId6"/>
    <sheet state="visible" name="1989" sheetId="5" r:id="rId7"/>
    <sheet state="visible" name="1990" sheetId="6" r:id="rId8"/>
    <sheet state="visible" name="1991" sheetId="7" r:id="rId9"/>
    <sheet state="visible" name="1992" sheetId="8" r:id="rId10"/>
    <sheet state="visible" name="1993" sheetId="9" r:id="rId11"/>
    <sheet state="visible" name="1994" sheetId="10" r:id="rId12"/>
    <sheet state="visible" name="1995" sheetId="11" r:id="rId13"/>
    <sheet state="visible" name="1996" sheetId="12" r:id="rId14"/>
    <sheet state="visible" name="1997" sheetId="13" r:id="rId15"/>
    <sheet state="visible" name="1998" sheetId="14" r:id="rId16"/>
    <sheet state="visible" name="1999" sheetId="15" r:id="rId17"/>
    <sheet state="visible" name="2000" sheetId="16" r:id="rId18"/>
    <sheet state="visible" name="2002" sheetId="17" r:id="rId19"/>
    <sheet state="visible" name="2003" sheetId="18" r:id="rId20"/>
    <sheet state="visible" name="2004" sheetId="19" r:id="rId21"/>
    <sheet state="visible" name="2008" sheetId="20" r:id="rId22"/>
    <sheet state="visible" name="2009" sheetId="21" r:id="rId23"/>
    <sheet state="visible" name="2010" sheetId="22" r:id="rId24"/>
    <sheet state="visible" name="2011" sheetId="23" r:id="rId25"/>
    <sheet state="visible" name="2012" sheetId="24" r:id="rId26"/>
    <sheet state="visible" name="2013" sheetId="25" r:id="rId27"/>
    <sheet state="visible" name="2014" sheetId="26" r:id="rId28"/>
    <sheet state="visible" name="2015" sheetId="27" r:id="rId29"/>
    <sheet state="visible" name="2016" sheetId="28" r:id="rId30"/>
    <sheet state="visible" name="2017" sheetId="29" r:id="rId31"/>
    <sheet state="visible" name="2018" sheetId="30" r:id="rId32"/>
    <sheet state="visible" name="2019" sheetId="31" r:id="rId33"/>
    <sheet state="visible" name="2020" sheetId="32" r:id="rId34"/>
    <sheet state="visible" name="2021" sheetId="33" r:id="rId35"/>
    <sheet state="visible" name="2022" sheetId="34" r:id="rId36"/>
    <sheet state="visible" name="Trey" sheetId="35" r:id="rId37"/>
    <sheet state="visible" name="Mike" sheetId="36" r:id="rId38"/>
    <sheet state="visible" name="Page" sheetId="37" r:id="rId39"/>
    <sheet state="visible" name="Fish" sheetId="38" r:id="rId40"/>
    <sheet state="visible" name="Sit-Ins (by date)" sheetId="39" r:id="rId41"/>
    <sheet state="visible" name="Sit-Ins (by band)" sheetId="40" r:id="rId42"/>
    <sheet state="visible" name="Other" sheetId="41" r:id="rId43"/>
    <sheet state="visible" name="Remasters" sheetId="42" r:id="rId44"/>
    <sheet state="visible" name="TomDude Archives" sheetId="43" r:id="rId45"/>
    <sheet state="visible" name="Cover Art" sheetId="44" r:id="rId46"/>
  </sheets>
  <definedNames/>
  <calcPr/>
</workbook>
</file>

<file path=xl/sharedStrings.xml><?xml version="1.0" encoding="utf-8"?>
<sst xmlns="http://schemas.openxmlformats.org/spreadsheetml/2006/main" count="22032" uniqueCount="4340">
  <si>
    <t>If you have anything that is missing, please let me know. (hoydog23@gmail.com)</t>
  </si>
  <si>
    <t>Questions or Comments? Email hoydog23@gmail.com</t>
  </si>
  <si>
    <t>Year</t>
  </si>
  <si>
    <t>Posted</t>
  </si>
  <si>
    <t>Total</t>
  </si>
  <si>
    <t>Missing</t>
  </si>
  <si>
    <t>% Complete</t>
  </si>
  <si>
    <t>Member</t>
  </si>
  <si>
    <t>83-87</t>
  </si>
  <si>
    <t>Trey</t>
  </si>
  <si>
    <t>Mike</t>
  </si>
  <si>
    <t>Page</t>
  </si>
  <si>
    <t>Fish</t>
  </si>
  <si>
    <t>Sit-Ins</t>
  </si>
  <si>
    <t>From the Archives Shows</t>
  </si>
  <si>
    <t>Remastered Shows</t>
  </si>
  <si>
    <t>Tom Marshall Archive Tracks</t>
  </si>
  <si>
    <t>Dude of Life Archive Tracks</t>
  </si>
  <si>
    <t>Charlie Miller Transfers</t>
  </si>
  <si>
    <t xml:space="preserve">This site voluntarily complies with the Phish fan web site </t>
  </si>
  <si>
    <t>policy at http://phish.com/#/faq/taping-guidelines.</t>
  </si>
  <si>
    <t>ALL SPREADSHEET UPDATES WILL NOW BE POSTED TO MY TWITTER ACCOUNT (@hoydog23).</t>
  </si>
  <si>
    <t>Date</t>
  </si>
  <si>
    <t>SBD</t>
  </si>
  <si>
    <t>Setlist</t>
  </si>
  <si>
    <t>Venue</t>
  </si>
  <si>
    <t>City</t>
  </si>
  <si>
    <t>State</t>
  </si>
  <si>
    <t>kbps</t>
  </si>
  <si>
    <t>Download Link</t>
  </si>
  <si>
    <t>Source</t>
  </si>
  <si>
    <t>Notes</t>
  </si>
  <si>
    <t>X</t>
  </si>
  <si>
    <t>Harris-Millis Cafeteria, University of Vermont</t>
  </si>
  <si>
    <t>Burlington</t>
  </si>
  <si>
    <t>VT</t>
  </si>
  <si>
    <t>V0</t>
  </si>
  <si>
    <t>FM &gt; ??</t>
  </si>
  <si>
    <t>missing set I, partial Set II</t>
  </si>
  <si>
    <t>Marsh/Austin/Tupper Dormitory, University of Vermont</t>
  </si>
  <si>
    <t>setlist</t>
  </si>
  <si>
    <t>Trey's Basement</t>
  </si>
  <si>
    <t>Princeton</t>
  </si>
  <si>
    <t>NJ</t>
  </si>
  <si>
    <t>Aud &gt; Cass/?</t>
  </si>
  <si>
    <t>single track</t>
  </si>
  <si>
    <t>12/xx/1983</t>
  </si>
  <si>
    <t>Bivuoac Jaun Demo</t>
  </si>
  <si>
    <t>4-Track &gt; Cass 2</t>
  </si>
  <si>
    <t>4-Track Demo</t>
  </si>
  <si>
    <t>69 Grant Street</t>
  </si>
  <si>
    <t>Slade Hall, University of Vermont</t>
  </si>
  <si>
    <t>Aud &gt; cass/2</t>
  </si>
  <si>
    <t>show may be incomplete</t>
  </si>
  <si>
    <t>Nectar's</t>
  </si>
  <si>
    <t>SBD &gt; Cass1</t>
  </si>
  <si>
    <t>xx/xx/1984</t>
  </si>
  <si>
    <t>Dear Mrs. Reagan Demo</t>
  </si>
  <si>
    <t>Unknown</t>
  </si>
  <si>
    <t>---</t>
  </si>
  <si>
    <t>4 track recording</t>
  </si>
  <si>
    <t>Doolin's</t>
  </si>
  <si>
    <t>Private Party</t>
  </si>
  <si>
    <t>Hunt's</t>
  </si>
  <si>
    <t>SBD &gt; Cass0</t>
  </si>
  <si>
    <t>show is incomplete</t>
  </si>
  <si>
    <t>Finbar's</t>
  </si>
  <si>
    <t>?</t>
  </si>
  <si>
    <t>McGrupp only</t>
  </si>
  <si>
    <t>what circulates as "4/19/85" is a mix of what circulates as part of 3/4/85 and 5/3/85</t>
  </si>
  <si>
    <t>Goddard College</t>
  </si>
  <si>
    <t>Plainfield</t>
  </si>
  <si>
    <t>University of Vermont</t>
  </si>
  <si>
    <t>CS1 &gt; DAT</t>
  </si>
  <si>
    <t>missing Slave to the Traffic Light, Big Leg Emma and set II</t>
  </si>
  <si>
    <t>WRUV Radio</t>
  </si>
  <si>
    <t>Pre-FM</t>
  </si>
  <si>
    <t>Dave's Energy Guide only, from From the Archives 13.2</t>
  </si>
  <si>
    <t>mixlr rip</t>
  </si>
  <si>
    <t>Melt the Guns and T.V Theme only, from From the Archives 17.1</t>
  </si>
  <si>
    <t>Page's Master &gt; cass</t>
  </si>
  <si>
    <t>show is likely incomplete</t>
  </si>
  <si>
    <t>Memorial Auditorium Basement</t>
  </si>
  <si>
    <t>Pre-FM / radio webcast rip</t>
  </si>
  <si>
    <t>show is incomplete, from the "From the Archives" (Went &amp; Fest 8) broadcast</t>
  </si>
  <si>
    <t>Master &gt; Cass</t>
  </si>
  <si>
    <t>12/xx/1985</t>
  </si>
  <si>
    <t>Green Dolphin Street Demo</t>
  </si>
  <si>
    <t>Various</t>
  </si>
  <si>
    <t>4-Track &gt; Cass/?</t>
  </si>
  <si>
    <t>unknown audience</t>
  </si>
  <si>
    <t>AUD &gt; Cass/1</t>
  </si>
  <si>
    <t>SBD &gt; Cass/?</t>
  </si>
  <si>
    <t>Boston Harbor</t>
  </si>
  <si>
    <t>Boston</t>
  </si>
  <si>
    <t>MA</t>
  </si>
  <si>
    <t>Johnson</t>
  </si>
  <si>
    <t>Haybarn Theater, Goddard College</t>
  </si>
  <si>
    <t>AUD &gt; Cass/2</t>
  </si>
  <si>
    <t>MCS &gt; DAT</t>
  </si>
  <si>
    <t>Sculpture Room, Goddard College</t>
  </si>
  <si>
    <t>SBD?&gt; Cass(x)</t>
  </si>
  <si>
    <t>Marsh Hall Dining Room, University of Vermont</t>
  </si>
  <si>
    <t>The Ranch</t>
  </si>
  <si>
    <t>Shelburne</t>
  </si>
  <si>
    <t>SBD &gt; Cass/? / SBD &gt; Cass/1</t>
  </si>
  <si>
    <t>Mad Maggie's Farm</t>
  </si>
  <si>
    <t>Monkton</t>
  </si>
  <si>
    <t>Johnson State College</t>
  </si>
  <si>
    <t>unknown &gt; CDR</t>
  </si>
  <si>
    <t>Aud&gt; Cass0</t>
  </si>
  <si>
    <t>missing set I</t>
  </si>
  <si>
    <t>SBD(?) &gt; Cass/1</t>
  </si>
  <si>
    <t>missing encore</t>
  </si>
  <si>
    <t>SBD&gt;Cass(4)</t>
  </si>
  <si>
    <t>may have been a set III, but it does not circulate</t>
  </si>
  <si>
    <t>Billings Lounge, University of Vermont</t>
  </si>
  <si>
    <t>missing set II and encore</t>
  </si>
  <si>
    <t>VHS/x</t>
  </si>
  <si>
    <t>6/xx/1987</t>
  </si>
  <si>
    <t>Ernest Anastasio Demo</t>
  </si>
  <si>
    <t>various</t>
  </si>
  <si>
    <t>SBD &gt; Cass/x</t>
  </si>
  <si>
    <t>demo recording shopped around to Burlington bars</t>
  </si>
  <si>
    <t>unknown source</t>
  </si>
  <si>
    <t>set II is incomplete, missing set III</t>
  </si>
  <si>
    <t>unknown AUD&gt; CassX</t>
  </si>
  <si>
    <t>Ian McLean's Farm</t>
  </si>
  <si>
    <t>Hebron</t>
  </si>
  <si>
    <t>NY</t>
  </si>
  <si>
    <t>aud &gt; cass</t>
  </si>
  <si>
    <t>Vergennes Day</t>
  </si>
  <si>
    <t>Vergennes</t>
  </si>
  <si>
    <t>I&amp;II: MCS &gt; Dat, III: SBD &gt; Cass/0</t>
  </si>
  <si>
    <t>SBD &gt;Cass/3</t>
  </si>
  <si>
    <t>missing David Bowie, show is likely incomplete</t>
  </si>
  <si>
    <t>audience recording &gt; cass/x</t>
  </si>
  <si>
    <t>Cork's</t>
  </si>
  <si>
    <t>Unknown AUD &gt; Cass/x</t>
  </si>
  <si>
    <t>set II is incomplete</t>
  </si>
  <si>
    <t>SBD &gt; Cass/X</t>
  </si>
  <si>
    <t>Early, 1988</t>
  </si>
  <si>
    <t>Gallagher's</t>
  </si>
  <si>
    <t>Waitsfield</t>
  </si>
  <si>
    <t>SBD&gt;CASS(0)</t>
  </si>
  <si>
    <t>Analog Cassette labeled AUD/?</t>
  </si>
  <si>
    <t>AUD Cass/x</t>
  </si>
  <si>
    <t>I/II: SBD (?) &gt; Cass/4, II/III: AUD Cass/x</t>
  </si>
  <si>
    <t>St. Lawrence University</t>
  </si>
  <si>
    <t>Canton</t>
  </si>
  <si>
    <t>SBD &gt; 2nd Gen Master Cassette</t>
  </si>
  <si>
    <t>missing Big Black Furry Creatures from Mars</t>
  </si>
  <si>
    <t>aud&gt;c0</t>
  </si>
  <si>
    <t>missing Funky Bitch and Fluffhead, set II may be incomplete</t>
  </si>
  <si>
    <t>Living and Learning Center, University of Vermont</t>
  </si>
  <si>
    <t>SBD &gt; Cass/2</t>
  </si>
  <si>
    <t>The Base Lodge, Stearns Hall, Johnson State College</t>
  </si>
  <si>
    <t>AUD &gt; Cass/x</t>
  </si>
  <si>
    <t>SBD &gt; Cass/0</t>
  </si>
  <si>
    <t>Unknown Aud &gt; Cass/2</t>
  </si>
  <si>
    <t>Analog Cassette of unknown origins</t>
  </si>
  <si>
    <t>Kenny's Castaways</t>
  </si>
  <si>
    <t>New York</t>
  </si>
  <si>
    <t>Humphries House (The Zoo), Amherst College</t>
  </si>
  <si>
    <t>Amherst</t>
  </si>
  <si>
    <t>Colgate University</t>
  </si>
  <si>
    <t>Hamilton</t>
  </si>
  <si>
    <t>The Haunt</t>
  </si>
  <si>
    <t>Ithaca</t>
  </si>
  <si>
    <t>CD's</t>
  </si>
  <si>
    <t>Norwalk</t>
  </si>
  <si>
    <t>CT</t>
  </si>
  <si>
    <t>SBD &gt; Page McConnell’s analog master &gt; Cass1</t>
  </si>
  <si>
    <t>Beecher Hill Farm</t>
  </si>
  <si>
    <t>Hinesburg</t>
  </si>
  <si>
    <t>2nd Gen Cassette SBD recording</t>
  </si>
  <si>
    <t>AUD Cass/0</t>
  </si>
  <si>
    <t>SBD &gt; Cass/3</t>
  </si>
  <si>
    <t>The Front</t>
  </si>
  <si>
    <t>Wedding Reception</t>
  </si>
  <si>
    <t>Squam Lake Steak House</t>
  </si>
  <si>
    <t>Squam Lake</t>
  </si>
  <si>
    <t>NH</t>
  </si>
  <si>
    <t>SBD &gt; Cass0 &gt; Nakamichi tape deck</t>
  </si>
  <si>
    <t>Gopher Broke (Commune)</t>
  </si>
  <si>
    <t>Morrisville</t>
  </si>
  <si>
    <t>Sbd Master</t>
  </si>
  <si>
    <t>missing You Enjoy Myself</t>
  </si>
  <si>
    <t>Unknown Aud&gt; Cass/x</t>
  </si>
  <si>
    <t>Tramps</t>
  </si>
  <si>
    <t>Halverson's</t>
  </si>
  <si>
    <t>Cossayuna Lake</t>
  </si>
  <si>
    <t>Sam's Tavern</t>
  </si>
  <si>
    <t>2nd-or-3rd gen. ? SBD</t>
  </si>
  <si>
    <t>encore may actually be the start of an imcomplete set II</t>
  </si>
  <si>
    <t>SBD &gt; Cass/0 &gt; Cass/1</t>
  </si>
  <si>
    <t>missing Makisupa Policeman</t>
  </si>
  <si>
    <t>Pete's Phabulous Phish Phest</t>
  </si>
  <si>
    <t>Underhill</t>
  </si>
  <si>
    <t>SBD &gt; CASS &gt; CASS</t>
  </si>
  <si>
    <t>Colorado, 1988</t>
  </si>
  <si>
    <t>The Roma</t>
  </si>
  <si>
    <t>Telluride</t>
  </si>
  <si>
    <t>CO</t>
  </si>
  <si>
    <t>Fly Me to the Moon Saloon</t>
  </si>
  <si>
    <t>SBD &gt; Cass/1</t>
  </si>
  <si>
    <t>missing set I, set II is incomplete</t>
  </si>
  <si>
    <t>Aspen Mining Company</t>
  </si>
  <si>
    <t>Aspen</t>
  </si>
  <si>
    <t>Late, 1988</t>
  </si>
  <si>
    <t>John &amp; Peter's</t>
  </si>
  <si>
    <t>New Hope</t>
  </si>
  <si>
    <t>PA</t>
  </si>
  <si>
    <t>SBD (unknown lineage)</t>
  </si>
  <si>
    <t>The Border</t>
  </si>
  <si>
    <t>Food Court, Mont Alto Campus, Penn State University</t>
  </si>
  <si>
    <t>Mont Alto</t>
  </si>
  <si>
    <t>missing Poor Heart and Good Times Bad Times</t>
  </si>
  <si>
    <t>SBD &gt; Marantz PMD-420 w/Dolby C</t>
  </si>
  <si>
    <t>missing set III</t>
  </si>
  <si>
    <t>Cass/?</t>
  </si>
  <si>
    <t>set I is likely incomplete</t>
  </si>
  <si>
    <t>SBD &gt; CassX</t>
  </si>
  <si>
    <t>missing Good Times Bad Times, set II may be incomplete, missing set III</t>
  </si>
  <si>
    <t>Nick's Basement, University of New Hapshire</t>
  </si>
  <si>
    <t>Durham</t>
  </si>
  <si>
    <t>Campus Pub, Binghamton College</t>
  </si>
  <si>
    <t>Binghamton</t>
  </si>
  <si>
    <t>Soundboard&gt;cass/0</t>
  </si>
  <si>
    <t>set III is incomplete</t>
  </si>
  <si>
    <t>Cafeteria Building, Middlebury College</t>
  </si>
  <si>
    <t>Middlebury</t>
  </si>
  <si>
    <t>I: SBD(?)&gt;C, II: SBD &gt; Cass/1, III: SBD &gt; Cass/2</t>
  </si>
  <si>
    <t>Molly's Café</t>
  </si>
  <si>
    <t>Alston</t>
  </si>
  <si>
    <t>I/II: SBD Cass/x, II/III: SBD &gt; Cass/1</t>
  </si>
  <si>
    <t>includes soundcheck, missing Shaggy Dog</t>
  </si>
  <si>
    <t>Nardi's Restaurant</t>
  </si>
  <si>
    <t>Earlville</t>
  </si>
  <si>
    <t>Hamilton College</t>
  </si>
  <si>
    <t>Clinton</t>
  </si>
  <si>
    <t>Master SBD Cass &gt; Cass/2</t>
  </si>
  <si>
    <t>Old Stone Church</t>
  </si>
  <si>
    <t>Newmarket</t>
  </si>
  <si>
    <t>SBD &gt; cass/?</t>
  </si>
  <si>
    <t>set I only contains David Bowie, set II is incomplete</t>
  </si>
  <si>
    <t>Sheehan's</t>
  </si>
  <si>
    <t>Northampton</t>
  </si>
  <si>
    <t>The Red Barn, Hampshire College</t>
  </si>
  <si>
    <t>I: SBD &gt; Cass/x, II: SBD &gt; Cass/3</t>
  </si>
  <si>
    <t>15/16/88</t>
  </si>
  <si>
    <t>Gymnasium, University of Vermont</t>
  </si>
  <si>
    <t>SBD &gt; Cass &gt; Cass</t>
  </si>
  <si>
    <t>missing set II and set III</t>
  </si>
  <si>
    <t>Winter, 1989</t>
  </si>
  <si>
    <t>College of the Atlantic</t>
  </si>
  <si>
    <t>Bar Harbor</t>
  </si>
  <si>
    <t>ME</t>
  </si>
  <si>
    <t>The Oronoka Restaurant and Hotel</t>
  </si>
  <si>
    <t>Orono</t>
  </si>
  <si>
    <t>The Paradise</t>
  </si>
  <si>
    <t>SBD &gt; ?(will assume 1 cassette gen)</t>
  </si>
  <si>
    <t>Dartmouth College</t>
  </si>
  <si>
    <t>Hanover</t>
  </si>
  <si>
    <t>I: SBD Cass/x, II: SBD</t>
  </si>
  <si>
    <t>I: MCS, II: CS1</t>
  </si>
  <si>
    <t>Student Union Ballroom, University of Massachusetts</t>
  </si>
  <si>
    <t>Analog Cassette of unknown lineage</t>
  </si>
  <si>
    <t>all 3 sets are incomplete and likely out of order, missing encore</t>
  </si>
  <si>
    <t>missing Golgi Apparatus, set II is likely incomplete</t>
  </si>
  <si>
    <t>AUD&gt;?&gt;Cass/x</t>
  </si>
  <si>
    <t>The Wetlands Preserve</t>
  </si>
  <si>
    <t>unknown</t>
  </si>
  <si>
    <t>Anastasio's House</t>
  </si>
  <si>
    <t>SBD &gt; cass/3</t>
  </si>
  <si>
    <t>missing set II, set III and encore</t>
  </si>
  <si>
    <t>Unknown Audience Recording</t>
  </si>
  <si>
    <t>missing I Am Hydrogen, show is incomplete and out of order</t>
  </si>
  <si>
    <t>Tree Café</t>
  </si>
  <si>
    <t>Portland</t>
  </si>
  <si>
    <t>SBD&gt; Cass/3</t>
  </si>
  <si>
    <t>10 Below</t>
  </si>
  <si>
    <t>The Nightshift</t>
  </si>
  <si>
    <t>Naugatuck</t>
  </si>
  <si>
    <t>Valley Club Café</t>
  </si>
  <si>
    <t>Rutland</t>
  </si>
  <si>
    <t>SBD &gt; D6 (Cass/0)</t>
  </si>
  <si>
    <t>includes soundcheck</t>
  </si>
  <si>
    <t>Cassette</t>
  </si>
  <si>
    <t>Johnny D's</t>
  </si>
  <si>
    <t>Somerville</t>
  </si>
  <si>
    <t>SBD &gt; Cass/x &gt; Nak DR-1</t>
  </si>
  <si>
    <t>Memorial Union Building, University of New Hampshire</t>
  </si>
  <si>
    <t>Unknown AUD</t>
  </si>
  <si>
    <t>Moulton Union, Bowdoin College</t>
  </si>
  <si>
    <t>Brunswick</t>
  </si>
  <si>
    <t>The Living Room</t>
  </si>
  <si>
    <t>Providence</t>
  </si>
  <si>
    <t>RI</t>
  </si>
  <si>
    <t>Night Stage</t>
  </si>
  <si>
    <t>Cambridege</t>
  </si>
  <si>
    <t>Pearl Street Ballroom</t>
  </si>
  <si>
    <t>Analog Cassette labeled SBD/5</t>
  </si>
  <si>
    <t>Tent Party, Franklin &amp; Marshall College</t>
  </si>
  <si>
    <t>Lancaster</t>
  </si>
  <si>
    <t>Sigma Phi House, Hamilton College</t>
  </si>
  <si>
    <t>Collis Center, Dartmouth College</t>
  </si>
  <si>
    <t>missing If I Don't Be There by Morning</t>
  </si>
  <si>
    <t>Pauly's Hotel</t>
  </si>
  <si>
    <t>Albany</t>
  </si>
  <si>
    <t>The Orange Grove</t>
  </si>
  <si>
    <t>Syracuse</t>
  </si>
  <si>
    <t>DSBD &gt; Cass4</t>
  </si>
  <si>
    <t>Campus Pond, University of Massachusetts</t>
  </si>
  <si>
    <t>The Blue Pelican</t>
  </si>
  <si>
    <t>Newport</t>
  </si>
  <si>
    <t>Northfield/Mt. Hermon School Gymnasium</t>
  </si>
  <si>
    <t>Northfield</t>
  </si>
  <si>
    <t>320 Spear Street</t>
  </si>
  <si>
    <t>missing set II</t>
  </si>
  <si>
    <t>Valley Club Cafe</t>
  </si>
  <si>
    <t>Ruttland</t>
  </si>
  <si>
    <t>Alpha Delta Phi Fraternity, Trinity College</t>
  </si>
  <si>
    <t>Hartford</t>
  </si>
  <si>
    <t>SBD? &gt; Cass/x</t>
  </si>
  <si>
    <t>SBD?, show is incomplete</t>
  </si>
  <si>
    <t>Ian McLean's Party, Connie Condon's Farm</t>
  </si>
  <si>
    <t>SBD &gt; Erik Larson's NAK deck</t>
  </si>
  <si>
    <t>Summer, 1989</t>
  </si>
  <si>
    <t>The Quad, Hobart College</t>
  </si>
  <si>
    <t>Geneva</t>
  </si>
  <si>
    <t>SBD&gt;CassX</t>
  </si>
  <si>
    <t>show is incomplete and possibly out of order</t>
  </si>
  <si>
    <t>Private Party, Stone High School Graduation</t>
  </si>
  <si>
    <t>SBD&gt; CassX</t>
  </si>
  <si>
    <t>SBD &gt; Sony D6 &gt; Cass/0</t>
  </si>
  <si>
    <t>Les Foufounes Electriques</t>
  </si>
  <si>
    <t>Montreal</t>
  </si>
  <si>
    <t>QC</t>
  </si>
  <si>
    <t>SiriusXM hls stream rip</t>
  </si>
  <si>
    <t>David Bowie only - from FTA, Vol. 18</t>
  </si>
  <si>
    <t>Burlington Boat House</t>
  </si>
  <si>
    <t>AUD &gt; ?</t>
  </si>
  <si>
    <t>missing set I, Oh Kee Pa Ceremony and Contact</t>
  </si>
  <si>
    <t>Atlantic Connection, Oak Bluffs</t>
  </si>
  <si>
    <t>Martha's Vineyard</t>
  </si>
  <si>
    <t>SBD-Cass/X&gt; Dennon DRW-840</t>
  </si>
  <si>
    <t>missing I Am Hydrogen and Weekapaug Groove, set II is incomplete</t>
  </si>
  <si>
    <t>set I and II are incomplete, missing encore</t>
  </si>
  <si>
    <t>Townshend Family Park</t>
  </si>
  <si>
    <t>Townshend</t>
  </si>
  <si>
    <t>analog cassette of very high gen, likely a SBD</t>
  </si>
  <si>
    <t>missing set I and encore</t>
  </si>
  <si>
    <t>Fall, 1989</t>
  </si>
  <si>
    <t>Bowdoin College</t>
  </si>
  <si>
    <t>Dining Commons, Bennington College</t>
  </si>
  <si>
    <t>Bennington</t>
  </si>
  <si>
    <t>sbd &gt; cass/x &gt; ?</t>
  </si>
  <si>
    <t>MacPhie Pub, Tufts University</t>
  </si>
  <si>
    <t>Medford</t>
  </si>
  <si>
    <t>Unknown &gt; Cass/x</t>
  </si>
  <si>
    <t>set II is incomplete, missing encore</t>
  </si>
  <si>
    <t>Chase Hall, Bates College</t>
  </si>
  <si>
    <t>Lewiston</t>
  </si>
  <si>
    <t>sbd&gt;cass0</t>
  </si>
  <si>
    <t>SBD-&gt;?-&gt;Cass</t>
  </si>
  <si>
    <t>Mabel Brown Room, Keene State College</t>
  </si>
  <si>
    <t>Keene</t>
  </si>
  <si>
    <t>Copperfield's</t>
  </si>
  <si>
    <t>The Barn, Hobart College</t>
  </si>
  <si>
    <t>Unknown Boombox &gt; Cass/3</t>
  </si>
  <si>
    <t>SBD&gt;Cass</t>
  </si>
  <si>
    <t>SBD\Cass4</t>
  </si>
  <si>
    <t>Run Like an Antelope cuts out and The Lizards is missing</t>
  </si>
  <si>
    <t>Studio &gt; Cass (x) &gt; MCass &gt; D8</t>
  </si>
  <si>
    <t>The Chance</t>
  </si>
  <si>
    <t>Poughkeepsie</t>
  </si>
  <si>
    <t>SBD Cassette, unknown gen (low-ish)</t>
  </si>
  <si>
    <t>Run Like an Antelope cuts during the jam and Kung is missing</t>
  </si>
  <si>
    <t>Aud -&gt; Tascam PE-120 mics -&gt; Sony WMD-6C</t>
  </si>
  <si>
    <t>College Auditorium, College of the Atlantic</t>
  </si>
  <si>
    <t>Mission Park Dining Hall, Williams College</t>
  </si>
  <si>
    <t>Williamstown</t>
  </si>
  <si>
    <t>MCS</t>
  </si>
  <si>
    <t>Patrick Gymnasium, University of Vermont</t>
  </si>
  <si>
    <t>SBD &gt; Cass/4</t>
  </si>
  <si>
    <t>23 East Cabaret</t>
  </si>
  <si>
    <t>Ardmore</t>
  </si>
  <si>
    <t>SBD &gt; Cass(0)</t>
  </si>
  <si>
    <t>Stevens Dining Hall, Lyndon State College</t>
  </si>
  <si>
    <t>Lyndonville</t>
  </si>
  <si>
    <t>Analog Master SBD &gt; Cassette</t>
  </si>
  <si>
    <t>The Roxy</t>
  </si>
  <si>
    <t>Washington</t>
  </si>
  <si>
    <t>DC</t>
  </si>
  <si>
    <t>8x10 Club</t>
  </si>
  <si>
    <t>Baltimore</t>
  </si>
  <si>
    <t>MD</t>
  </si>
  <si>
    <t>SBD/Matrix Mix (unknown mics) &gt; Cass0</t>
  </si>
  <si>
    <t>Withey Hall Dining Room, Green Mountain College</t>
  </si>
  <si>
    <t>Poultney</t>
  </si>
  <si>
    <t>I: SBD &gt; cass/?, II: MCS</t>
  </si>
  <si>
    <t>missing The Oh Kee Pa Ceremony and Suzy Greenberg</t>
  </si>
  <si>
    <t>Huden Dining Hall, Castleton State College</t>
  </si>
  <si>
    <t>Castleton</t>
  </si>
  <si>
    <t>Ukrainian National Home</t>
  </si>
  <si>
    <t>I: SBD &gt; Cass/3, II: SBD &gt; Cass/?</t>
  </si>
  <si>
    <t>Contois Auditorium, City Hall</t>
  </si>
  <si>
    <t>Unknown Aud &gt; Cass/?</t>
  </si>
  <si>
    <t>Holiday Run, 1989</t>
  </si>
  <si>
    <t>Boston World Trade Center Exhibition Hall</t>
  </si>
  <si>
    <t>FOB Aud -&gt; Tascam PE-120 mics</t>
  </si>
  <si>
    <t>Early, 1990</t>
  </si>
  <si>
    <t>University of New Hampshire</t>
  </si>
  <si>
    <t>Thompson Gym, Phillips Exeter Academy</t>
  </si>
  <si>
    <t>Exeter</t>
  </si>
  <si>
    <t>Clark University Pub, Clark University</t>
  </si>
  <si>
    <t>Worcester</t>
  </si>
  <si>
    <t>Webster Hall, Dartmouth College</t>
  </si>
  <si>
    <t>The Sloth is an AUD</t>
  </si>
  <si>
    <t>Penny Post</t>
  </si>
  <si>
    <t>Old Town</t>
  </si>
  <si>
    <t>Unknown (likely a boom box)</t>
  </si>
  <si>
    <t>Re-Mastered Version by Jeff Goldberg</t>
  </si>
  <si>
    <t>Tree Cafe</t>
  </si>
  <si>
    <t>2nd gen SBD</t>
  </si>
  <si>
    <t>SBD -&gt; Sony TCD5 master cassette</t>
  </si>
  <si>
    <t>Unknown Mic(s) set up on the bar</t>
  </si>
  <si>
    <t>Myskyn's</t>
  </si>
  <si>
    <t>Charleston</t>
  </si>
  <si>
    <t>SC</t>
  </si>
  <si>
    <t>The Georgia Theatre</t>
  </si>
  <si>
    <t>Athens</t>
  </si>
  <si>
    <t>GA</t>
  </si>
  <si>
    <t>video rip</t>
  </si>
  <si>
    <t>David Bowie and Mike's Song are partials, missing Hydrogen and Weekapaug Groove</t>
  </si>
  <si>
    <t>The Cotton Club</t>
  </si>
  <si>
    <t>Atlanta</t>
  </si>
  <si>
    <t>Greenstreets</t>
  </si>
  <si>
    <t>Columbia</t>
  </si>
  <si>
    <t>this recording may be incomplete</t>
  </si>
  <si>
    <t>Cat's Cradle</t>
  </si>
  <si>
    <t>Chapel Hill</t>
  </si>
  <si>
    <t>NC</t>
  </si>
  <si>
    <t>The Jade Elephant</t>
  </si>
  <si>
    <t>Richmond</t>
  </si>
  <si>
    <t>VA</t>
  </si>
  <si>
    <t>Chameleon Club</t>
  </si>
  <si>
    <t>SBD/Sennheiser ME80 Matrix</t>
  </si>
  <si>
    <t>SBD &gt; D5</t>
  </si>
  <si>
    <t>set II may be incomplete</t>
  </si>
  <si>
    <t>SBD &gt; Nak CR-3A</t>
  </si>
  <si>
    <t>Dining Center, Haverford College</t>
  </si>
  <si>
    <t>Haverford</t>
  </si>
  <si>
    <t>SBD&gt;Cass0</t>
  </si>
  <si>
    <t>The Bayou</t>
  </si>
  <si>
    <t>SBD &gt; Cass/master</t>
  </si>
  <si>
    <t>FOB AKG 451 &gt; Cass/0</t>
  </si>
  <si>
    <t>Toad's Place</t>
  </si>
  <si>
    <t>New Haven</t>
  </si>
  <si>
    <t>sbd-&gt;analog master-&gt;1st gen</t>
  </si>
  <si>
    <t>Field House, University of New Hampshire</t>
  </si>
  <si>
    <t>SBD &gt; Cass4</t>
  </si>
  <si>
    <t>missing Reba and Whipping Post</t>
  </si>
  <si>
    <t>Aiko's</t>
  </si>
  <si>
    <t>Saratoga Springs</t>
  </si>
  <si>
    <t>SBD &gt; cass/0</t>
  </si>
  <si>
    <t>Sbd &gt; Cass/x &gt;Sony TC-WE305</t>
  </si>
  <si>
    <t>missing Reba and La Grange</t>
  </si>
  <si>
    <t>SBD+AUD Matrix (R-SBD,L-AUD*) &gt; Cass/0</t>
  </si>
  <si>
    <t>Stache's</t>
  </si>
  <si>
    <t>Columbus</t>
  </si>
  <si>
    <t>OH</t>
  </si>
  <si>
    <t>Beta Intramural Hockey Team Party, Denison University</t>
  </si>
  <si>
    <t>Granville</t>
  </si>
  <si>
    <t>SBD &gt; Marantz PDM &gt; Cass0</t>
  </si>
  <si>
    <t>Canal Street Tavern</t>
  </si>
  <si>
    <t>Dayton</t>
  </si>
  <si>
    <t>Lounge Axe</t>
  </si>
  <si>
    <t>Chicago</t>
  </si>
  <si>
    <t>IL</t>
  </si>
  <si>
    <t>Rathskeller, Memorial Union, University of Wisconsin</t>
  </si>
  <si>
    <t>Madison</t>
  </si>
  <si>
    <t>WI</t>
  </si>
  <si>
    <t>Unknown Venue</t>
  </si>
  <si>
    <t>Minneapolis</t>
  </si>
  <si>
    <t>MN</t>
  </si>
  <si>
    <t>Quigley's, University of Colorado</t>
  </si>
  <si>
    <t>Boulder</t>
  </si>
  <si>
    <t>J.J. McCabes</t>
  </si>
  <si>
    <t>El Dorado Café</t>
  </si>
  <si>
    <t>Crested Butte</t>
  </si>
  <si>
    <t>SBD/4</t>
  </si>
  <si>
    <t>missing Harpua and Big Black Furry Creature from Mars</t>
  </si>
  <si>
    <t>missing Possum and encore</t>
  </si>
  <si>
    <t>missing Funky Bitch</t>
  </si>
  <si>
    <t>The Inferno</t>
  </si>
  <si>
    <t>S Springs</t>
  </si>
  <si>
    <t>Herman's Hideaway</t>
  </si>
  <si>
    <t>Denver</t>
  </si>
  <si>
    <t>Boulder Theater</t>
  </si>
  <si>
    <t>Ramskeller, Colorado State University</t>
  </si>
  <si>
    <t>Fort Collins</t>
  </si>
  <si>
    <t>Canyon West Ranch, Lincoln Center</t>
  </si>
  <si>
    <t>SBD-&gt;Cass/X</t>
  </si>
  <si>
    <t>Cutler Quad, Colorado College</t>
  </si>
  <si>
    <t>Colorado Springs</t>
  </si>
  <si>
    <t>Earlham College</t>
  </si>
  <si>
    <t>IN</t>
  </si>
  <si>
    <t>The Clarke Memorial Fountain, Notre Dame University</t>
  </si>
  <si>
    <t>South Bend</t>
  </si>
  <si>
    <t>SBD &gt; ? &gt; Cass/x</t>
  </si>
  <si>
    <t>includes soundcheck, missing Divided Sky and David Bowie</t>
  </si>
  <si>
    <t>Dionysus Club, The 'Sco, Oberlin College</t>
  </si>
  <si>
    <t>Oberlin</t>
  </si>
  <si>
    <t>missing Sweet Adeline</t>
  </si>
  <si>
    <t>The Strand Theater</t>
  </si>
  <si>
    <t>Aud -&gt; Sony ECM-MS5 stereo mic</t>
  </si>
  <si>
    <t>Woodbury Ski &amp; Racquet Club</t>
  </si>
  <si>
    <t>Woodbury</t>
  </si>
  <si>
    <t>Unknown mics &gt; Nak CR-1A</t>
  </si>
  <si>
    <t>missing HYHU, The Lizards and Fire</t>
  </si>
  <si>
    <t>The Pub House</t>
  </si>
  <si>
    <t>The Colonial Theatre</t>
  </si>
  <si>
    <t>SBD -&gt; Sony WM-D6C Cassette Master</t>
  </si>
  <si>
    <t>Audience Master recording</t>
  </si>
  <si>
    <t>Thunderbird's</t>
  </si>
  <si>
    <t>Nak 300s &gt; D5</t>
  </si>
  <si>
    <t>I: SBD&gt;Cass1, II: Unknown boombox &gt; Cass2</t>
  </si>
  <si>
    <t>includes soundcheck, missing Squirming Coil and Lizards, set II may be incomplete</t>
  </si>
  <si>
    <t>The Upper, St. Paul's School</t>
  </si>
  <si>
    <t>Concord</t>
  </si>
  <si>
    <t>Soundboard 1st Gen Cassette</t>
  </si>
  <si>
    <t>The Library</t>
  </si>
  <si>
    <t>SBD &gt; Sony D5 (Cass/0) &gt; Cass/1</t>
  </si>
  <si>
    <t>The Brewery</t>
  </si>
  <si>
    <t>Raleigh</t>
  </si>
  <si>
    <t>The Old Post Office</t>
  </si>
  <si>
    <t>Hilton Head</t>
  </si>
  <si>
    <t>Jack McConnell's House</t>
  </si>
  <si>
    <t>The Pterodactyl Club</t>
  </si>
  <si>
    <t>Charlotte</t>
  </si>
  <si>
    <t>Reported Matrix Source</t>
  </si>
  <si>
    <t>Unknown AUD &gt; ?</t>
  </si>
  <si>
    <t>missing Fire</t>
  </si>
  <si>
    <t>Carrboro</t>
  </si>
  <si>
    <t>Soundboard &gt; CAS0</t>
  </si>
  <si>
    <t>The Barrel House</t>
  </si>
  <si>
    <t>Salem</t>
  </si>
  <si>
    <t>SBD&gt;Sony D6 Cassette Master</t>
  </si>
  <si>
    <t>MCS &gt; AD1000</t>
  </si>
  <si>
    <t>Wendell Studios</t>
  </si>
  <si>
    <t>Studio SBD &gt; ???</t>
  </si>
  <si>
    <t>23 East Caberet</t>
  </si>
  <si>
    <t>The Red Barn</t>
  </si>
  <si>
    <t>Fall, 1990</t>
  </si>
  <si>
    <t>DSBD, DA-20 -&gt; ZA2</t>
  </si>
  <si>
    <t>AUD &gt; Cass/x &gt; Onkyo MSE-U33HB</t>
  </si>
  <si>
    <t>NAK300s &gt; Sony D-10</t>
  </si>
  <si>
    <t>Wesleyan University</t>
  </si>
  <si>
    <t>Middletown</t>
  </si>
  <si>
    <t>Nak 100s &gt; D5</t>
  </si>
  <si>
    <t>Somerville Theatre</t>
  </si>
  <si>
    <t>AUD &gt; D5 (Cass/0) &gt; Apogee AD1000</t>
  </si>
  <si>
    <t>SBD &gt; Cass(?)</t>
  </si>
  <si>
    <t>New Rochelle</t>
  </si>
  <si>
    <t>I: Unknown Aud, II: Schoeps CMC4/MK4</t>
  </si>
  <si>
    <t>missing Contact and Highway to Hell</t>
  </si>
  <si>
    <t>Skidmore Gymnasium, Skidmore College</t>
  </si>
  <si>
    <t>unknown aud &gt; cass/0</t>
  </si>
  <si>
    <t>The Capitol Theatre</t>
  </si>
  <si>
    <t>Port Chester</t>
  </si>
  <si>
    <t>DSBD</t>
  </si>
  <si>
    <t>Club Bene</t>
  </si>
  <si>
    <t>Sayerville</t>
  </si>
  <si>
    <t>SBD &gt; ?</t>
  </si>
  <si>
    <t>AKG 451&gt;Sony D10 Pro</t>
  </si>
  <si>
    <t>missing Contact</t>
  </si>
  <si>
    <t>Trax</t>
  </si>
  <si>
    <t>Charlottesville</t>
  </si>
  <si>
    <t>FOB Sennheiser ME80</t>
  </si>
  <si>
    <t>Solomon's</t>
  </si>
  <si>
    <t>Tuscaloosa</t>
  </si>
  <si>
    <t>AL</t>
  </si>
  <si>
    <t>Tipitina's</t>
  </si>
  <si>
    <t>New Orleans</t>
  </si>
  <si>
    <t>LA</t>
  </si>
  <si>
    <t>The Showbar</t>
  </si>
  <si>
    <t>Houston</t>
  </si>
  <si>
    <t>TX</t>
  </si>
  <si>
    <t>Cannibal Club</t>
  </si>
  <si>
    <t>Austin</t>
  </si>
  <si>
    <t>Rhythm Room</t>
  </si>
  <si>
    <t>Dallas</t>
  </si>
  <si>
    <t>Separate from Soundboard 16 track Mix</t>
  </si>
  <si>
    <t>missing Carolina</t>
  </si>
  <si>
    <t>Armstong Hall, Colorado College</t>
  </si>
  <si>
    <t>SBD&gt;48 Track Analog</t>
  </si>
  <si>
    <t>Glenn Miller Ballroom, University of Colorado</t>
  </si>
  <si>
    <t>Fort Ram</t>
  </si>
  <si>
    <t>SBD -&gt; ?</t>
  </si>
  <si>
    <t>The Cabooze</t>
  </si>
  <si>
    <t>Great Hall, University of Wisconsin</t>
  </si>
  <si>
    <t>SBD&gt; Cass/2</t>
  </si>
  <si>
    <t>missing Good Times Bad Times</t>
  </si>
  <si>
    <t>Lengyel Gym, University of Maine</t>
  </si>
  <si>
    <t>Unknown Aud&gt;Cass1</t>
  </si>
  <si>
    <t>Campus Club</t>
  </si>
  <si>
    <t>SBD MCass</t>
  </si>
  <si>
    <t>AUD MCass</t>
  </si>
  <si>
    <t>missing Memories and Sweet Adeline</t>
  </si>
  <si>
    <t>Aud(unknown mics)&gt; Cass/x</t>
  </si>
  <si>
    <t>Clement's Brew Pub</t>
  </si>
  <si>
    <t>AUD</t>
  </si>
  <si>
    <t>missing set I, partial set II and encore</t>
  </si>
  <si>
    <t>Robert Crown Center, Hampshire College</t>
  </si>
  <si>
    <t>Unknown AUD &gt; Cass/X</t>
  </si>
  <si>
    <t>Source mics unknown</t>
  </si>
  <si>
    <t>Holiday Run, 1990</t>
  </si>
  <si>
    <t>The Marquee</t>
  </si>
  <si>
    <t>I: DSBD/DAUD Matrix, II: microphones unknown</t>
  </si>
  <si>
    <t>Unknown Aud &gt; Cass (gens unknown)</t>
  </si>
  <si>
    <t>Winter/Spring, 1991</t>
  </si>
  <si>
    <t>Alumni Hall, Brown University</t>
  </si>
  <si>
    <t>missing Split Open and Melt</t>
  </si>
  <si>
    <t>Alumni Gymnasium, Bates College</t>
  </si>
  <si>
    <t>Unknown mics &gt; D5</t>
  </si>
  <si>
    <t>Aud &gt; Cass/0</t>
  </si>
  <si>
    <t>Cass3&gt;Sony Music Machine</t>
  </si>
  <si>
    <t>missing set I and the beginning of set II</t>
  </si>
  <si>
    <t>Pickle Barrel Pub</t>
  </si>
  <si>
    <t>Killington</t>
  </si>
  <si>
    <t>Sbd CM?</t>
  </si>
  <si>
    <t>The Music Hall</t>
  </si>
  <si>
    <t>Portsmouth</t>
  </si>
  <si>
    <t>John M. Greene Hall, Smith College</t>
  </si>
  <si>
    <t>AUD MCass (Sony Metal-SR, 90 min)</t>
  </si>
  <si>
    <t>The State Theatre</t>
  </si>
  <si>
    <t>unknown, likely an SBD/AUD matrix</t>
  </si>
  <si>
    <t>partial My Sweet One, set II is incomplete</t>
  </si>
  <si>
    <t>AUD MCass (Sony Metal-SR 100 min)</t>
  </si>
  <si>
    <t>unknown aud</t>
  </si>
  <si>
    <t>missing Possum -&gt; Rocky Mountain Way Jam -&gt; Possum</t>
  </si>
  <si>
    <t>AKG451 &gt; Sony D10</t>
  </si>
  <si>
    <t>Kahootz</t>
  </si>
  <si>
    <t>FOB Nakamichi 300 + CP-1 &gt; Casio DA7</t>
  </si>
  <si>
    <t>SBD &gt; Analog master</t>
  </si>
  <si>
    <t>13x13 Club</t>
  </si>
  <si>
    <t>Arnold's Flamingo Grill</t>
  </si>
  <si>
    <t>Knoxville</t>
  </si>
  <si>
    <t>TN</t>
  </si>
  <si>
    <t>Sarratt Student Center, Vaderbilt University</t>
  </si>
  <si>
    <t>Nashville</t>
  </si>
  <si>
    <t>Unknown Audience (Nakamichi CM300's?)</t>
  </si>
  <si>
    <t>I: cass SBD, II: SBD&gt;Uknown cass. gen</t>
  </si>
  <si>
    <t>New Daisy Theatre</t>
  </si>
  <si>
    <t>Memphis</t>
  </si>
  <si>
    <t>The Gin</t>
  </si>
  <si>
    <t>Oxford</t>
  </si>
  <si>
    <t>MS</t>
  </si>
  <si>
    <t>College Station Theater</t>
  </si>
  <si>
    <t>SBD&gt;MAC</t>
  </si>
  <si>
    <t>Sennheiser mics (?) &gt; Sony D5</t>
  </si>
  <si>
    <t>SBD-&gt;16-track mixer</t>
  </si>
  <si>
    <t>Gothic Theatre</t>
  </si>
  <si>
    <t>Englewood</t>
  </si>
  <si>
    <t>Audience/soundboard multitrack mix</t>
  </si>
  <si>
    <t>Ten Mile Room</t>
  </si>
  <si>
    <t>Breckenridge</t>
  </si>
  <si>
    <t>dSbd</t>
  </si>
  <si>
    <t>Wheeler Opera House</t>
  </si>
  <si>
    <t>DATSBD</t>
  </si>
  <si>
    <t>I: SBD &gt; ?, II: SBD "from 24 track"&gt; ?&gt; Cass/x</t>
  </si>
  <si>
    <t>missing Chalk Dust Torture</t>
  </si>
  <si>
    <t>DSBD?</t>
  </si>
  <si>
    <t>Fine Arts Auditorium, Fort Lewis College</t>
  </si>
  <si>
    <t>Durango</t>
  </si>
  <si>
    <t>The Catalyst</t>
  </si>
  <si>
    <t>Santa Cruz</t>
  </si>
  <si>
    <t>CA</t>
  </si>
  <si>
    <t>beyer M201(off axis-ortf) &gt; sony D10 pro dat</t>
  </si>
  <si>
    <t>missing Lawn Boy and Fire</t>
  </si>
  <si>
    <t>DNA Lounge</t>
  </si>
  <si>
    <t>San Francisco</t>
  </si>
  <si>
    <t>DAUD</t>
  </si>
  <si>
    <t>Berkeley Square Theatre</t>
  </si>
  <si>
    <t>Berkeley</t>
  </si>
  <si>
    <t>FOB Calrad 10-30 &gt; Panasonic SV-255</t>
  </si>
  <si>
    <t>International Beer Garden</t>
  </si>
  <si>
    <t>Arcata</t>
  </si>
  <si>
    <t>Britt Ballroom, Southern Oregon State College</t>
  </si>
  <si>
    <t>Ashland</t>
  </si>
  <si>
    <t>OR</t>
  </si>
  <si>
    <t>AUD (Unknown Mics) &gt; 2nd Gen Cassette</t>
  </si>
  <si>
    <t>WOW Hall</t>
  </si>
  <si>
    <t>Eugene</t>
  </si>
  <si>
    <t>SBD -&gt; Cassette Master</t>
  </si>
  <si>
    <t>Starry Night</t>
  </si>
  <si>
    <t>SBD&gt;cass</t>
  </si>
  <si>
    <t>Campus Recreation Center, Evergreen College</t>
  </si>
  <si>
    <t>Olympia</t>
  </si>
  <si>
    <t>WA</t>
  </si>
  <si>
    <t>I/II: lineage believed to be SBD/3, II: soundboard</t>
  </si>
  <si>
    <t>The Cave, Carleton College</t>
  </si>
  <si>
    <t>Barrymore Theatre</t>
  </si>
  <si>
    <t>Biddy Mulligan's</t>
  </si>
  <si>
    <t>a&gt;aud (sony boombox - built in mic)</t>
  </si>
  <si>
    <t>The Gathering Place, Northwestern University</t>
  </si>
  <si>
    <t>Evanston</t>
  </si>
  <si>
    <t>SBD 4th Gen cassette</t>
  </si>
  <si>
    <t>Rick's Cafe</t>
  </si>
  <si>
    <t>Ann Arbor</t>
  </si>
  <si>
    <t>MI</t>
  </si>
  <si>
    <t>Nakamichi CM300 &gt; Sony D5</t>
  </si>
  <si>
    <t>Nietzche's</t>
  </si>
  <si>
    <t>Buffalo</t>
  </si>
  <si>
    <t>unknown analog audience</t>
  </si>
  <si>
    <t>Douglas Dining Center, University of Rochester</t>
  </si>
  <si>
    <t>Rochester</t>
  </si>
  <si>
    <t>AKG 414-&gt; d5 &gt; Cass1</t>
  </si>
  <si>
    <t>SUNY Potsdam</t>
  </si>
  <si>
    <t>Potsdam</t>
  </si>
  <si>
    <t>soundboard &gt; cass/1</t>
  </si>
  <si>
    <t>I: AKG-414, II: Master Cass Aud (unknown mics)</t>
  </si>
  <si>
    <t>Hartmand Union Activities Center, Plymouth State University</t>
  </si>
  <si>
    <t>Plymouth</t>
  </si>
  <si>
    <t>Unknown AUD &gt; Cass2</t>
  </si>
  <si>
    <t>missing Rocky Top</t>
  </si>
  <si>
    <t>Portland Performing Arts Center</t>
  </si>
  <si>
    <t>Nak 100's w/shotguns &gt;Sony D-6</t>
  </si>
  <si>
    <t>Page Commons Room, Student Center, Colby College</t>
  </si>
  <si>
    <t>Waterville</t>
  </si>
  <si>
    <t>SBD &gt; Cass(x) &gt; Sony RCD-W50C</t>
  </si>
  <si>
    <t>Golgi is from an AUD source</t>
  </si>
  <si>
    <t>I: Schoeps CMC4/MK4, II: cass2 SBD</t>
  </si>
  <si>
    <t>Schoeps CMC4/MK4-&gt;ORTF</t>
  </si>
  <si>
    <t>The Sting</t>
  </si>
  <si>
    <t>New Britain</t>
  </si>
  <si>
    <t>Unknown Aud &gt; Cass/x</t>
  </si>
  <si>
    <t>AKG 414 &gt; D5(Cass0) &gt; Cass1</t>
  </si>
  <si>
    <t>Salisbury School</t>
  </si>
  <si>
    <t>Salisbury</t>
  </si>
  <si>
    <t>Cass x&gt;yamaha kx-r470&gt;Fostex FR-2LE</t>
  </si>
  <si>
    <t>Summer, 1991</t>
  </si>
  <si>
    <t>Battery Park</t>
  </si>
  <si>
    <t>Aud/2 - unknown mics</t>
  </si>
  <si>
    <t>Berkshire Performing Arts Center</t>
  </si>
  <si>
    <t>Lenox</t>
  </si>
  <si>
    <t>AKG 451s &gt; D5</t>
  </si>
  <si>
    <t>The Academy</t>
  </si>
  <si>
    <t>Hampton Casino Ballroom</t>
  </si>
  <si>
    <t>Hampton Beach</t>
  </si>
  <si>
    <t>I: SBD &gt; ?, II: FOB Neumann KM-86 &gt; ?</t>
  </si>
  <si>
    <t>Arrowhead Ranch</t>
  </si>
  <si>
    <t>Parksville</t>
  </si>
  <si>
    <t>akg 451+ck8a in sbd b00th</t>
  </si>
  <si>
    <t>sbd</t>
  </si>
  <si>
    <t>missing Sweet Adeline, Golgi Apparatus is from an AUD source</t>
  </si>
  <si>
    <t>Schoeps CMC64-&gt;Aerco-&gt;Apogee500E</t>
  </si>
  <si>
    <t>Listed as DSBD, but it is most likely an FOB</t>
  </si>
  <si>
    <t>Shure 57 &gt; Casio D7 &gt; SPDIF &gt; ?</t>
  </si>
  <si>
    <t>Variety Playhouse</t>
  </si>
  <si>
    <t>Unknown AKG microphones &gt; Marantz deck</t>
  </si>
  <si>
    <t>Larrabee Farm, a.k.a. Amy's Farm</t>
  </si>
  <si>
    <t>Auburn</t>
  </si>
  <si>
    <t>FOB Schoeps?</t>
  </si>
  <si>
    <t>Fall, 1991</t>
  </si>
  <si>
    <t>Master Cassette Audience (unknown mics)</t>
  </si>
  <si>
    <t>Nakamichi CM300+CP4&gt; ?</t>
  </si>
  <si>
    <t>The Warehouse</t>
  </si>
  <si>
    <t>The Rink</t>
  </si>
  <si>
    <t>Unknown AUD&gt;1CassGen</t>
  </si>
  <si>
    <t>The Agora Ballroom</t>
  </si>
  <si>
    <t>Cleveland</t>
  </si>
  <si>
    <t>Neumann 190s @ 90 degrees</t>
  </si>
  <si>
    <t>The Dugout Lounge, Ohio University</t>
  </si>
  <si>
    <t>Audience MC</t>
  </si>
  <si>
    <t>missing Take the 'A' Train</t>
  </si>
  <si>
    <t>The Cubby Bear</t>
  </si>
  <si>
    <t>AUD/Neumann RSM-191</t>
  </si>
  <si>
    <t>Mabel's</t>
  </si>
  <si>
    <t>Champaign</t>
  </si>
  <si>
    <t>AUD &gt; ? &gt; Cass (low Gen)</t>
  </si>
  <si>
    <t>SBD&gt;Cass/3</t>
  </si>
  <si>
    <t>missing Memories</t>
  </si>
  <si>
    <t>Cochran Lounge, Student Union, Macalester College</t>
  </si>
  <si>
    <t>St. Paul</t>
  </si>
  <si>
    <t>missing The Squirming Coil, Sweet Adeline and Llama</t>
  </si>
  <si>
    <t>EMU Ballroom, University of Oregon</t>
  </si>
  <si>
    <t>SBD &gt; Page's Master &gt; C0</t>
  </si>
  <si>
    <t>Backstage</t>
  </si>
  <si>
    <t>Seattle</t>
  </si>
  <si>
    <t>soundboard &gt; cassette &gt; cass(1)</t>
  </si>
  <si>
    <t>missing most of set II and the encore</t>
  </si>
  <si>
    <t>Roseland Theater</t>
  </si>
  <si>
    <t>soundboard &gt; Nakamichi BX-300 &gt; Cass/1</t>
  </si>
  <si>
    <t>North Shore Surf Club</t>
  </si>
  <si>
    <t>SBD-&gt;Cass(0)</t>
  </si>
  <si>
    <t>NAK 100-&gt;analog master</t>
  </si>
  <si>
    <t>Great American Music Hall</t>
  </si>
  <si>
    <t>missing Love You, Possum, Magilla and Rocky Top</t>
  </si>
  <si>
    <t>SBD&gt;Cass/0</t>
  </si>
  <si>
    <t>listed as DSBD</t>
  </si>
  <si>
    <t>Chuy's</t>
  </si>
  <si>
    <t>Tempe</t>
  </si>
  <si>
    <t>AZ</t>
  </si>
  <si>
    <t>Crystal Ballroom, Hotel St. Michael</t>
  </si>
  <si>
    <t>Prescott</t>
  </si>
  <si>
    <t>Sbd&gt;CassM</t>
  </si>
  <si>
    <t>Club West</t>
  </si>
  <si>
    <t>Santa Fe</t>
  </si>
  <si>
    <t>NM</t>
  </si>
  <si>
    <t>Elk Ballroom</t>
  </si>
  <si>
    <t>FOB Aud Analog Cass, 2nd gen</t>
  </si>
  <si>
    <t>missing set I, partial set II</t>
  </si>
  <si>
    <t>Armstrong Hall, Colorado College</t>
  </si>
  <si>
    <t>C'rado Springs</t>
  </si>
  <si>
    <t>FOB Aud Analog Cass, unknown gen</t>
  </si>
  <si>
    <t>dSBD</t>
  </si>
  <si>
    <t>Lory Student Center Theatre, Colorado State University</t>
  </si>
  <si>
    <t>Sbd&gt;cass?&gt;SonyTC-WE305</t>
  </si>
  <si>
    <t>includes soundcheck, missing set II and encore</t>
  </si>
  <si>
    <t>AUD/FOB Nakamichi 100 cardioids</t>
  </si>
  <si>
    <t>Ivory Tusk</t>
  </si>
  <si>
    <t>AUD/FOB Nakamichi 100 cardioids&gt;D</t>
  </si>
  <si>
    <t>Music Farm</t>
  </si>
  <si>
    <t>Love Auditorium, Davidson College</t>
  </si>
  <si>
    <t>Davidson</t>
  </si>
  <si>
    <t>(FOB) AKG &gt; Sony 75ES</t>
  </si>
  <si>
    <t>AKG&gt;Sony 75ES (FOB)</t>
  </si>
  <si>
    <t>(fob/dfc) AT 4053</t>
  </si>
  <si>
    <t>AUD/Senn ME80&gt;Cass Master&gt;D</t>
  </si>
  <si>
    <t>Master Cassette Audience (mics unknown)</t>
  </si>
  <si>
    <t>Unknown Aud&gt;Tascam 4 Track&gt;Cass0</t>
  </si>
  <si>
    <t>I: SBD, II: Analog Cassette (labeled AUD1)</t>
  </si>
  <si>
    <t>Sullivan Gymnasium, University of Southern Maine</t>
  </si>
  <si>
    <t>FOB Nak 300/CP1 &gt; Sony D5</t>
  </si>
  <si>
    <t>Alumni Hall</t>
  </si>
  <si>
    <t>Barre</t>
  </si>
  <si>
    <t>missing Sweet Adeline and Rocky Top</t>
  </si>
  <si>
    <t>E. Glenn Glitz Auditorium, SUNY-Plattsburgh</t>
  </si>
  <si>
    <t>Plattsburgh</t>
  </si>
  <si>
    <t>Unknown AUD Rig</t>
  </si>
  <si>
    <t>Greenfield Armory Castle</t>
  </si>
  <si>
    <t>Greenfield</t>
  </si>
  <si>
    <t>SBD &gt; ?&gt;Cass0&gt;Sony TC-WE305</t>
  </si>
  <si>
    <t>McCullough Social Hall, Middlebury College</t>
  </si>
  <si>
    <t>Sbd</t>
  </si>
  <si>
    <t>includes soundcheck, missing Memories</t>
  </si>
  <si>
    <t>missing Sweet Adeline and Golgi Apparatus</t>
  </si>
  <si>
    <t>New Year's Eve, 1991</t>
  </si>
  <si>
    <t>Worcester Memorial Auditorium</t>
  </si>
  <si>
    <t>Practice Session</t>
  </si>
  <si>
    <t>The Band House</t>
  </si>
  <si>
    <t>Winooski</t>
  </si>
  <si>
    <t>Boombox AUD &gt; Cass/1</t>
  </si>
  <si>
    <t>Spring, 1992</t>
  </si>
  <si>
    <t>Purported SBD &gt; Cass/1</t>
  </si>
  <si>
    <t>I: Unknown Aud, II: DSbd</t>
  </si>
  <si>
    <t>Unknown Lineage</t>
  </si>
  <si>
    <t>The Flynn Theatre</t>
  </si>
  <si>
    <t>AKG 414 &gt; D5 (Cass0) &gt; Cass1</t>
  </si>
  <si>
    <t>MCass&gt;(DAT ?)&gt;PCM</t>
  </si>
  <si>
    <t>Roseland Ballroom</t>
  </si>
  <si>
    <t>Lisner Auditorium, George Washington University</t>
  </si>
  <si>
    <t>I/II: SBD, Tweezer through the end: B+K 4011</t>
  </si>
  <si>
    <t>Palace Theatre</t>
  </si>
  <si>
    <t>Nak 300s</t>
  </si>
  <si>
    <t>Broome County Forum</t>
  </si>
  <si>
    <t>SBD &gt; (cass?)</t>
  </si>
  <si>
    <t>Chestnut Cabaret</t>
  </si>
  <si>
    <t>Philadelphia</t>
  </si>
  <si>
    <t>akg451/ck1 (X-Y 90) -&gt; B18</t>
  </si>
  <si>
    <t>Cultural Center Auditorium</t>
  </si>
  <si>
    <t>WV</t>
  </si>
  <si>
    <t>reported: fm &gt; cass/1</t>
  </si>
  <si>
    <t>Flood Zone</t>
  </si>
  <si>
    <t>AKG451-&gt;b18's-&gt;D5</t>
  </si>
  <si>
    <t>Ziggy's</t>
  </si>
  <si>
    <t>Winston-Salem</t>
  </si>
  <si>
    <t>Nak 100's &gt; Cass/1</t>
  </si>
  <si>
    <t>aud/cas/m&gt;D (probably Nak300 cp1 (cardioids))</t>
  </si>
  <si>
    <t>AKG-460B/CK8 (FOB)</t>
  </si>
  <si>
    <t>missing Memories, Carolina, I Didn't Know and Sweet Adeline</t>
  </si>
  <si>
    <t>Mississippi Nights</t>
  </si>
  <si>
    <t>St. Louis</t>
  </si>
  <si>
    <t>MO</t>
  </si>
  <si>
    <t>AKG 1200's (cardioid dynamics)</t>
  </si>
  <si>
    <t>The Blue Note</t>
  </si>
  <si>
    <t>Sony PV200x2 mics&gt;D5(MC)</t>
  </si>
  <si>
    <t>Liberty Hall</t>
  </si>
  <si>
    <t>Lawrence</t>
  </si>
  <si>
    <t>KS</t>
  </si>
  <si>
    <t>Aud (Sennheiser ME80's?)</t>
  </si>
  <si>
    <t>Sawatch Hall, Park Hyatt Beaver Creek</t>
  </si>
  <si>
    <t>Avon</t>
  </si>
  <si>
    <t>Balch Fieldhouse, University of Colorado</t>
  </si>
  <si>
    <t>The Fox Theatre</t>
  </si>
  <si>
    <t>SBD/AUD mix</t>
  </si>
  <si>
    <t>Paul Wright Gym, Western State College</t>
  </si>
  <si>
    <t>Gunnison</t>
  </si>
  <si>
    <t>COSBD -&gt; Cass(unknown gens)</t>
  </si>
  <si>
    <t>I: SBD &gt; Cass/x, II: Unknown AUD &gt; Cass/x</t>
  </si>
  <si>
    <t>El Ray Theater</t>
  </si>
  <si>
    <t>Alburquerque</t>
  </si>
  <si>
    <t>Arizona Ballroom, University of Arizona Student Union</t>
  </si>
  <si>
    <t>Tucson</t>
  </si>
  <si>
    <t>Sbd&gt;Cass1&gt;Sony TC-WE305</t>
  </si>
  <si>
    <t>After the Gold Rush</t>
  </si>
  <si>
    <t>SBD &gt; Sony D6c</t>
  </si>
  <si>
    <t>Variety Arts Center</t>
  </si>
  <si>
    <t>Los Angeles</t>
  </si>
  <si>
    <t>Anaconda Theatre</t>
  </si>
  <si>
    <t>Santa Barbara</t>
  </si>
  <si>
    <t>Warfield Theatre</t>
  </si>
  <si>
    <t>Sbd Cass(x)</t>
  </si>
  <si>
    <t>Wilbur Field, Stanford University</t>
  </si>
  <si>
    <t>Palo Alto</t>
  </si>
  <si>
    <t>DSBD &gt; Cass/?</t>
  </si>
  <si>
    <t>Rocky Top, Contact and BBFCFM are from the Neumann source</t>
  </si>
  <si>
    <t>FOB(20ft from stage, DFC) Nak300's</t>
  </si>
  <si>
    <t>Redwood Acres Fairgrounds</t>
  </si>
  <si>
    <t>Eureka</t>
  </si>
  <si>
    <t>SBD &gt; C1</t>
  </si>
  <si>
    <t>missing Sweet Adeline and Cavern</t>
  </si>
  <si>
    <t>Hilton Ballroom</t>
  </si>
  <si>
    <t xml:space="preserve">missing Llama, Foam, Reba and All Things Reconsidered </t>
  </si>
  <si>
    <t>Oz Nightclub</t>
  </si>
  <si>
    <t>Sonic Studios DSM omni mics</t>
  </si>
  <si>
    <t>SBD &gt; Analog</t>
  </si>
  <si>
    <t>SBD&gt; Cass/x</t>
  </si>
  <si>
    <t>missing Memories, Sweet Adeline and Cavern</t>
  </si>
  <si>
    <t>First Avenue</t>
  </si>
  <si>
    <t>I: audience, Audix cardioids, II: SDBD&gt;CASS0</t>
  </si>
  <si>
    <t>I: SBD, II: Unknown mics &gt; D5 &gt; Cass/0</t>
  </si>
  <si>
    <t>The Rave</t>
  </si>
  <si>
    <t>Milwaukee</t>
  </si>
  <si>
    <t>I: Bootleg CD (SBD), II: Neumann RSM191A-S</t>
  </si>
  <si>
    <t>Cabaret Metro</t>
  </si>
  <si>
    <t>Neumann RSM191A-S&gt;Neumann MTX191A</t>
  </si>
  <si>
    <t>Michigan State University Union Ballroom</t>
  </si>
  <si>
    <t>East Lansing</t>
  </si>
  <si>
    <t>Bogart's</t>
  </si>
  <si>
    <t>Cincinnati</t>
  </si>
  <si>
    <t>Source microphones unknown</t>
  </si>
  <si>
    <t>St. Andrew's Hall</t>
  </si>
  <si>
    <t>Detroit</t>
  </si>
  <si>
    <t>I: SBD, II: Neumann RSM191A-S</t>
  </si>
  <si>
    <t>The Agora Theatre</t>
  </si>
  <si>
    <t>Neumann RSM-191s</t>
  </si>
  <si>
    <t>The Riviera Theatre</t>
  </si>
  <si>
    <t>Nakamichi 300 cards(FOB)-&gt;Casio DA-2</t>
  </si>
  <si>
    <t>The Syracuse Armory</t>
  </si>
  <si>
    <t>I: 2 Nak300's, II: SBD&gt;Cass/0</t>
  </si>
  <si>
    <t>I: Aud(unknown mics)&gt; Cass/x, II: SBD&gt;Cass1</t>
  </si>
  <si>
    <t>missing Bouncing Around the Room</t>
  </si>
  <si>
    <t>SBD-&gt;cass/1</t>
  </si>
  <si>
    <t>Lonestar Roadhouse</t>
  </si>
  <si>
    <t>The Orpheum Theatre</t>
  </si>
  <si>
    <t>Sweet Adeline is from an unknown AUD source</t>
  </si>
  <si>
    <t>Achilles Rink, Union College</t>
  </si>
  <si>
    <t>Schenectady</t>
  </si>
  <si>
    <t>NAK 300&gt;D5&gt;PCM R500</t>
  </si>
  <si>
    <t>Summer, 1992 European Tour</t>
  </si>
  <si>
    <t>Stadtpark</t>
  </si>
  <si>
    <t>Hamburg</t>
  </si>
  <si>
    <t>DE</t>
  </si>
  <si>
    <t>sbd &gt; cass/x</t>
  </si>
  <si>
    <t>Waldbuhne</t>
  </si>
  <si>
    <t>Nordheim</t>
  </si>
  <si>
    <t>Phillipshalle</t>
  </si>
  <si>
    <t>Dusseldorf</t>
  </si>
  <si>
    <t>Resi</t>
  </si>
  <si>
    <t>Nuremberg</t>
  </si>
  <si>
    <t>Roskilde Festival</t>
  </si>
  <si>
    <t>Roskilde</t>
  </si>
  <si>
    <t>DK</t>
  </si>
  <si>
    <t>Sony ECM-155 &gt; Denon DTR-80P</t>
  </si>
  <si>
    <t>Elysee Montmartre</t>
  </si>
  <si>
    <t>Paris</t>
  </si>
  <si>
    <t>FR</t>
  </si>
  <si>
    <t>Ancienne Beguique</t>
  </si>
  <si>
    <t>Brussels</t>
  </si>
  <si>
    <t>BE</t>
  </si>
  <si>
    <t>Brixton Academy</t>
  </si>
  <si>
    <t>London</t>
  </si>
  <si>
    <t>UK</t>
  </si>
  <si>
    <t>Summer, 1992 U.S. Tour</t>
  </si>
  <si>
    <t>Cumberland County Civic Center</t>
  </si>
  <si>
    <t>Empire Court</t>
  </si>
  <si>
    <t>AKG 460B/ck63</t>
  </si>
  <si>
    <t>Garden State Arts Center</t>
  </si>
  <si>
    <t>Holmdel</t>
  </si>
  <si>
    <t>Jones Beach Amphitheater</t>
  </si>
  <si>
    <t>Wantagh</t>
  </si>
  <si>
    <t>Neumann RSM-191-S</t>
  </si>
  <si>
    <t>The Boathouse</t>
  </si>
  <si>
    <t>Norfolk</t>
  </si>
  <si>
    <t>Nak300&gt;Nak mx100&gt;D5</t>
  </si>
  <si>
    <t>Neumann RSM 191</t>
  </si>
  <si>
    <t>Merriweather Post Pavilion</t>
  </si>
  <si>
    <t>The Mann Center for the Performing Arts</t>
  </si>
  <si>
    <t>Sony ECM-959 stereo mic (in hat)</t>
  </si>
  <si>
    <t>Great Woods Center for the Performing Arts</t>
  </si>
  <si>
    <t>Mansfield</t>
  </si>
  <si>
    <t>Holman Stadium</t>
  </si>
  <si>
    <t>Nashua</t>
  </si>
  <si>
    <t>MTV Studios</t>
  </si>
  <si>
    <t>unknown TV rip</t>
  </si>
  <si>
    <t>segments of songs aired on Hangin' with MTV, almost unlistenable</t>
  </si>
  <si>
    <t>Stowe Performing Arts Center</t>
  </si>
  <si>
    <t>Stowe</t>
  </si>
  <si>
    <t>DSBD &gt; ?</t>
  </si>
  <si>
    <t>Big Birch Concert Pavilion</t>
  </si>
  <si>
    <t>Patterson</t>
  </si>
  <si>
    <t>Saratoga Performing Arts Center</t>
  </si>
  <si>
    <t>S. Springs</t>
  </si>
  <si>
    <t xml:space="preserve">unknown Aud/3 cassette </t>
  </si>
  <si>
    <t>Finger Lakes Performing Arts Center</t>
  </si>
  <si>
    <t>Canandaigua</t>
  </si>
  <si>
    <t>Meadow Brook Music Festival</t>
  </si>
  <si>
    <t>Rochester Hills</t>
  </si>
  <si>
    <t>Sonic Studios DSM-10 omni&gt;D3</t>
  </si>
  <si>
    <t>Blossom Music Center</t>
  </si>
  <si>
    <t>Cuyahoga Falls</t>
  </si>
  <si>
    <t>Poplar Creek Music Center</t>
  </si>
  <si>
    <t>Hoffman Estates</t>
  </si>
  <si>
    <t>Nak 300 &gt; Sony cassette deck</t>
  </si>
  <si>
    <t>Riverport Amphitheater</t>
  </si>
  <si>
    <t>M'land Heights</t>
  </si>
  <si>
    <t>Unknown Daud-&gt;2nd gen cass</t>
  </si>
  <si>
    <t>Greek Theatre</t>
  </si>
  <si>
    <t>SBD -&gt; Cass0</t>
  </si>
  <si>
    <t>DSBD&gt;D</t>
  </si>
  <si>
    <t>The Coach House</t>
  </si>
  <si>
    <t>San Juan</t>
  </si>
  <si>
    <t>SBD&gt;C1</t>
  </si>
  <si>
    <t>Pima County Fairgrounds</t>
  </si>
  <si>
    <t>MCass (Sony TCS-430 w/ unknown mics)</t>
  </si>
  <si>
    <t>Pan American Center</t>
  </si>
  <si>
    <t>Las Cruces</t>
  </si>
  <si>
    <t>Colorado State Fair, Pueblo State Fairgrounds</t>
  </si>
  <si>
    <t>Pueblo</t>
  </si>
  <si>
    <t>Gerald Ford Amphitheater</t>
  </si>
  <si>
    <t>Vail</t>
  </si>
  <si>
    <t>The Downs</t>
  </si>
  <si>
    <t>Nak 300 Guns</t>
  </si>
  <si>
    <t>Santa Barbara County Bowl</t>
  </si>
  <si>
    <t>AUD (unknown mics)</t>
  </si>
  <si>
    <t>Concord Pavilion</t>
  </si>
  <si>
    <t>Sonic Studios DSM-6</t>
  </si>
  <si>
    <t>missing Poor Heart, Foam, Stash and Sweet Adeline</t>
  </si>
  <si>
    <t>Shoreline Amphitheatre</t>
  </si>
  <si>
    <t>Mountain View</t>
  </si>
  <si>
    <t>?? (Labeled as SBD&gt;Cass 1st Gen.)</t>
  </si>
  <si>
    <t>Cal Expo Amphitheater</t>
  </si>
  <si>
    <t>Sacramento</t>
  </si>
  <si>
    <t>Fall, 1992</t>
  </si>
  <si>
    <t>Boston Garden</t>
  </si>
  <si>
    <t>Ross Arena, St. Michael's College</t>
  </si>
  <si>
    <t>Colchester</t>
  </si>
  <si>
    <t>sbd&gt;c1</t>
  </si>
  <si>
    <t>missing Memories, Sweet Adeline and Good Times Bad Times</t>
  </si>
  <si>
    <t>Pritchard Gym, SB Sports Complex, SUNY Stony Brook</t>
  </si>
  <si>
    <t>Stony Brook</t>
  </si>
  <si>
    <t>NAK 300 &gt; Sony TCD-D3</t>
  </si>
  <si>
    <t>Bailey Hall, Cornell University</t>
  </si>
  <si>
    <t>AUD (2 AKG 460b/ck63-TS)</t>
  </si>
  <si>
    <t>2 AKG460b/ck63</t>
  </si>
  <si>
    <t>Keswick Theatre</t>
  </si>
  <si>
    <t>Glenside</t>
  </si>
  <si>
    <t>Sony ECM 260's-&gt;Sony D5 Cass/0</t>
  </si>
  <si>
    <t>Metropol</t>
  </si>
  <si>
    <t>Pittsburgh</t>
  </si>
  <si>
    <t>Nak100 (xy90) -&gt; Sony D5</t>
  </si>
  <si>
    <t>Livingston Gymnasium, Denison University</t>
  </si>
  <si>
    <t>Newport Music Hall</t>
  </si>
  <si>
    <t>Neumann RSM190i &gt; Neumann PS</t>
  </si>
  <si>
    <t>neumann km140&gt;sony d5&gt;cass1</t>
  </si>
  <si>
    <t>Realistic PZM microphones</t>
  </si>
  <si>
    <t>The Vic Theatre</t>
  </si>
  <si>
    <t>Neumann RSM-191-s @ 150 deg. XY</t>
  </si>
  <si>
    <t>State Theater</t>
  </si>
  <si>
    <t>Kalamazoo</t>
  </si>
  <si>
    <t>Neumann RMS 190i-&gt;Neumann PS</t>
  </si>
  <si>
    <t>missing Bold As Love, Carolina and Tweezer Reprise</t>
  </si>
  <si>
    <t>Michigan Theater</t>
  </si>
  <si>
    <t>I: Schoeps cmc5/21, II: Neumann RSM-191-S</t>
  </si>
  <si>
    <t>missing The Squirming Coil</t>
  </si>
  <si>
    <t>The Spectrum</t>
  </si>
  <si>
    <t>Toronto</t>
  </si>
  <si>
    <t>ON</t>
  </si>
  <si>
    <t>SBD -&gt; CASS0</t>
  </si>
  <si>
    <t>Le Spectrum</t>
  </si>
  <si>
    <t>Neumann RSM191-S @ 110degree XY</t>
  </si>
  <si>
    <t>Holiday Run, 1992</t>
  </si>
  <si>
    <t>Schoeps CMC5/mk4-&gt;Sonosax-&gt;DAP20</t>
  </si>
  <si>
    <t>Big Ball Jam (a capella) and Carolina are from the FOB source</t>
  </si>
  <si>
    <t>Symphony Hall</t>
  </si>
  <si>
    <t>Springfield</t>
  </si>
  <si>
    <t>Matthews Arena, Northeastern University</t>
  </si>
  <si>
    <t>Matrix(DSBD+Elektra AUD)</t>
  </si>
  <si>
    <t>Winter/Spring, 1993</t>
  </si>
  <si>
    <t>Portland Expo</t>
  </si>
  <si>
    <t>Sennheiser 421 &gt; Sony TCD-D3</t>
  </si>
  <si>
    <t>Providence Performing Arts Center</t>
  </si>
  <si>
    <t>AKG 451 from tapers area</t>
  </si>
  <si>
    <t>FOB Scheops CMC54</t>
  </si>
  <si>
    <t>FOB Schoeps CMC5/mk4</t>
  </si>
  <si>
    <t>unknown audience source</t>
  </si>
  <si>
    <t>Auditorium Theatre</t>
  </si>
  <si>
    <t>Sennheiser ME-40's -&gt; Telefunken Pre</t>
  </si>
  <si>
    <t>Smith Opera House</t>
  </si>
  <si>
    <t>FOB akg 460b's</t>
  </si>
  <si>
    <t>Haas Center for the Arts</t>
  </si>
  <si>
    <t>Bloomsburg</t>
  </si>
  <si>
    <t>Sony PZMs &gt; D3</t>
  </si>
  <si>
    <t>Mid-Hudson Civic Center</t>
  </si>
  <si>
    <t>akg 460b's</t>
  </si>
  <si>
    <t>Bob Carpenter Center, Unversity of Delaware</t>
  </si>
  <si>
    <t>Newark</t>
  </si>
  <si>
    <t>akg 460b+ck8"shotguns"&gt;custom preamp</t>
  </si>
  <si>
    <t>Memorial Hall, University of North Carolina</t>
  </si>
  <si>
    <t>2 NAK 300's+2 SENN 441's&gt;DC3</t>
  </si>
  <si>
    <t>Benton Convention Center</t>
  </si>
  <si>
    <t>(3) Nak 100s (2 card, 1 shotgun)</t>
  </si>
  <si>
    <t>includes soundcheck, missing Good Times Bad Times</t>
  </si>
  <si>
    <t>Electric Ballroom</t>
  </si>
  <si>
    <t>includes soundcheck, missing Amazing Grace, Memories, Sweet Adeline, Rocky Top</t>
  </si>
  <si>
    <t>Roxy Theatre</t>
  </si>
  <si>
    <t>AKG 460b's&gt;OADE&gt;PANASONIC 255</t>
  </si>
  <si>
    <t>The Moon</t>
  </si>
  <si>
    <t>Tallahassee</t>
  </si>
  <si>
    <t>FL</t>
  </si>
  <si>
    <t>aud/48khz-Schoeps CMC44&gt;Oade M148</t>
  </si>
  <si>
    <t>The Edge Night Club</t>
  </si>
  <si>
    <t>Orlando</t>
  </si>
  <si>
    <t>The Cameo Theatre</t>
  </si>
  <si>
    <t>Miami Beach</t>
  </si>
  <si>
    <t>Unknown (possibly FOB Schoeps cmc54's)</t>
  </si>
  <si>
    <t>Ritz Theatre</t>
  </si>
  <si>
    <t>Tampa</t>
  </si>
  <si>
    <t>Aud(unknown mics)</t>
  </si>
  <si>
    <t>Florida Theatre</t>
  </si>
  <si>
    <t>Gainesville</t>
  </si>
  <si>
    <t>DSBD &gt; C1</t>
  </si>
  <si>
    <t>Amazing Grace and Rocky Top are AUD</t>
  </si>
  <si>
    <t>missing The Horse and Amazing Grace</t>
  </si>
  <si>
    <t>Deep Ellum Live</t>
  </si>
  <si>
    <t>Sonic Studios omnis &gt; Sony D7</t>
  </si>
  <si>
    <t>Liberty Lunch</t>
  </si>
  <si>
    <t>FOB Sonic Studio omnis &gt; D3 &gt; EQ &gt; D7</t>
  </si>
  <si>
    <t>Sweeney Center</t>
  </si>
  <si>
    <t>Pike's Peak Center</t>
  </si>
  <si>
    <t>missing The Squirming Coil, Tweezer Reprise, Amazing Grace and Rocky Top</t>
  </si>
  <si>
    <t>Dobson Arena</t>
  </si>
  <si>
    <t>Rocky Top is AUD</t>
  </si>
  <si>
    <t>I: Aud Cass/3 (gear unknown), II: SBD &gt; cass</t>
  </si>
  <si>
    <t>includes soundcheck, missing Memories and Sweet Adeline</t>
  </si>
  <si>
    <t>Celebrity Theatre</t>
  </si>
  <si>
    <t>Phoenix</t>
  </si>
  <si>
    <t>aud(unknown mics)cass(2)</t>
  </si>
  <si>
    <t>The Palace</t>
  </si>
  <si>
    <t>Hollywood</t>
  </si>
  <si>
    <t>Unknown AUD (possibly Schoeps)</t>
  </si>
  <si>
    <t>The Greek Theatre</t>
  </si>
  <si>
    <t>Redlands</t>
  </si>
  <si>
    <t>Ventura Theatre</t>
  </si>
  <si>
    <t>Ventura</t>
  </si>
  <si>
    <t>Nakamichi CM300/CP4 &gt; Sony D3</t>
  </si>
  <si>
    <t>Crest Theatre</t>
  </si>
  <si>
    <t>SBD -&gt; MASTER CASSETTE</t>
  </si>
  <si>
    <t>Luther Burbank Center for the Arts</t>
  </si>
  <si>
    <t>Santa Rosa</t>
  </si>
  <si>
    <t>FOB schoeps cmc54</t>
  </si>
  <si>
    <t>Santa Cruz Civic Auditorium</t>
  </si>
  <si>
    <t>fob schoeps cmc54's</t>
  </si>
  <si>
    <t>Fob-&gt;Drink Rail-&gt;Nuemann km 54's</t>
  </si>
  <si>
    <t>FOB Schoeps CMC 54 ORTF</t>
  </si>
  <si>
    <t>East Gym, Humboldt State University</t>
  </si>
  <si>
    <t>Nakamichi 300's &gt; D5 (analog) preamp &gt; D3</t>
  </si>
  <si>
    <t>TOA k1's Balcony &gt; DTR-80P</t>
  </si>
  <si>
    <t>TOA K1-&gt;Denon DTR-80p</t>
  </si>
  <si>
    <t>Gov. Tom McCall Waterfront Park</t>
  </si>
  <si>
    <t>Mt. Baker Theatre</t>
  </si>
  <si>
    <t>Bellingham</t>
  </si>
  <si>
    <t>Nakamichi CM300</t>
  </si>
  <si>
    <t>86th Street Music Hall</t>
  </si>
  <si>
    <t>Vancouver</t>
  </si>
  <si>
    <t>BC</t>
  </si>
  <si>
    <t>Nakamichi 300's&gt;Sony D7</t>
  </si>
  <si>
    <t>HUB Ballroom</t>
  </si>
  <si>
    <t>(FOB) Neumann km140 &gt; Sonosax SX-M2</t>
  </si>
  <si>
    <t>State Theatre</t>
  </si>
  <si>
    <t>sbd&gt;cass</t>
  </si>
  <si>
    <t>includes soundcheck, missing Sweet Adeline</t>
  </si>
  <si>
    <t>Aragon Ballroom</t>
  </si>
  <si>
    <t>Sbd-&gt;Cass/0</t>
  </si>
  <si>
    <t>missing Amazing Grace</t>
  </si>
  <si>
    <t>IMU Ballroom, University of Iowa</t>
  </si>
  <si>
    <t>Iowa City</t>
  </si>
  <si>
    <t>IA</t>
  </si>
  <si>
    <t>SBD&gt; CASS(0)</t>
  </si>
  <si>
    <t>Memorial Hall</t>
  </si>
  <si>
    <t>Kansas City</t>
  </si>
  <si>
    <t>AKG 451/CK1's</t>
  </si>
  <si>
    <t>American Theater</t>
  </si>
  <si>
    <t>Unknown Aud</t>
  </si>
  <si>
    <t>The Macauley Theater</t>
  </si>
  <si>
    <t>Louisville</t>
  </si>
  <si>
    <t>KY</t>
  </si>
  <si>
    <t>AKG 460b/ck8 &gt; Casio DA-7</t>
  </si>
  <si>
    <t>Master DAT soundboard</t>
  </si>
  <si>
    <t>Radio Shack PZM's</t>
  </si>
  <si>
    <t>FOB B&amp;K 4011's</t>
  </si>
  <si>
    <t>FOB schoeps cmc521</t>
  </si>
  <si>
    <t>Cottrell Court, Reid Athletic Center, Colgate University</t>
  </si>
  <si>
    <t>AKG460B/CK61 (TS)&gt; CUSTOM PREAMP</t>
  </si>
  <si>
    <t>Cheel Arena, Clarkson University</t>
  </si>
  <si>
    <t>Kuhl Gym, SUNY Geneseo</t>
  </si>
  <si>
    <t>Geneseo</t>
  </si>
  <si>
    <t>akg460b/ck61&gt;Teac DA-P20</t>
  </si>
  <si>
    <t>Concert Hall</t>
  </si>
  <si>
    <t>Naks(? Model)&gt;Tascam DA-P1</t>
  </si>
  <si>
    <t>I: Nakamichi 300/cp-1, II: Sennheiser 421</t>
  </si>
  <si>
    <t>includes soundcheck, missing encore</t>
  </si>
  <si>
    <t>Sports Center, University of Hartford</t>
  </si>
  <si>
    <t>West Hartford</t>
  </si>
  <si>
    <t>Schoeps mk4 &gt; kc5 &gt; cmc5</t>
  </si>
  <si>
    <t>Tower Theatre</t>
  </si>
  <si>
    <t>Upper Darby</t>
  </si>
  <si>
    <t>SBD &gt; Cass3</t>
  </si>
  <si>
    <t>missing Uncle Pen and Bouncing Around the Room</t>
  </si>
  <si>
    <t>New Brunswick</t>
  </si>
  <si>
    <t>I: schoeps cmc54, II: SBD</t>
  </si>
  <si>
    <t>Bangor Auditorium</t>
  </si>
  <si>
    <t>Bangor</t>
  </si>
  <si>
    <t>Schoeps of unknown lineage</t>
  </si>
  <si>
    <t>Schoeps MK4/CMC5 &gt; Sonosax SX-M2</t>
  </si>
  <si>
    <t>Laguna Seca Raceway</t>
  </si>
  <si>
    <t>Monterey</t>
  </si>
  <si>
    <t>MK21's&gt;Schoeps CMC4's</t>
  </si>
  <si>
    <t>SBD &gt; C0</t>
  </si>
  <si>
    <t>missing Lengthwise</t>
  </si>
  <si>
    <t>Summer, 1993</t>
  </si>
  <si>
    <t>Cayuga County Fairgrounds</t>
  </si>
  <si>
    <t>Weedsport</t>
  </si>
  <si>
    <t>akg 460/ck61</t>
  </si>
  <si>
    <t>I: schoeps cmc521, II: SBD</t>
  </si>
  <si>
    <t>The Filene Center at Wolf Trap</t>
  </si>
  <si>
    <t>Vienna</t>
  </si>
  <si>
    <t>Schoeps mk4 &gt; kc5 &gt; cmc5 &gt; Sonosax SX-M2</t>
  </si>
  <si>
    <t>IC Light Ampitheater</t>
  </si>
  <si>
    <t>Schoeps CMC4 -&gt; SX-M2 -&gt; SV250</t>
  </si>
  <si>
    <t>Orange County Fairgrounds</t>
  </si>
  <si>
    <t>FOB Schoeps CMC5/MK4 &gt; SAX &gt; D10</t>
  </si>
  <si>
    <t>AKG460's w/ CK-61 cardioid capsules</t>
  </si>
  <si>
    <t>(FOB) Schoeps MK4&gt;KC5&gt;CMC5</t>
  </si>
  <si>
    <t>Waterloo Village</t>
  </si>
  <si>
    <t>Stanhope</t>
  </si>
  <si>
    <t>SBD&gt; CASS/x</t>
  </si>
  <si>
    <t>Classic Amphitheater</t>
  </si>
  <si>
    <t>FOB Neumann KM150's</t>
  </si>
  <si>
    <t>Grady Cole Center</t>
  </si>
  <si>
    <t>(F.O.B.) Nak 300's</t>
  </si>
  <si>
    <t>Tennessee Theatre</t>
  </si>
  <si>
    <t>Nakamichi CM300/CP1</t>
  </si>
  <si>
    <t>The Veranda at Starwood</t>
  </si>
  <si>
    <t>Antioch</t>
  </si>
  <si>
    <t>Nakamichi CM300/CP4</t>
  </si>
  <si>
    <t>Masquerade Music Park</t>
  </si>
  <si>
    <t>AKG 414</t>
  </si>
  <si>
    <t>AKG 460 + CK61 (FOB) &gt; Oade 48vt PS</t>
  </si>
  <si>
    <t>Bayfront Park Amphitheater</t>
  </si>
  <si>
    <t>Miami</t>
  </si>
  <si>
    <t>cAUD (NAK mics, not sure which model)</t>
  </si>
  <si>
    <t>Cincinnati Zoo Peacock Pavilion</t>
  </si>
  <si>
    <t>I: FOB Schoeps cmc3/mk4, II: SBD</t>
  </si>
  <si>
    <t>Darien Lake Performing Arts Center</t>
  </si>
  <si>
    <t>Darien Center</t>
  </si>
  <si>
    <t>AUD (FOB)&gt;AKG460b/ck61&gt;Custom Preamp</t>
  </si>
  <si>
    <t>Nautica Stage</t>
  </si>
  <si>
    <t>(F.O.B.) AKG 460/ck63&gt;D7</t>
  </si>
  <si>
    <t>AKG 460b &gt; Custom Preamp</t>
  </si>
  <si>
    <t>Eastbrook Theatre</t>
  </si>
  <si>
    <t>Grand Rapids</t>
  </si>
  <si>
    <t>(F.O.B.) B&amp;K 4011's&gt;DA-P20</t>
  </si>
  <si>
    <t>(FOB) B&amp;K 4011's</t>
  </si>
  <si>
    <t>Murat Theatre</t>
  </si>
  <si>
    <t>Indianapolis</t>
  </si>
  <si>
    <t>Nakamichi CM-300's</t>
  </si>
  <si>
    <t>World Music Theatre</t>
  </si>
  <si>
    <t>Tinley Park</t>
  </si>
  <si>
    <t>Unknown Source (AKG 460's??)</t>
  </si>
  <si>
    <t>AKG 460b+CK8&gt;D7&gt;DA-20&gt;Lucid PC124</t>
  </si>
  <si>
    <t>Nakamichi 300 Omnis &gt; Sony D7 &gt; Cass</t>
  </si>
  <si>
    <t>AKG 414 &gt; D5 &gt; DAP20</t>
  </si>
  <si>
    <t>Red Rocks Amphitheatre</t>
  </si>
  <si>
    <t>Morrison</t>
  </si>
  <si>
    <t>SBD:(FM)D</t>
  </si>
  <si>
    <t>Saltair Pavilion</t>
  </si>
  <si>
    <t>Salt Lake City</t>
  </si>
  <si>
    <t>UT</t>
  </si>
  <si>
    <t>AUDIENCE: SONY MC80'S&gt; DAT</t>
  </si>
  <si>
    <t>Commodore Ballroom</t>
  </si>
  <si>
    <t>cSBD&gt; DAT clone&gt; Tascam DA-20</t>
  </si>
  <si>
    <t>Paramount Theatre</t>
  </si>
  <si>
    <t>TOA K1 -&gt; DTR 80P</t>
  </si>
  <si>
    <t>Arlene Schnitzer Concert Hall</t>
  </si>
  <si>
    <t>William Randolph Hearst Greek Theatre</t>
  </si>
  <si>
    <t>Holiday Run, 1993</t>
  </si>
  <si>
    <t>Bender Arena, American University</t>
  </si>
  <si>
    <t>New Haven Veterans Memorial Coliseum</t>
  </si>
  <si>
    <t>AKG 460B/ck61 &gt; custom pre-amp</t>
  </si>
  <si>
    <t>SBD &gt; Panasonic 3700</t>
  </si>
  <si>
    <t>Worcester Centrum Centre</t>
  </si>
  <si>
    <t>FM</t>
  </si>
  <si>
    <t>Spring, 1994</t>
  </si>
  <si>
    <t>I: B+K 4011, II: SBD</t>
  </si>
  <si>
    <t>The Metropolis</t>
  </si>
  <si>
    <t>B&amp;K 4011&gt; ?</t>
  </si>
  <si>
    <t>Recreation Hall, Penn State University</t>
  </si>
  <si>
    <t>University Park</t>
  </si>
  <si>
    <t>(FOB) Nak 300</t>
  </si>
  <si>
    <t>Broome County Arena</t>
  </si>
  <si>
    <t>(FOB) AKG 460B/ck61 &gt; custom pre-amp</t>
  </si>
  <si>
    <t>Alumni Arena, SUNY Buffalo</t>
  </si>
  <si>
    <t>2 AKG460b/ck61</t>
  </si>
  <si>
    <t>Snivley Arena, University of New Hampshire</t>
  </si>
  <si>
    <t>WNEW Studios</t>
  </si>
  <si>
    <t>Beacon Theatre</t>
  </si>
  <si>
    <t>Schoeps CMC5/Mk4 (ORTF)-&gt; Sonosax SX-M2</t>
  </si>
  <si>
    <t>DFOB: Schoeps CMC5+MK4&gt;Sonosax&gt;AD1000</t>
  </si>
  <si>
    <t>Mullins Center, University of Massachusetts</t>
  </si>
  <si>
    <t>AKG460b/ck61 (FOB-17th Row Ctr)</t>
  </si>
  <si>
    <t>Patriot Center, George Mason University</t>
  </si>
  <si>
    <t>Fairfax</t>
  </si>
  <si>
    <t>SBD&gt;?</t>
  </si>
  <si>
    <t>Bob Carpenter Center, University of Delaware</t>
  </si>
  <si>
    <t>akg 460b&gt;D7</t>
  </si>
  <si>
    <t>Virginia Horse Center</t>
  </si>
  <si>
    <t>Lexington</t>
  </si>
  <si>
    <t>AKG 460/ck61s &gt; Custom Pre-Amp (FOB)</t>
  </si>
  <si>
    <t>Lawrence Joel Veterans Memorial Coliseum</t>
  </si>
  <si>
    <t>AKG 460 CARDS&gt;TEAC</t>
  </si>
  <si>
    <t>Township Auditorium</t>
  </si>
  <si>
    <t>Neumann TLM170i(90deg/hypercard)</t>
  </si>
  <si>
    <t>2 Nak 300s w/cp1s (DIN)&gt;Nak MX100 Pre/mixer</t>
  </si>
  <si>
    <t>Civic Auditorium</t>
  </si>
  <si>
    <t>SBD&gt;C0</t>
  </si>
  <si>
    <t>Purple Dragon Recording Studios</t>
  </si>
  <si>
    <t>FM&gt;C?</t>
  </si>
  <si>
    <t>SunFest</t>
  </si>
  <si>
    <t>West Palm Beach</t>
  </si>
  <si>
    <t>Sennheiser ME-80's/KU-3's (position II)</t>
  </si>
  <si>
    <t>Boatyard Village Pavilion</t>
  </si>
  <si>
    <t>Clearwater</t>
  </si>
  <si>
    <t>AKG 460s &gt; Panasonic SV255</t>
  </si>
  <si>
    <t>I: AKG 460, II: DSBD</t>
  </si>
  <si>
    <t>Five Points South Music Hall</t>
  </si>
  <si>
    <t>Birmingham</t>
  </si>
  <si>
    <t>AKG 460&gt;Sony D8 (Unverified)</t>
  </si>
  <si>
    <t>Starwood Amphitheater</t>
  </si>
  <si>
    <t>I: DAUD/OTS&gt;AKG 460b ck61, II: SBD&gt;C0</t>
  </si>
  <si>
    <t>State Palace Theatre</t>
  </si>
  <si>
    <t>AKG c1000's &gt; ???</t>
  </si>
  <si>
    <t>Tower Theater</t>
  </si>
  <si>
    <t>AKG 460s &gt; master cassette</t>
  </si>
  <si>
    <t>missing Free Bird</t>
  </si>
  <si>
    <t>The Bomb Factory</t>
  </si>
  <si>
    <t>I: ? &gt; cassette (unknown gen), II: DSBD &gt; cass0</t>
  </si>
  <si>
    <t>The Backyard</t>
  </si>
  <si>
    <t>Bee Cave</t>
  </si>
  <si>
    <t>Paolo Soleri Amphitheatre</t>
  </si>
  <si>
    <t>unknown audience recording &gt; cassette/x</t>
  </si>
  <si>
    <t>missing Ginseng Sullivan</t>
  </si>
  <si>
    <t>Buena Vista Theater</t>
  </si>
  <si>
    <t>Unknown DAUD Source (Probably AKG 460's)</t>
  </si>
  <si>
    <t>Hayden Square</t>
  </si>
  <si>
    <t>[DAUD] AKG 460</t>
  </si>
  <si>
    <t>Montezuma Hall, San Diego State University</t>
  </si>
  <si>
    <t>San Diego</t>
  </si>
  <si>
    <t>[DAUD] AKG461</t>
  </si>
  <si>
    <t>The Wiltern Theatre</t>
  </si>
  <si>
    <t>(FOB) Schoeps MK4/CMC5-&gt; Sony D10 Pro</t>
  </si>
  <si>
    <t>The Arlington Theatre</t>
  </si>
  <si>
    <t>[DAUD] AKG 461</t>
  </si>
  <si>
    <t>Silva Concert Hall, Hult Center for the Performing Arts</t>
  </si>
  <si>
    <t>I: 5th gen SBD cassette, II: B&amp;K 4010</t>
  </si>
  <si>
    <t>B&amp;K 4010 (20' spread omni's)</t>
  </si>
  <si>
    <t>The Moore Theatre</t>
  </si>
  <si>
    <t>NAK 300 Omnis&gt;D-7</t>
  </si>
  <si>
    <t>Vogue Theatre</t>
  </si>
  <si>
    <t>I: NAK 300 Omnis&gt;D-7, II: SBD &gt; Cass(0)</t>
  </si>
  <si>
    <t>Audio-Technica 4053(flat)S from balcony TS</t>
  </si>
  <si>
    <t>Schoeps CMC5/Mk21 (ORTF)-&gt; Sonosax SX-M2</t>
  </si>
  <si>
    <t>I: Schoeps CMC5/Mk4 (ORTF), II: SBD &gt; ?</t>
  </si>
  <si>
    <t>Nellie Kane and MMGAMOIO are from the AUD source</t>
  </si>
  <si>
    <t>You Enjoy Myself -&gt; end is AUD</t>
  </si>
  <si>
    <t>I: Schoeps mk4 &gt; kc5, II: In-house FM Broadcast</t>
  </si>
  <si>
    <t>Summer, 1994</t>
  </si>
  <si>
    <t>Triad Amphitheater</t>
  </si>
  <si>
    <t>I: B&amp;K 4011, II: SBD</t>
  </si>
  <si>
    <t>Nuemann TLM 170i</t>
  </si>
  <si>
    <t>FM Broadcast</t>
  </si>
  <si>
    <t>Akg 460/ck1's</t>
  </si>
  <si>
    <t>Civic Center</t>
  </si>
  <si>
    <t>Des Moines</t>
  </si>
  <si>
    <t>I: AKG 460b ck61, II: 5th gen SBD cassette</t>
  </si>
  <si>
    <t>missing Ginseng Sullivan and Amazing Grace</t>
  </si>
  <si>
    <t>Eagles Ballroom</t>
  </si>
  <si>
    <t>I: AKG 460b/ck61, II: SBD&gt;C0</t>
  </si>
  <si>
    <t>The Loop 97.9 Studios</t>
  </si>
  <si>
    <t>recording is incomplete</t>
  </si>
  <si>
    <t>UIC Pavilion, University of Illinois</t>
  </si>
  <si>
    <t>SBD&gt;Cass1</t>
  </si>
  <si>
    <t>includes soundcheck, remastered version (02/10/2002)</t>
  </si>
  <si>
    <t>DAUD/OTS&gt;AKG 460b ck61</t>
  </si>
  <si>
    <t>Cincinnati Music Hall</t>
  </si>
  <si>
    <t>Veterans Memorial Auditorium</t>
  </si>
  <si>
    <t>Phoenix Plaza Theatre</t>
  </si>
  <si>
    <t>Pontiac</t>
  </si>
  <si>
    <t>AKG 460b's -&gt; B18 -&gt; D10proII</t>
  </si>
  <si>
    <t>AKG 460b/ck61 &gt; custom pre-amp</t>
  </si>
  <si>
    <t>Municipal Auditorium</t>
  </si>
  <si>
    <t>DAUD (FOB AKG 460s) &gt; ZA2</t>
  </si>
  <si>
    <t>Walnut Creek Amphitheater</t>
  </si>
  <si>
    <t>AKG460+ck61</t>
  </si>
  <si>
    <t>Akg 451's&gt;DA-20p&gt;ZA2</t>
  </si>
  <si>
    <t>FOB B+K 4011</t>
  </si>
  <si>
    <t>The Ballpark</t>
  </si>
  <si>
    <t>Old Orchard Beach</t>
  </si>
  <si>
    <t>AKG460&gt;ck61&gt;DA-P1</t>
  </si>
  <si>
    <t>Congress Center</t>
  </si>
  <si>
    <t>Ottawa</t>
  </si>
  <si>
    <t>AKG461&gt;Oade Custom Pre-Amp</t>
  </si>
  <si>
    <t>Rift is DSBD</t>
  </si>
  <si>
    <t>Theatre St. Denis</t>
  </si>
  <si>
    <t>I: Sennheiser 442, II: AKG 460/CK61</t>
  </si>
  <si>
    <t>S'toga Springs</t>
  </si>
  <si>
    <t>AKG460b/ck61 (TS)</t>
  </si>
  <si>
    <t>?SBD/AUD Matrix?</t>
  </si>
  <si>
    <t>may be a good sounding AUD</t>
  </si>
  <si>
    <t>(FOB) AKG 460B/ck61</t>
  </si>
  <si>
    <t>Summer Stage at Sugarbush</t>
  </si>
  <si>
    <t>Fayston</t>
  </si>
  <si>
    <t>FOB Schoeps cmc54/ &gt; Sonosax</t>
  </si>
  <si>
    <t>Fall, 1994</t>
  </si>
  <si>
    <t>Stabler Arena, Lehigh University</t>
  </si>
  <si>
    <t>Bethlehem</t>
  </si>
  <si>
    <t>AKG 461s(DINa)&gt;AKG B18(x2)&gt;Shure FP-11(x2)</t>
  </si>
  <si>
    <t>A.J. Palumbo Center</t>
  </si>
  <si>
    <t>Akg 460/Ck61&gt; Teac</t>
  </si>
  <si>
    <t>(probably AKG 460&gt;DAT)&gt;?</t>
  </si>
  <si>
    <t>Orpheum Theatre</t>
  </si>
  <si>
    <t>AKG451</t>
  </si>
  <si>
    <t>University of Mississippi</t>
  </si>
  <si>
    <t>AKG 460b (no other source info given)</t>
  </si>
  <si>
    <t>McAllister Auditorium, Tulane University</t>
  </si>
  <si>
    <t>AKG460's&gt;ck61</t>
  </si>
  <si>
    <t>Oak Mountain Amphitheatre</t>
  </si>
  <si>
    <t>Pelham</t>
  </si>
  <si>
    <t>Audio Technica 822&gt;Sony D8</t>
  </si>
  <si>
    <t>Soldiers and Sailors Memorial Auditorium</t>
  </si>
  <si>
    <t>Chattanooga</t>
  </si>
  <si>
    <t>AKG 460/CK61</t>
  </si>
  <si>
    <t>Vanderbilt University Memorial Gym</t>
  </si>
  <si>
    <t>Mahaffey Theatre</t>
  </si>
  <si>
    <t>St. Petersburgh</t>
  </si>
  <si>
    <t>DFOB: AKG 460</t>
  </si>
  <si>
    <t>Sunrise Musical Theatre</t>
  </si>
  <si>
    <t>Sunrise</t>
  </si>
  <si>
    <t>Digital audience: AKG 460</t>
  </si>
  <si>
    <t>The Edge Concert Field</t>
  </si>
  <si>
    <t>Schoeps MK4's [CMC341 -&gt; Sony D-10(?)]</t>
  </si>
  <si>
    <t>Band Shell, University of Florida</t>
  </si>
  <si>
    <t>Gainsville</t>
  </si>
  <si>
    <t>4 mic mix: Sen. ME-80/KU-3's x AKG 409B's</t>
  </si>
  <si>
    <t>Atlanta Civic Center</t>
  </si>
  <si>
    <t>I: Schoeps mk4&gt;SV255, II: Neumann KM184</t>
  </si>
  <si>
    <t>Varsity Gym, Appalachian State University</t>
  </si>
  <si>
    <t>Boone</t>
  </si>
  <si>
    <t>AKG 460's</t>
  </si>
  <si>
    <t>University Hall, University of Virginia</t>
  </si>
  <si>
    <t>AKG460s(in X-Y pattern)</t>
  </si>
  <si>
    <t>Gaillard Auditorium</t>
  </si>
  <si>
    <t>AKG 460's+ck61</t>
  </si>
  <si>
    <t>Spartanburg Memorial Auditorium</t>
  </si>
  <si>
    <t>Spartanburg</t>
  </si>
  <si>
    <t>Glens Falls Civic Center</t>
  </si>
  <si>
    <t>Glens Falls</t>
  </si>
  <si>
    <t>I: Schoeps CMC3/mk41, II: SBD&gt;Cass/0</t>
  </si>
  <si>
    <t>DAUD/OTS AKG460B/ck61</t>
  </si>
  <si>
    <t>Onondaga War Memorial Auditorium</t>
  </si>
  <si>
    <t>DAUD/OTS Schoeps CMC3/mk41(XY 90 deg)</t>
  </si>
  <si>
    <t>MAC Center, Kent State University</t>
  </si>
  <si>
    <t>Kent</t>
  </si>
  <si>
    <t>Schoeps CMC64 &gt; Aerco &gt; apogee</t>
  </si>
  <si>
    <t>Warner Theatre</t>
  </si>
  <si>
    <t>Erie</t>
  </si>
  <si>
    <t>I: unknown, probably fob schoeps, II: DSBD</t>
  </si>
  <si>
    <t>Amazing Grace</t>
  </si>
  <si>
    <t>DeVos Hall</t>
  </si>
  <si>
    <t>Neumann KM140&gt;Aerco&gt;Casio&gt;D100</t>
  </si>
  <si>
    <t>Hill Auditorium, University of Michigan</t>
  </si>
  <si>
    <t>AKG460cK61&gt;Aerco&gt;DTR80P</t>
  </si>
  <si>
    <t>Hara Arena</t>
  </si>
  <si>
    <t>DAUD/OTS Schoeps CMC5/mk4</t>
  </si>
  <si>
    <t>MSU Auditorium, Michigan State University</t>
  </si>
  <si>
    <t>AUD (mics unknown)</t>
  </si>
  <si>
    <t>Indiana University Auditorium</t>
  </si>
  <si>
    <t>Bloomington</t>
  </si>
  <si>
    <t>I: unk. single pt. stereo mics, II: unk. AKG mics</t>
  </si>
  <si>
    <t>Parking Lot, Indiana University Auditorium</t>
  </si>
  <si>
    <t>AKG C-522 MS &gt; Sony TCD-D7</t>
  </si>
  <si>
    <t>Dane County Exposition Center</t>
  </si>
  <si>
    <t>NAK CM300</t>
  </si>
  <si>
    <t>Jesse Auditorium, University of Missouri</t>
  </si>
  <si>
    <t>DAUD/OTS AKG SE 10's &gt; Marantz PMD-700</t>
  </si>
  <si>
    <t>[DAUD; Clone] AKG C1000 -&gt; ?</t>
  </si>
  <si>
    <t>AKG480</t>
  </si>
  <si>
    <t>Field House, Montana State University</t>
  </si>
  <si>
    <t>Bozeman</t>
  </si>
  <si>
    <t>MT</t>
  </si>
  <si>
    <t>Coresound Binurals</t>
  </si>
  <si>
    <t>missing Chalk Dust Torture, 2001 and Stash</t>
  </si>
  <si>
    <t>I: Schoeps CMC521, II: unknown sbd</t>
  </si>
  <si>
    <t>Salem Armory</t>
  </si>
  <si>
    <t>Recreation Hall, University of California-Davis</t>
  </si>
  <si>
    <t>Davis</t>
  </si>
  <si>
    <t>[DAUD] Neumann KM140-&gt; Oade PS</t>
  </si>
  <si>
    <t>Event Center</t>
  </si>
  <si>
    <t>San Jose</t>
  </si>
  <si>
    <t>Acker Gym, Chico State University</t>
  </si>
  <si>
    <t>Chico</t>
  </si>
  <si>
    <t>(F.O.B.) Neumann KM 54&gt;DA-P20</t>
  </si>
  <si>
    <t>UCSB Events Center, University of California-Santa Barbara</t>
  </si>
  <si>
    <t>Goleta</t>
  </si>
  <si>
    <t>Neumann KM140s &gt; Custom Pre-Amp</t>
  </si>
  <si>
    <t>Spreckels Theatre</t>
  </si>
  <si>
    <t>AKG 460 Cards&gt;10ft XLR's</t>
  </si>
  <si>
    <t>DSBD/FOB AKG460 mix</t>
  </si>
  <si>
    <t>Mesa Amphitheatre</t>
  </si>
  <si>
    <t>Mesa</t>
  </si>
  <si>
    <t>Schoeps mk4</t>
  </si>
  <si>
    <t>Santa Monica</t>
  </si>
  <si>
    <t>AKG 460 Cards&gt;10 ft XLR's</t>
  </si>
  <si>
    <t>Holiday Run, 1994</t>
  </si>
  <si>
    <t>(F.O.B.) Schoeps mk4</t>
  </si>
  <si>
    <t>Providence Civic Center</t>
  </si>
  <si>
    <t>FOB Schoeps cmc34</t>
  </si>
  <si>
    <t>Ed Sullivan Theater</t>
  </si>
  <si>
    <t>youtube rip</t>
  </si>
  <si>
    <t>Madison Square Garden</t>
  </si>
  <si>
    <t>DAUD/FOB Schoeps mk4(ORTF) &gt; KC5 actives</t>
  </si>
  <si>
    <t>AKG 461&gt;Custom Pre-amp&gt;Teac DAP-20</t>
  </si>
  <si>
    <t>Summer, 1995</t>
  </si>
  <si>
    <t>Fishman's House</t>
  </si>
  <si>
    <t>Lowell Memorial Auditorium</t>
  </si>
  <si>
    <t>Lowell</t>
  </si>
  <si>
    <t>B&amp;K 4011 &gt; Neumann BS48i &gt; D3</t>
  </si>
  <si>
    <t>Boise State University Pavilion</t>
  </si>
  <si>
    <t>Boise</t>
  </si>
  <si>
    <t>ID</t>
  </si>
  <si>
    <t>AKG 398s &gt; OADE M118 &gt; Sony SBM-1</t>
  </si>
  <si>
    <t>The Delta Center</t>
  </si>
  <si>
    <t>AKG 460B &gt; CK6</t>
  </si>
  <si>
    <t>B&amp;K 4006</t>
  </si>
  <si>
    <t>Microtech Gefell M270 (spread 8')</t>
  </si>
  <si>
    <t>Maryland Heights</t>
  </si>
  <si>
    <t>AKG C1000s &gt; D7</t>
  </si>
  <si>
    <t>Mud Island Amphitheater</t>
  </si>
  <si>
    <t>Neumann RMS 190i</t>
  </si>
  <si>
    <t>Lakewood Amphitheatre</t>
  </si>
  <si>
    <t>Nak 300 w/ cp-4 &amp; Senn 441</t>
  </si>
  <si>
    <t>Neumann RSM190i &gt; Neumann PS &gt; D7</t>
  </si>
  <si>
    <t>Nissan Pavilion at Stone Ridge</t>
  </si>
  <si>
    <t>DAUD/OTS Schoeps CMC5/mk4 &gt; Aerco</t>
  </si>
  <si>
    <t>Deer Creek Music Center</t>
  </si>
  <si>
    <t>Noblesville</t>
  </si>
  <si>
    <t>OTS Schoeps CMC5/mk4v &gt; Aerco Preamp</t>
  </si>
  <si>
    <t>AKG 460b --&gt; Sony D10 Pro II</t>
  </si>
  <si>
    <t>Neumann U87</t>
  </si>
  <si>
    <t>B&amp;K 4011s&gt;Neumann P/s&gt;D-10 Pro-II</t>
  </si>
  <si>
    <t>B&amp;K 4010 (Pointed at stacks)</t>
  </si>
  <si>
    <t>B&amp;K4011's &gt; D8</t>
  </si>
  <si>
    <t>AKG 460 CARDS&gt;TEAC&gt;TECHNICS SV 260A</t>
  </si>
  <si>
    <t>North Fayston</t>
  </si>
  <si>
    <t>(FOB) AKG 414's</t>
  </si>
  <si>
    <t>AKG 460B/ck61 &gt; custom pre-amp &gt; Sony D7</t>
  </si>
  <si>
    <t>Fall, 1995</t>
  </si>
  <si>
    <t>(FOB) Schoeps MK4</t>
  </si>
  <si>
    <t>Summer Pops, Embarcadero Center</t>
  </si>
  <si>
    <t>(F.O.B.) Schoeps mk2</t>
  </si>
  <si>
    <t>FOB Schoeps</t>
  </si>
  <si>
    <t>(F.O.B.) Schoeps CMC64</t>
  </si>
  <si>
    <t>Seattle Center Arena</t>
  </si>
  <si>
    <t>Neumann KM140</t>
  </si>
  <si>
    <t>Neumann KM140's</t>
  </si>
  <si>
    <t>Memorial Coliseum</t>
  </si>
  <si>
    <t>Neumann KA100</t>
  </si>
  <si>
    <t>DAUD - AT4031 mics</t>
  </si>
  <si>
    <t>Spokane Opera House</t>
  </si>
  <si>
    <t>Spokane</t>
  </si>
  <si>
    <t>Adams Fieldhouse, University of Montana</t>
  </si>
  <si>
    <t>Missoula</t>
  </si>
  <si>
    <t>DAUD1 AKG460/ck61</t>
  </si>
  <si>
    <t>Compton Terrace Amphitheater</t>
  </si>
  <si>
    <t>unknown (possibly Tascam PE125&gt;DAP1) fob?</t>
  </si>
  <si>
    <t>Will Rogers Auditorium</t>
  </si>
  <si>
    <t>Fort Worth</t>
  </si>
  <si>
    <t>Tascam PE-125 &gt; DA-P1</t>
  </si>
  <si>
    <t>Austin Music Hall</t>
  </si>
  <si>
    <t>Neumann KM140&gt;SBM-1&gt;D7</t>
  </si>
  <si>
    <t>akg 398 &gt; oade m118 &gt; SBM-1 &gt; d7</t>
  </si>
  <si>
    <t>Five Seasons Arena</t>
  </si>
  <si>
    <t>Cedar Rapids</t>
  </si>
  <si>
    <t>AKG 398s &gt; Sonosax(unknown model) &gt; D-7</t>
  </si>
  <si>
    <t>Pershing Auditorium</t>
  </si>
  <si>
    <t>Lincoln</t>
  </si>
  <si>
    <t>NE</t>
  </si>
  <si>
    <t>Akg 451's</t>
  </si>
  <si>
    <t>Assembly Hall, University of Illinois</t>
  </si>
  <si>
    <t>B&amp;K 4021s &gt; Tascam DA-P1(m) 48kHz</t>
  </si>
  <si>
    <t>Dane County Coliseum</t>
  </si>
  <si>
    <t>Neumann KM140 &gt; Beyer MV100 &gt; D7</t>
  </si>
  <si>
    <t>Civic Center Arena</t>
  </si>
  <si>
    <t>AKG398 Guns &gt; Sonosax?</t>
  </si>
  <si>
    <t>Wing's Stadium</t>
  </si>
  <si>
    <t>AKG 460s &gt; unknown pre-amp &gt; DA-P1</t>
  </si>
  <si>
    <t>The Palace of Auburn Hills</t>
  </si>
  <si>
    <t>Auburn Hills</t>
  </si>
  <si>
    <t>(FOB) Neumann km140</t>
  </si>
  <si>
    <t>Louisville Gardens</t>
  </si>
  <si>
    <t>Nak 300 shotguns &gt; Sony SBM-1</t>
  </si>
  <si>
    <t>Rosemont Horizon</t>
  </si>
  <si>
    <t>Rosemont</t>
  </si>
  <si>
    <t>AKG 460B/ck61 &gt; Sonosax SX-M2</t>
  </si>
  <si>
    <t>akg460b/ck61&gt;b18&gt;denon dtr80p</t>
  </si>
  <si>
    <t>(FOB) Schoeps mk4 &gt; kc5 &gt; cmc6</t>
  </si>
  <si>
    <t>Sennheiser 421's ~&gt; Sony SBM-1</t>
  </si>
  <si>
    <t>O'Connell Center, University of Florida</t>
  </si>
  <si>
    <t>University of Central Florida Arena</t>
  </si>
  <si>
    <t>Schoeps MK4V/CMC6</t>
  </si>
  <si>
    <t>Sun Dome, University of South Florida</t>
  </si>
  <si>
    <t>West Palm Beach Auditorium</t>
  </si>
  <si>
    <t>AKG C1000s</t>
  </si>
  <si>
    <t>North Charleston Coliseum</t>
  </si>
  <si>
    <t>North Charleston</t>
  </si>
  <si>
    <t>(FOB) Scheops MK4/CMC6</t>
  </si>
  <si>
    <t>Charlotte Coliseum</t>
  </si>
  <si>
    <t>Neumann KM184</t>
  </si>
  <si>
    <t>Winston Salem</t>
  </si>
  <si>
    <t>AKG 460B/CK61</t>
  </si>
  <si>
    <t>USAir Arena</t>
  </si>
  <si>
    <t>Landover</t>
  </si>
  <si>
    <t>Schoeps MK4 (front row TS)</t>
  </si>
  <si>
    <t>Civic Arena</t>
  </si>
  <si>
    <t>Audio Technics 4031&gt; TASCAM DA-P1</t>
  </si>
  <si>
    <t>Hampton Coliseum</t>
  </si>
  <si>
    <t>Hampton</t>
  </si>
  <si>
    <t>Knoxville Civic Coliseum</t>
  </si>
  <si>
    <t>Audio Technica 4031 -&gt; DA-P1</t>
  </si>
  <si>
    <t>akg460b/ck61&gt;b18&gt;denon dtr80p (OTS)</t>
  </si>
  <si>
    <t>Ervin J. Nutter Center, Wright State University</t>
  </si>
  <si>
    <t>akg460b/ck61&gt;b18&gt;SBM1&gt;D7</t>
  </si>
  <si>
    <t>Hersheypark Arena</t>
  </si>
  <si>
    <t>Hershey</t>
  </si>
  <si>
    <t>AKG 414's-&gt;DA-P1</t>
  </si>
  <si>
    <t>KM184</t>
  </si>
  <si>
    <t>Niagra Falls Convention Center</t>
  </si>
  <si>
    <t>Niagra Falls</t>
  </si>
  <si>
    <t>AT 4031 --&gt; Tascam DA-P1</t>
  </si>
  <si>
    <t>CSU Convocation Center</t>
  </si>
  <si>
    <t>(FOB) Schoeps CMC6 Mk4/T/S Schoeps Mk41</t>
  </si>
  <si>
    <t>Knickerbocker Arena</t>
  </si>
  <si>
    <t>B+K 4011&gt; Neumann p/s</t>
  </si>
  <si>
    <t>B+K 4011 &gt; custom pre-amp</t>
  </si>
  <si>
    <t>CoreStates Spectrum</t>
  </si>
  <si>
    <t>AKG 396's&gt;D7&gt;ZA2&gt;Soundforge 4.0</t>
  </si>
  <si>
    <t>Olympic Center</t>
  </si>
  <si>
    <t>Lake Placid</t>
  </si>
  <si>
    <t>Holiday Run, 1995</t>
  </si>
  <si>
    <t>[fob] Schoeps MK4/cmc6&gt;?</t>
  </si>
  <si>
    <t>DAUD/FOB Schoeps mk4(ORTF)</t>
  </si>
  <si>
    <t>Spring, 1996</t>
  </si>
  <si>
    <t>New Orleans Fairgrounds</t>
  </si>
  <si>
    <t>DAUD (Schoeps CMC461 (FOB)</t>
  </si>
  <si>
    <t>Joyous Lake</t>
  </si>
  <si>
    <t>Woodstock</t>
  </si>
  <si>
    <t>DSBD (SBD&gt;RCA to 1/8"&gt;Sony TCD-D8)</t>
  </si>
  <si>
    <t>Summer, 1996 European Tour</t>
  </si>
  <si>
    <t>Stadio Briamasco</t>
  </si>
  <si>
    <t>Trento</t>
  </si>
  <si>
    <t>IT</t>
  </si>
  <si>
    <t>Stadio Olimpico</t>
  </si>
  <si>
    <t>Rome</t>
  </si>
  <si>
    <t>Piazza del Duomo</t>
  </si>
  <si>
    <t>Pistoia</t>
  </si>
  <si>
    <t>AKG 414's</t>
  </si>
  <si>
    <t>Parco Aquatica</t>
  </si>
  <si>
    <t>Milan</t>
  </si>
  <si>
    <t>Centre International</t>
  </si>
  <si>
    <t>Deauville</t>
  </si>
  <si>
    <t>FOB Schoeps MK4V</t>
  </si>
  <si>
    <t>Le Zenith</t>
  </si>
  <si>
    <t>Shepard's Bush Empire</t>
  </si>
  <si>
    <t>Melkweg</t>
  </si>
  <si>
    <t>Amsterdam</t>
  </si>
  <si>
    <t>NL</t>
  </si>
  <si>
    <t>AKG 414 &gt; DA-P1</t>
  </si>
  <si>
    <t>Dour Festival</t>
  </si>
  <si>
    <t>Dour</t>
  </si>
  <si>
    <t>AKG391's&gt; Sound devices</t>
  </si>
  <si>
    <t>La Marna</t>
  </si>
  <si>
    <t>Sesto Calende</t>
  </si>
  <si>
    <t>Sennheiser MKE 66 Stereo &gt; Tascam DA-P1</t>
  </si>
  <si>
    <t>Theatre Antique</t>
  </si>
  <si>
    <t>Vienne</t>
  </si>
  <si>
    <t>AKG391's&gt; Sound Devices</t>
  </si>
  <si>
    <t>Theatre de Verdure</t>
  </si>
  <si>
    <t>Nice</t>
  </si>
  <si>
    <t>Les Arenes Romaines</t>
  </si>
  <si>
    <t>Arles</t>
  </si>
  <si>
    <t>The Forum</t>
  </si>
  <si>
    <t>AKG391</t>
  </si>
  <si>
    <t>Tanzbrunnen</t>
  </si>
  <si>
    <t>Cologne</t>
  </si>
  <si>
    <t>Markethalle</t>
  </si>
  <si>
    <t>Schoeps CMC6/MK41 &gt; SBM-1 &gt; DA-P1</t>
  </si>
  <si>
    <t>Hannover</t>
  </si>
  <si>
    <t>Unknown Daud</t>
  </si>
  <si>
    <t>Summer, 1996 U.S. Tour</t>
  </si>
  <si>
    <t>Wolf Mountain Amphitheatre</t>
  </si>
  <si>
    <t>Park City</t>
  </si>
  <si>
    <t>AKG C568 EB's &gt; Aerco preamp</t>
  </si>
  <si>
    <t>Sonic Studios Dsm6'/Pa6lc3s</t>
  </si>
  <si>
    <t>Alpine Valley Music Theatre</t>
  </si>
  <si>
    <t>East Troy</t>
  </si>
  <si>
    <t>AKG c3000's</t>
  </si>
  <si>
    <t>Microtech Gefell m300 &gt; Sonosax SX-M2</t>
  </si>
  <si>
    <t>Hersheypark Stadium</t>
  </si>
  <si>
    <t>Schoeps CMC60 &gt; Sonosax &gt; D10 Pro II</t>
  </si>
  <si>
    <t>The Clifford Ball - Soundcheck</t>
  </si>
  <si>
    <t>AUD1 Nak300</t>
  </si>
  <si>
    <t>The Clifford Ball - Plattsburgh Air Force Base</t>
  </si>
  <si>
    <t>The Clifford Ball - The Flatbed Jam</t>
  </si>
  <si>
    <t>?mic &gt; Sony D6</t>
  </si>
  <si>
    <t>Fall, 1996</t>
  </si>
  <si>
    <t>Schoeps64V &gt; OADE &gt; DA-P1</t>
  </si>
  <si>
    <t>Bryce Jordan Center, Penn State University</t>
  </si>
  <si>
    <t>State College</t>
  </si>
  <si>
    <t>Microtech Geffel M210 &gt; Beyer MV100</t>
  </si>
  <si>
    <t>Schoeps cmc64/Unknown Aud matrix</t>
  </si>
  <si>
    <t>Marine Midland Arena</t>
  </si>
  <si>
    <t>Schoeps CMC6/MK4 &gt; Sonosax</t>
  </si>
  <si>
    <t>B&amp;K 4021s &gt; EAA PSP-2 &gt; DA-P1</t>
  </si>
  <si>
    <t>Nakamichi CM300's/CP4's&gt;Sony TC-D5</t>
  </si>
  <si>
    <t>Hartford Civic Center</t>
  </si>
  <si>
    <t>akg460b/ck61&gt;b18&gt;sbm1&gt;D7</t>
  </si>
  <si>
    <t>Neumann km184 &gt; Tascam DA-P1</t>
  </si>
  <si>
    <t>Leon County Civic Center</t>
  </si>
  <si>
    <t>Microtech Gefell M210</t>
  </si>
  <si>
    <t>The Omni</t>
  </si>
  <si>
    <t>[DAUD/OTS] Schoeps CMC6/mk41</t>
  </si>
  <si>
    <t>Coral Sky Amphitheater</t>
  </si>
  <si>
    <t>Microtech Geffel M300 &gt; DAP1 &gt; D(1)</t>
  </si>
  <si>
    <t>AUD&gt;MG210&gt;Oade pre-amp</t>
  </si>
  <si>
    <t>Schoeps MK4's</t>
  </si>
  <si>
    <t>Rupp Arena</t>
  </si>
  <si>
    <t>Nakamichi CM300 &amp; PZM 30D mix</t>
  </si>
  <si>
    <t>FOB ORTF Neumann KM-140</t>
  </si>
  <si>
    <t>Van Andel Arena</t>
  </si>
  <si>
    <t>cmc62 &gt; Sonosax &gt; HHb</t>
  </si>
  <si>
    <t>Target Center</t>
  </si>
  <si>
    <t>Schoeps CMC64 &gt; Sonasax &gt; SV-255</t>
  </si>
  <si>
    <t>Hilton Coliseum</t>
  </si>
  <si>
    <t>Ames</t>
  </si>
  <si>
    <t>Schoeps CMC6/MK41 &gt; Beyer MV-100 preamp</t>
  </si>
  <si>
    <t>Kiel Center</t>
  </si>
  <si>
    <t>Schoeps CMC6/MK41 &gt; Beyer MV-100</t>
  </si>
  <si>
    <t>Omaha</t>
  </si>
  <si>
    <t>DAUD - Micotech Gefell 300 &gt; Sonosax SX-M2</t>
  </si>
  <si>
    <t>Mid-South Coliseum</t>
  </si>
  <si>
    <t>AT 4051's (XY) &gt; Stewart BPS-1 &gt; AT 8202</t>
  </si>
  <si>
    <t>AKG451s</t>
  </si>
  <si>
    <t>Spokane Arena</t>
  </si>
  <si>
    <t>AKG 414/AT 4031 &gt; Soundcraft Mixpad &gt; DA-P1</t>
  </si>
  <si>
    <t>Pacific Coliseum</t>
  </si>
  <si>
    <t>Neumann KM-84's&gt; Tascam DA-PI FOB</t>
  </si>
  <si>
    <t>Lenny's Mystery DAT (AKG 414?)</t>
  </si>
  <si>
    <t>Key Arena</t>
  </si>
  <si>
    <t>Schoeps CMC6/MK41 &gt; OADE &gt; DA-P1</t>
  </si>
  <si>
    <t>The Cow Palace</t>
  </si>
  <si>
    <t>AKG C 568 EB's</t>
  </si>
  <si>
    <t>ARCO Arena</t>
  </si>
  <si>
    <t>DFOB (Neumann KM 140&gt;DA-P1@44.1k)&gt;</t>
  </si>
  <si>
    <t>Pauley Pavillion, University of California Los Angeles</t>
  </si>
  <si>
    <t>FOB Neumann KM-140 &gt; DA-P1</t>
  </si>
  <si>
    <t>America West Arena</t>
  </si>
  <si>
    <t>AKG 391’s (FOB) &gt; Graham Patten DMIC-20</t>
  </si>
  <si>
    <t>Sports Arena</t>
  </si>
  <si>
    <t>I: FOB Nuemann km 140, II: SBD</t>
  </si>
  <si>
    <t>The Aladdin Theatre</t>
  </si>
  <si>
    <t>Las Vegas</t>
  </si>
  <si>
    <t>NV</t>
  </si>
  <si>
    <t>Schoeps621&gt;Oade&gt;DAP1&gt;D(3)</t>
  </si>
  <si>
    <t>Holliday Run, 1996</t>
  </si>
  <si>
    <t>Schoeps MK4 &gt; CMB1 &gt; HHB PDR1000</t>
  </si>
  <si>
    <t>(FOB) Schoeps CMBI/mk4 &gt; HHb PDR-1000</t>
  </si>
  <si>
    <t>FleetCenter</t>
  </si>
  <si>
    <t>Schoeps CMC641 &gt; Sonosax SX-M2</t>
  </si>
  <si>
    <t>Winter, 1997 European Tour</t>
  </si>
  <si>
    <t>Schoeps cmc64</t>
  </si>
  <si>
    <t>Le Botanique</t>
  </si>
  <si>
    <t>Neumann KM140&gt;Oade&gt;D8</t>
  </si>
  <si>
    <t>Alter Wartesaal</t>
  </si>
  <si>
    <t>Paradiso</t>
  </si>
  <si>
    <t>SCHOEPS CMC64&gt;OADE&gt;SBM1&gt;DAP1</t>
  </si>
  <si>
    <t>Bataclan</t>
  </si>
  <si>
    <t>Neumann km140 &gt; Beyerdynamic MV100</t>
  </si>
  <si>
    <t>Teatro Smeraldo</t>
  </si>
  <si>
    <t>DSBD + Schoeps CMC64 Matrix</t>
  </si>
  <si>
    <t>Tenax</t>
  </si>
  <si>
    <t>Florence</t>
  </si>
  <si>
    <t>ORTF Neumann KM-140 &gt; Beyerdynamic</t>
  </si>
  <si>
    <t>Teatro Olimpico</t>
  </si>
  <si>
    <t>Schoeps CMC64 -&gt; Oade -&gt; SBM-1 -&gt; DA-P1</t>
  </si>
  <si>
    <t>Fillmore</t>
  </si>
  <si>
    <t>Cortemaggiore</t>
  </si>
  <si>
    <t>Schoeps CMC6/mk4&gt;SBM-1&gt;DA-P1</t>
  </si>
  <si>
    <t>Incognito</t>
  </si>
  <si>
    <t>Munich</t>
  </si>
  <si>
    <t>Schoeps cmc64&gt;oade&gt;sbm-1&gt;dap1</t>
  </si>
  <si>
    <t>SWF3 Studios</t>
  </si>
  <si>
    <t>Baden-Baden</t>
  </si>
  <si>
    <t>DAUD Neumann KM140(ortf)</t>
  </si>
  <si>
    <t>Longhorn</t>
  </si>
  <si>
    <t>Stuttgart</t>
  </si>
  <si>
    <t>Reported to be FM&gt;Cas0&gt;DAT&gt;CDR880</t>
  </si>
  <si>
    <t>Huxley's Neue Welt</t>
  </si>
  <si>
    <t>Berlin</t>
  </si>
  <si>
    <t>Schoeps CMC64ug-&gt;Oade-&gt;SBM-1-&gt;DA-P1</t>
  </si>
  <si>
    <t>Markthalle</t>
  </si>
  <si>
    <t>includes soundcheck, Hello My Baby and Sweet Adeline are AUD recordings</t>
  </si>
  <si>
    <t>Pumpehuset</t>
  </si>
  <si>
    <t>Copenhagen</t>
  </si>
  <si>
    <t>Schoeps CMC6/mk4&gt;Oade&gt;SBM</t>
  </si>
  <si>
    <t>Spring, 1997 Miscellaneous U.S.</t>
  </si>
  <si>
    <t>2-Source FM/Schoeps mk4+mk8 Matrix</t>
  </si>
  <si>
    <t>Brad Sands' and Pete Carini's House</t>
  </si>
  <si>
    <t>Sbd/Aud mix (unverified source)</t>
  </si>
  <si>
    <t>set II only</t>
  </si>
  <si>
    <t>Summer, 1997 European Tour</t>
  </si>
  <si>
    <t>The S.F.X. Centre</t>
  </si>
  <si>
    <t>Dublin</t>
  </si>
  <si>
    <t>IE</t>
  </si>
  <si>
    <t>AKG 414(cartoid)&gt;Oade&gt;D8</t>
  </si>
  <si>
    <t>AKG 414 TL2&gt;Oade&gt;SBM-1</t>
  </si>
  <si>
    <t>Royal Albert Hall</t>
  </si>
  <si>
    <t>Schoeps CMC64 &gt; Sonosax SX-M2 &gt; DA-P1</t>
  </si>
  <si>
    <t>Arena</t>
  </si>
  <si>
    <t>AT</t>
  </si>
  <si>
    <t>Schoeps CMC 64</t>
  </si>
  <si>
    <t>Archa Theater</t>
  </si>
  <si>
    <t>Prague</t>
  </si>
  <si>
    <t>CZ</t>
  </si>
  <si>
    <t>Neumann TLM 170 &gt; Sonosax &gt; DA-P1</t>
  </si>
  <si>
    <t>Hurricane Festival</t>
  </si>
  <si>
    <t>Scheesel</t>
  </si>
  <si>
    <t>Reported as ?&gt;Cas1</t>
  </si>
  <si>
    <t>Loreley</t>
  </si>
  <si>
    <t>Koblenz</t>
  </si>
  <si>
    <t>DSBD &gt; FM Satellite Broadcast</t>
  </si>
  <si>
    <t>La Laiterie</t>
  </si>
  <si>
    <t>Strasbourg</t>
  </si>
  <si>
    <t>Schoeps CMC6/mk4v&gt;SX-M2&gt;D8</t>
  </si>
  <si>
    <t>L'Aeronef</t>
  </si>
  <si>
    <t>Lille</t>
  </si>
  <si>
    <t>DAUD Schoeps CMC6 mk 41 &gt; OADE &gt; SBM-1</t>
  </si>
  <si>
    <t>Worthy Farm</t>
  </si>
  <si>
    <t>Somerset</t>
  </si>
  <si>
    <t>Schoeps CMC64&gt;OA&gt;SBM-1&gt;DA-P1&gt;CDR880</t>
  </si>
  <si>
    <t>Sony ECM-T140 &gt; Denon DTR-80P</t>
  </si>
  <si>
    <t>Neumann TLM170-&gt;Sonosax</t>
  </si>
  <si>
    <t>Schoeps CMC6/mk4 &gt; Sonosax SX-M2 &gt; DA-P1</t>
  </si>
  <si>
    <t>Serenadenhof</t>
  </si>
  <si>
    <t>Numberg</t>
  </si>
  <si>
    <t>AKG C1000&gt;DA-P1</t>
  </si>
  <si>
    <t>Piazza Risorgimento</t>
  </si>
  <si>
    <t>Como</t>
  </si>
  <si>
    <t>Tascam PE-125 (cardioids)</t>
  </si>
  <si>
    <t>Spiaggia di Rivoltella</t>
  </si>
  <si>
    <t>Desenzano</t>
  </si>
  <si>
    <t>AKG C1000's</t>
  </si>
  <si>
    <t>Le Transbordeur</t>
  </si>
  <si>
    <t>Lyon</t>
  </si>
  <si>
    <t>Nak 300's w/ CP-1 cardioids</t>
  </si>
  <si>
    <t>Espace Julien</t>
  </si>
  <si>
    <t>Marseille</t>
  </si>
  <si>
    <t>Nakamichi CM300 + CP1 &gt; Denon DTR80</t>
  </si>
  <si>
    <t>Doctor Music Festival</t>
  </si>
  <si>
    <t>Escalarre</t>
  </si>
  <si>
    <t>ES</t>
  </si>
  <si>
    <t>Summer, 1997 U.S. Tour</t>
  </si>
  <si>
    <t>Virginia Beach Amphitheater</t>
  </si>
  <si>
    <t>Virginia Beach</t>
  </si>
  <si>
    <t>Schoeps CMC641 -&gt; Sonosax -&gt; SBM1 -&gt; D8</t>
  </si>
  <si>
    <t>[DAUD] Schoeps CMC6/MK41</t>
  </si>
  <si>
    <t>Schoeps CMC641 &gt; Sonasax &gt; SBM-1 &gt; DA-P1</t>
  </si>
  <si>
    <t>Starplex Amphitheatre</t>
  </si>
  <si>
    <t>Schoeps CMC641&gt;Oade Preamp&gt;SBM-1&gt;D8</t>
  </si>
  <si>
    <t>South Park Meadows</t>
  </si>
  <si>
    <t>Desert Sky Pavilion</t>
  </si>
  <si>
    <t>Schoeps cmc6/mk4v/mk8 &gt; Sonosax SX-M2</t>
  </si>
  <si>
    <t>Ventura County Fairgrounds</t>
  </si>
  <si>
    <t>(FOB) Neumann km140 -&gt; Oade</t>
  </si>
  <si>
    <t>Schoeps MK5 cardioids</t>
  </si>
  <si>
    <t>Gorge Amphitheatre</t>
  </si>
  <si>
    <t>George</t>
  </si>
  <si>
    <t>Schoeps CMCXY4V &gt; EAA &gt; D100</t>
  </si>
  <si>
    <t>New World Music Theatre</t>
  </si>
  <si>
    <t>Geffel MG210's -&gt; oade M248</t>
  </si>
  <si>
    <t>DFC TS &gt; Schoeps Cmxy-4v</t>
  </si>
  <si>
    <t>B&amp;K 4021 &gt; Beyer MV-100</t>
  </si>
  <si>
    <t>Star Lake Amphitheatre</t>
  </si>
  <si>
    <t>Burgettstown</t>
  </si>
  <si>
    <t>AKG 460B/ck68 &gt; Oade pre-amp</t>
  </si>
  <si>
    <t>FOB &gt; Akg 460/ck1's (in hat) &gt; Active's</t>
  </si>
  <si>
    <t>The Great Went - Loring Air Force Base</t>
  </si>
  <si>
    <t>Limestone</t>
  </si>
  <si>
    <t>DFM</t>
  </si>
  <si>
    <t>The Great Went - Disco Set</t>
  </si>
  <si>
    <t>(FOB) AKG 460b/ck61 &gt; Sonosax SX-M2</t>
  </si>
  <si>
    <t>FM(SBD)&gt;Sony WM-FX50&gt;Sony D8</t>
  </si>
  <si>
    <t>Fall, 1997</t>
  </si>
  <si>
    <t>NBC Studios</t>
  </si>
  <si>
    <t>TV &gt; ??</t>
  </si>
  <si>
    <t>Thomas &amp; Mack Center</t>
  </si>
  <si>
    <t>The "E" Center</t>
  </si>
  <si>
    <t>West Valley City</t>
  </si>
  <si>
    <t>McNichols Arena</t>
  </si>
  <si>
    <t>Schoeps CMC65 &gt; Reuthelhuber &gt; SBM-1</t>
  </si>
  <si>
    <t>Schoeps Cmc6/Mk41's &gt; Sx Mx &gt; Da-P1x 2</t>
  </si>
  <si>
    <t>Audio Technica 815 (shotguns)</t>
  </si>
  <si>
    <t>(FOB) Schoeps mk4 &gt; kc5 &gt; cmc5</t>
  </si>
  <si>
    <t>Neumann u87 (cardiod) &gt; Sonosax SX-M2</t>
  </si>
  <si>
    <t>Unknown SBD</t>
  </si>
  <si>
    <t>(FOB) Neuman km184 &gt; Beyer MV-100</t>
  </si>
  <si>
    <t>(FOB) Neumann km184 &gt; Beyer MV-100</t>
  </si>
  <si>
    <t>Schoeps CMC641 &gt; Apogee AD-1000</t>
  </si>
  <si>
    <t>Schoeps cmc621&gt;Sonosax&gt;sv255</t>
  </si>
  <si>
    <t>Microtech Geffel 210 &gt; OADE M248</t>
  </si>
  <si>
    <t>DFOB Nuemann KM140 &gt; Buyer MV100</t>
  </si>
  <si>
    <t>Schoeps CMC6/mk41 &gt; Apogee &gt; DA-P1</t>
  </si>
  <si>
    <t>Rochester War Memorial</t>
  </si>
  <si>
    <t>DSBD&gt;?</t>
  </si>
  <si>
    <t>Pepsi Arena</t>
  </si>
  <si>
    <t>(FOB) Schoeps mk4 &gt; Sonosax SX-M2</t>
  </si>
  <si>
    <t>Neumann U-89is &gt; Sonosax SX-M2</t>
  </si>
  <si>
    <t>Holiday Run, 1997</t>
  </si>
  <si>
    <t>AKG 460/ck61&gt;Oade&gt;SBM-1</t>
  </si>
  <si>
    <t>(FOB) Schoeps mk4 &gt; Sonosac SX-M2</t>
  </si>
  <si>
    <t>Schoeps CMC641 (90 deg. NOS)</t>
  </si>
  <si>
    <t>Island Tour</t>
  </si>
  <si>
    <t>Nassau Coliseum</t>
  </si>
  <si>
    <t>Uniondale</t>
  </si>
  <si>
    <t>AKG 461s &gt; D8 &gt; standalone</t>
  </si>
  <si>
    <t>OTS Schoeps CMC641&gt;VMS02IB&gt;SBM-1</t>
  </si>
  <si>
    <t>Schoeps cmc6/mk41 &gt; Sonosax SX-M2</t>
  </si>
  <si>
    <t>Story of the Ghost Recording Session</t>
  </si>
  <si>
    <t>Bearsville Studios</t>
  </si>
  <si>
    <t>Bearsville</t>
  </si>
  <si>
    <t>Summer, 1998 European Tour</t>
  </si>
  <si>
    <t>The Grey Hall</t>
  </si>
  <si>
    <t>AKG 480 &gt; Oade M248 &gt; SBM-1</t>
  </si>
  <si>
    <t>Schoeps MK4 (FOB; mics in a hat)</t>
  </si>
  <si>
    <t>Dyrskuepladsen</t>
  </si>
  <si>
    <t>Fyn</t>
  </si>
  <si>
    <t>Neumann AK50 hypers &gt; LC3 active cables</t>
  </si>
  <si>
    <t>Lucerna Theatre</t>
  </si>
  <si>
    <t>I: Schoeps MK4, II: SBD&gt;?</t>
  </si>
  <si>
    <t>Zeleste</t>
  </si>
  <si>
    <t>Barcelona</t>
  </si>
  <si>
    <t>I:SBD/Matrix, I/II: Schoeps MK4</t>
  </si>
  <si>
    <t>includes soundcheck, Moma through Frankenstein is SBD/Matrix</t>
  </si>
  <si>
    <t>AKG C1000 on 2.2m stand</t>
  </si>
  <si>
    <t>Summer, 1998 U.S. Tour</t>
  </si>
  <si>
    <t>Portland Meadows</t>
  </si>
  <si>
    <t>I: Schoeps CMC64, II: Neumann KMi84</t>
  </si>
  <si>
    <t>DAUD B&amp;K4021 &gt; Lunatec V2</t>
  </si>
  <si>
    <t>B&amp;K 4011 mics</t>
  </si>
  <si>
    <t>DFOB: Neumann KM140&gt;E.A.A.&gt;Sony SBM-1</t>
  </si>
  <si>
    <t>B&amp;K 4011 &gt; (mod) &gt; AD1000 &gt; HHb</t>
  </si>
  <si>
    <t>B&amp;K 4011 &gt; Lunatec V2 &gt; Apogee AD-1000</t>
  </si>
  <si>
    <t>Cynthia Woods Mitchell Pavilion</t>
  </si>
  <si>
    <t>The Woodlands</t>
  </si>
  <si>
    <t>Matrix—ALD SBD&gt;D8+AKG460b's&gt;V2</t>
  </si>
  <si>
    <t>Schoeps CMC64</t>
  </si>
  <si>
    <t>ALD SBD/Schoeps CMC641 Matrix</t>
  </si>
  <si>
    <t>first 2 tracks have some AUD patching</t>
  </si>
  <si>
    <t>Sandstone Amphitheatre</t>
  </si>
  <si>
    <t>Bonner Springs</t>
  </si>
  <si>
    <t>B+K 4011-&gt;Lunatec V2-&gt;Apogee AD-1000</t>
  </si>
  <si>
    <t>Polaris Amphitheater</t>
  </si>
  <si>
    <t>Lewis Center</t>
  </si>
  <si>
    <t>Schoeps MK41&gt;KC5&gt;CMC6&gt;SX-M2&gt;AD1000</t>
  </si>
  <si>
    <t>Microtech Gefell 300's &gt; DAP1</t>
  </si>
  <si>
    <t>AKG3000&gt;SBM1&gt;D8</t>
  </si>
  <si>
    <t>Schoeps CMK4 &gt; Sonosax &gt; DA-P1</t>
  </si>
  <si>
    <t>Vernon Downs</t>
  </si>
  <si>
    <t>Vernon</t>
  </si>
  <si>
    <t>(FOB/BTP) Schoeps CMC6/MK41</t>
  </si>
  <si>
    <t>Lemonwheel - Soundcheck</t>
  </si>
  <si>
    <t>complete Lemonwheel soundcheck</t>
  </si>
  <si>
    <t>Lemonwheel - Loring Air Force Base</t>
  </si>
  <si>
    <t>FM-SBD</t>
  </si>
  <si>
    <t>first 12 min of the sbd had a lot of problems, so it is patched with an AUD source (see txt file for more info)</t>
  </si>
  <si>
    <t>Fall, 1998</t>
  </si>
  <si>
    <t>SBD(broadcast)/Schoeps MK4's Matrix</t>
  </si>
  <si>
    <t>The Fillmore</t>
  </si>
  <si>
    <t>AKG 414 (hyper)-&gt;Sonosax and AKG CK-61 caps</t>
  </si>
  <si>
    <t>(FOB) Schoeps cmc6/mk41</t>
  </si>
  <si>
    <t>Sony Music Studios</t>
  </si>
  <si>
    <t>soundboard</t>
  </si>
  <si>
    <t>Schoeps CMC64 &gt; Sonosax &gt; Apogee AD500E</t>
  </si>
  <si>
    <t>Schoeps CMC641&gt;AD1k</t>
  </si>
  <si>
    <t>West Valley</t>
  </si>
  <si>
    <t>FOB Neumann/Schoeps Matrix</t>
  </si>
  <si>
    <t>KBCO Studios</t>
  </si>
  <si>
    <t>Electra Records Promo CD</t>
  </si>
  <si>
    <t>B&amp;K 4011-&gt;Lunatec V2-&gt;Apogee AD1000</t>
  </si>
  <si>
    <t>Kohl Center</t>
  </si>
  <si>
    <t>Schoeps cmc6/mk41</t>
  </si>
  <si>
    <t>Schoeps CMC641 &gt; Sonosax &gt; InBox</t>
  </si>
  <si>
    <t>B&amp;K 4011's &gt; Audio Magic Cables</t>
  </si>
  <si>
    <t>(OTS)DFC Neumann skm-184s</t>
  </si>
  <si>
    <t>Celveland</t>
  </si>
  <si>
    <t>Schoeps CMC641&gt;Aerco&gt;SBM-1</t>
  </si>
  <si>
    <t>The Crown</t>
  </si>
  <si>
    <t>M.Gefell m210-&gt;Lunatec V2-&gt;AD1000</t>
  </si>
  <si>
    <t>Murphy Center, Middle Tennessee State University</t>
  </si>
  <si>
    <t>Murfreesboro</t>
  </si>
  <si>
    <t>SCHOEPS CMC641&gt;SONOSAX</t>
  </si>
  <si>
    <t>BI-LO Center</t>
  </si>
  <si>
    <t>Greenville</t>
  </si>
  <si>
    <t>Schoeps CMC641-&gt;Aerco-&gt;SBM-1</t>
  </si>
  <si>
    <t>(FOB) Schoeps MK4V(ORTF in hat)</t>
  </si>
  <si>
    <t>(F.O.B.) Schoeps mk4v @ORTF</t>
  </si>
  <si>
    <t>New Haven Verterans Memorial Coliseum</t>
  </si>
  <si>
    <t>Schoeps CMC6/MK41 &gt; Apogee AD1000</t>
  </si>
  <si>
    <t>B&amp;K 4021 &gt; Apogee AD-1000</t>
  </si>
  <si>
    <t>Schoeps CMC6/Mk4 &gt; V2 &gt; ADC-20 &gt; DA-P1</t>
  </si>
  <si>
    <t>Microtech Gefell 210&gt;Aerco&gt;SBM-1</t>
  </si>
  <si>
    <t>Schoeps M222 Tubes + MK41</t>
  </si>
  <si>
    <t>Holiday Run, 1998</t>
  </si>
  <si>
    <t>Neumann U89s&gt;AD1K&gt;DAP1</t>
  </si>
  <si>
    <t>SBD + AUD Matrix 3 Source Mix</t>
  </si>
  <si>
    <t>(FOB) Schoeps mk4v &gt; kc5</t>
  </si>
  <si>
    <t>Summer, 1999</t>
  </si>
  <si>
    <t>The Barn</t>
  </si>
  <si>
    <t>Outer Burlington</t>
  </si>
  <si>
    <t>Schoeps MK4v/M222 &gt; Lunatec V2</t>
  </si>
  <si>
    <t>First American Music Center</t>
  </si>
  <si>
    <t>Neumann U89i (hypercard)</t>
  </si>
  <si>
    <t>Schoeps cmc6/mk4v &gt; Lunatec V2</t>
  </si>
  <si>
    <t>Blockbuster Pavilion</t>
  </si>
  <si>
    <t>(OTS) Schoeps CMC6/mk41</t>
  </si>
  <si>
    <t>Schoeps MK4's(DFC 120degrees/30cm)</t>
  </si>
  <si>
    <t>E Centre</t>
  </si>
  <si>
    <t>Camden</t>
  </si>
  <si>
    <t>Tweeter Center</t>
  </si>
  <si>
    <t>PNC Bank Arts Center</t>
  </si>
  <si>
    <t>Camp Oswego - Oswego County Airport</t>
  </si>
  <si>
    <t>Volney</t>
  </si>
  <si>
    <t>akg460b/ck8&gt;V2&gt;SBM1&gt;D8</t>
  </si>
  <si>
    <t>FOB Neumann U89i (Omni, Split 6')</t>
  </si>
  <si>
    <t>Molson Amphitheatre</t>
  </si>
  <si>
    <t>(OTS) Schoeps CMC6/mk4</t>
  </si>
  <si>
    <t>Schoeps cmc64-&gt; Apogee AD-1000</t>
  </si>
  <si>
    <t>B+K 4011 &gt; EAA PSP-2 &gt; Apogee AD-1000</t>
  </si>
  <si>
    <t>akg460b/ck61&gt;V2&gt;SBM1&gt;D8</t>
  </si>
  <si>
    <t>Japan, 1999</t>
  </si>
  <si>
    <t>Naeba Ski Resort (early show)</t>
  </si>
  <si>
    <t>Niigata</t>
  </si>
  <si>
    <t>JP</t>
  </si>
  <si>
    <t>Audio Technica 805b(omni)</t>
  </si>
  <si>
    <t>Naeba Ski Resort (late show)</t>
  </si>
  <si>
    <t>SBD -&gt; Cass 1</t>
  </si>
  <si>
    <t>Naeba Ski Resort</t>
  </si>
  <si>
    <t>Soundboard &gt; Analog Casette</t>
  </si>
  <si>
    <t>AT4050/CM5&gt;SONOSAX&gt;SBM1</t>
  </si>
  <si>
    <t>Fall, 1999</t>
  </si>
  <si>
    <t>Chris Kuroda's Wedding</t>
  </si>
  <si>
    <t>GM Place</t>
  </si>
  <si>
    <t>Schoep(TUBES) m222/4v's -&gt; v2</t>
  </si>
  <si>
    <t>daud schoeps mk4v &gt; vms &gt; sbm-1 &gt; d8</t>
  </si>
  <si>
    <t>Van's Schoeps cmc64&gt;Apogee AD-1000</t>
  </si>
  <si>
    <t>(FOB) Schoeps MK21&gt;KC5&gt;CMC6&gt;AD1000</t>
  </si>
  <si>
    <t>Boise State Uuniversity Pavilion</t>
  </si>
  <si>
    <t>dbtp schoeps mk4v &gt; kcy &gt; vms021b</t>
  </si>
  <si>
    <t>Coors Amphitheatre</t>
  </si>
  <si>
    <t>Chula Vista</t>
  </si>
  <si>
    <t>Schoeps CMC6 + mk41-&gt;Oade m148-&gt;DA-P20</t>
  </si>
  <si>
    <t>Irvine Meadows</t>
  </si>
  <si>
    <t>Irvine</t>
  </si>
  <si>
    <t>Schoeps CMC6/mk41 &gt; Oade custom &gt; DA-P1</t>
  </si>
  <si>
    <t>(FOB) Schoeps mk4v &gt; kc5 &gt; cmc6</t>
  </si>
  <si>
    <t>DAUD/FOB Schoeps MK4V (ORTF)</t>
  </si>
  <si>
    <t>DFOB Schoeps MK4 (ortf) VMS021B</t>
  </si>
  <si>
    <t>AKG480/CK61&gt; BeyerMV100&gt; SBM1&gt; DAP1</t>
  </si>
  <si>
    <t>Kiefer UNO Lakefront Arena, University of New Orleans</t>
  </si>
  <si>
    <t>cmc6/41's-&gt; V2 -&gt; AD1000 -&gt; dap1</t>
  </si>
  <si>
    <t>Pyramid Arena</t>
  </si>
  <si>
    <t>Schoeps mk4v&gt;kc5 actives&gt;cmc6</t>
  </si>
  <si>
    <t>OTS: Schoeps cmc641 &gt; Lunatec V2</t>
  </si>
  <si>
    <t>dbtp Schoeps MK4V&gt;KC5&gt;CMC6&gt;SX-M2</t>
  </si>
  <si>
    <t>Allstate Arena</t>
  </si>
  <si>
    <t>FOB/DFC Schoeps mk4&gt;kc5&gt;cmc6</t>
  </si>
  <si>
    <t>Redbird Arena, Illinois State University</t>
  </si>
  <si>
    <t>Normal</t>
  </si>
  <si>
    <t>Schoeps MK4V&gt;Schoeps KCY</t>
  </si>
  <si>
    <t>Schoeps mk41 &gt; kc5 &gt; cmc6 &gt; Lunatec V2</t>
  </si>
  <si>
    <t>Aubrun Hills</t>
  </si>
  <si>
    <t>Schoeps 641-&gt;AD1000-&gt;DAP1</t>
  </si>
  <si>
    <t>Firstar Center</t>
  </si>
  <si>
    <t>Nakamichi 300 Guns -&gt; SBM-1 -&gt; D8</t>
  </si>
  <si>
    <t>BlueCross Arena</t>
  </si>
  <si>
    <t>First Union Spectrum</t>
  </si>
  <si>
    <t>AKG 480/ck63 &gt; DMIC-20 &gt; DA-P1</t>
  </si>
  <si>
    <t>Neumann U89 (hypercard setting, DFC TS)</t>
  </si>
  <si>
    <t>Schoeps mk41 &gt; kc5 &gt; cmc6</t>
  </si>
  <si>
    <t>(FOB) Schoeps mk41 &gt; kc5 &gt; cmc6</t>
  </si>
  <si>
    <t>MCI Center</t>
  </si>
  <si>
    <t>Microtech Gefell m210 &gt; Apogee AD-1000</t>
  </si>
  <si>
    <t>Reynolds Coliseum</t>
  </si>
  <si>
    <t>Microtech Geffel 210 &gt; Oade M248</t>
  </si>
  <si>
    <t>Holiday Run, 1999</t>
  </si>
  <si>
    <t>Big Cypress Soundcheck</t>
  </si>
  <si>
    <t>Big Cypress</t>
  </si>
  <si>
    <t>AUD&gt;?</t>
  </si>
  <si>
    <t>complete Big Cypress soundcheck</t>
  </si>
  <si>
    <t>Big Cypress Seminole Indian Reservation</t>
  </si>
  <si>
    <t>FOB ORTF Schoeps MK4V &gt; KC5 actives</t>
  </si>
  <si>
    <t>I: Neumann U89, II: FOB ORTF Schoeps MK4V</t>
  </si>
  <si>
    <t xml:space="preserve">     Notes</t>
  </si>
  <si>
    <t>Farmhouse Promos</t>
  </si>
  <si>
    <t>Sonic Studios</t>
  </si>
  <si>
    <t>pre-FM</t>
  </si>
  <si>
    <t>Y100's Sonic Sessions taping</t>
  </si>
  <si>
    <t>fm-&gt;sbm</t>
  </si>
  <si>
    <t>World Cafe taping</t>
  </si>
  <si>
    <t>CBS C-band satellite feed</t>
  </si>
  <si>
    <t>Fantasy Studios</t>
  </si>
  <si>
    <t>Possibly md</t>
  </si>
  <si>
    <t>Key Club</t>
  </si>
  <si>
    <t>KLOS moaural radio broadcast</t>
  </si>
  <si>
    <t>Radio City Music Hall</t>
  </si>
  <si>
    <t>Neumann U89 (Hyper Setting)</t>
  </si>
  <si>
    <t>akg460b/ck61&gt;V2&gt;SBM1&gt;D8&gt;D7</t>
  </si>
  <si>
    <t>Japan, 2000</t>
  </si>
  <si>
    <t>On Air East</t>
  </si>
  <si>
    <t>Tokyo</t>
  </si>
  <si>
    <t>Schoeps mk4&gt; KC5&gt; CMC6&gt; Sonosax SX-M2</t>
  </si>
  <si>
    <t>Zepp</t>
  </si>
  <si>
    <t>Hibiya Outdoor Theatre</t>
  </si>
  <si>
    <t>FOB Scheops CMC64&gt;KC5 Active Cables</t>
  </si>
  <si>
    <t>Club Quattro</t>
  </si>
  <si>
    <t>Nagoya</t>
  </si>
  <si>
    <t>Schoeps MK4V</t>
  </si>
  <si>
    <t>Drum Logos</t>
  </si>
  <si>
    <t>Fukuoka</t>
  </si>
  <si>
    <t>Schoeps MK4V-&gt;KC5-&gt;CMC6-&gt;Sonosax SX-M2</t>
  </si>
  <si>
    <t>Big Cat</t>
  </si>
  <si>
    <t>Osaka</t>
  </si>
  <si>
    <t>DSBD+AUD Matrix Mix AKG C1000's</t>
  </si>
  <si>
    <t>Summer, 2000</t>
  </si>
  <si>
    <t>AmSouth Amphitheatre</t>
  </si>
  <si>
    <t>Neumann KM140 &gt; Sonosax SX-M2</t>
  </si>
  <si>
    <t>FOB KM150s &gt; v2 &gt; ad-1000</t>
  </si>
  <si>
    <t>ALLTEL Pavilion at Walnut Creek</t>
  </si>
  <si>
    <t>AKG 480/ck63 &gt; Graham Patten DMIC-20</t>
  </si>
  <si>
    <t>NBC Television Studios, Studio 6A</t>
  </si>
  <si>
    <t>NBC Ku-band satellite feed</t>
  </si>
  <si>
    <t>Neumann ak40s &gt; Neumann lc-3 active cables</t>
  </si>
  <si>
    <t>B&amp;K 4021 &gt; Apogee AD-1000 &gt; HHb PDR-1000</t>
  </si>
  <si>
    <t>Meadows Music Theatre</t>
  </si>
  <si>
    <t>MBHO 603 Cardiod &gt; Audio Magic Presto</t>
  </si>
  <si>
    <t>Schoeps CMC641&gt; Sonosax SX-M2</t>
  </si>
  <si>
    <t>OTS: Neumann km150 (nos) &gt; Lunatec V2</t>
  </si>
  <si>
    <t>Schoeps CCM4V &gt; Lunatec V2 &gt; SBM-1 &gt; D8</t>
  </si>
  <si>
    <t>SBD/AUD Matrix</t>
  </si>
  <si>
    <t>FM-ALD SBD/AUD Hybrid</t>
  </si>
  <si>
    <t>Schoeps 64V &gt; AD1000 &gt; P1</t>
  </si>
  <si>
    <t>AKG ck61/480* &gt;&gt;&gt; Audio Magic X-Streams</t>
  </si>
  <si>
    <t>Schoeps CMC64V --&gt; Sonosax SX-M2</t>
  </si>
  <si>
    <t>KLRU Studios, University of Texas</t>
  </si>
  <si>
    <t>Satellite</t>
  </si>
  <si>
    <t>Austin City Limits broadcast only</t>
  </si>
  <si>
    <t>Fall, 2000</t>
  </si>
  <si>
    <t>Schoeps CMC6/MK4V &gt; Grace Lunatec V2</t>
  </si>
  <si>
    <t>Schoeps mk41 &gt; kc5 &gt; cmc6 &gt; Sonosax SX-M2</t>
  </si>
  <si>
    <t>neumann ak40s &gt; neumann lc-3 active cables</t>
  </si>
  <si>
    <t>I: B&amp;K 4011's, II: In house FM/B&amp;K 4011's hybrid</t>
  </si>
  <si>
    <t>Neumann u89i</t>
  </si>
  <si>
    <t>B+K 4022 &gt; Lunatec V2 &gt; Apogee AD500e</t>
  </si>
  <si>
    <t>Neumann KM150 &gt; Oade m248 &gt; DA-P1</t>
  </si>
  <si>
    <t>Neumann U87ai &gt; Mackie 1202</t>
  </si>
  <si>
    <t>Riverbend Music Center</t>
  </si>
  <si>
    <t>Neumann KM150 &gt; Sonosax &gt; DAP1 &gt; D8</t>
  </si>
  <si>
    <t>Schoeps m222/mk41 &gt; nt222 &gt; AD-1000</t>
  </si>
  <si>
    <t>Neumann KM184's</t>
  </si>
  <si>
    <t>Fiddler's Green</t>
  </si>
  <si>
    <t>Schoeps cmc641v &gt; Lunatec V2 &gt; Sonic AD2K+</t>
  </si>
  <si>
    <t>(FOB) Schoeps mk21 &gt; kc5 &gt; cmc6</t>
  </si>
  <si>
    <t>Schoeps cmc6/mk41v &gt; Lunatec V2</t>
  </si>
  <si>
    <t>Burbank</t>
  </si>
  <si>
    <t>Schoeps cmc6/mk41 &gt; Lunatec V2</t>
  </si>
  <si>
    <t>Verizon Wireless Amphitheater</t>
  </si>
  <si>
    <t>Scheops CMC6/mk41&gt;SX-M2&gt;AD1000</t>
  </si>
  <si>
    <t>Schoeps cmc6/mk4v &gt; Sonosax SX-M2</t>
  </si>
  <si>
    <t>B&amp;K 4011's &gt; Lunatec V2 &gt; Apogee AD-1000</t>
  </si>
  <si>
    <t>Miscellaneous</t>
  </si>
  <si>
    <t>Studio 8H, NBC Studios</t>
  </si>
  <si>
    <t>unknown television rip</t>
  </si>
  <si>
    <t>Loho Studios</t>
  </si>
  <si>
    <t>studio recording</t>
  </si>
  <si>
    <t>The Victor Disc, highest bitrate available to my knowledge</t>
  </si>
  <si>
    <t>Inverted Holiday Run, 2002/2003</t>
  </si>
  <si>
    <t>Schoeps MK4&gt;KC5&gt;CMC6&gt;Lunatec V3</t>
  </si>
  <si>
    <t>Winter, 2003</t>
  </si>
  <si>
    <t>Great Western Forum</t>
  </si>
  <si>
    <t>Inglewood</t>
  </si>
  <si>
    <t>Schoeps MK4V(ORTF)&gt;KC5&gt;CMC6&gt;Lunatec V3</t>
  </si>
  <si>
    <t>km140's&gt;v2&gt;ad2k&gt;p1&gt;rme96</t>
  </si>
  <si>
    <t>Schoeps MK4(ORTF)&gt;KC5&gt;CMC6&gt;Lunatec V3</t>
  </si>
  <si>
    <t>Pepsi Center</t>
  </si>
  <si>
    <t>DPA 4022's &gt; V3 &gt; Benchmark 2402</t>
  </si>
  <si>
    <t>DPA4022(ORTF, FOB)</t>
  </si>
  <si>
    <t>U.S. Bank Arena</t>
  </si>
  <si>
    <t>DFC OTS Schoeps MK41&gt; M222&gt; ElvoNT222</t>
  </si>
  <si>
    <t>(FOB) Schoeps mk4v &gt; kcy &gt; vms5u</t>
  </si>
  <si>
    <t>Continental Airlines Arena</t>
  </si>
  <si>
    <t>East Rutherford</t>
  </si>
  <si>
    <t>Schoeps cmc6/mk41 &gt; Lunatec V3</t>
  </si>
  <si>
    <t>Schoeps CMC6/mk41's (DIN)</t>
  </si>
  <si>
    <t>AKG 480/ck61 (90 degree XY)</t>
  </si>
  <si>
    <t>Greensboro Coliseum</t>
  </si>
  <si>
    <t>Greensboro</t>
  </si>
  <si>
    <t>Schoeps MK4V &gt; KCY Actives</t>
  </si>
  <si>
    <t>Summer, 2003</t>
  </si>
  <si>
    <t>Cricket Pavilion</t>
  </si>
  <si>
    <t>DPA 4022s (DFCTS/DIN)</t>
  </si>
  <si>
    <t>Schoeps cmxy4v (@90o)</t>
  </si>
  <si>
    <t>Schoeps Mk41V/CMC6</t>
  </si>
  <si>
    <t>DFC/TS &gt; Nuemann Km 184's (NOS)</t>
  </si>
  <si>
    <t>Neumann Km140s (fob/dfc)</t>
  </si>
  <si>
    <t>USANA Amphitheatre</t>
  </si>
  <si>
    <t>DFC/TS &gt; Nuemann Km 184's (DIN)</t>
  </si>
  <si>
    <t>Verizon Wireless Amphitheater Kansas City</t>
  </si>
  <si>
    <t>AKG 480/ck61 &gt; PS-2 &gt; USBPre</t>
  </si>
  <si>
    <t>mg300&gt;minime&gt;wavelab</t>
  </si>
  <si>
    <t>MG300&gt;minime&gt;wavelab</t>
  </si>
  <si>
    <t>Verizon Wireless Music Center</t>
  </si>
  <si>
    <t>AKG CK61/480 &gt;&gt; DMIC-20@48k &gt;&gt; D-8</t>
  </si>
  <si>
    <t>Schoeps cmc6&gt;mk4&gt;V3&gt;dap1&gt;dap1</t>
  </si>
  <si>
    <t>Verizon Wireless Amphitheatre - Charlotte</t>
  </si>
  <si>
    <t>HiFi Buys Amphitheatre</t>
  </si>
  <si>
    <t>KM184&gt;PSP-3&gt;Mini-Me&gt;DA-P1</t>
  </si>
  <si>
    <t>ALLTEL Pavilion</t>
  </si>
  <si>
    <t>Post Gazette Pavilion at Star Lake</t>
  </si>
  <si>
    <t>Nakamichi CM700/CP701's</t>
  </si>
  <si>
    <t>Tweeter Center at the Waterfront</t>
  </si>
  <si>
    <t>Schoeps MK5(cards/DIN) &gt;&gt;&gt; M222</t>
  </si>
  <si>
    <t>AKG CK61/480</t>
  </si>
  <si>
    <t>IT - Soundcheck</t>
  </si>
  <si>
    <t>BUNNY FM -&gt; Cass/0</t>
  </si>
  <si>
    <t>IT - Loring Air Force Base</t>
  </si>
  <si>
    <t>Schoeps cmc6/mk4v &gt; Lunatec V3</t>
  </si>
  <si>
    <t>IT - Tower Jam</t>
  </si>
  <si>
    <t>Schoeps 21's-&gt;V2-&gt;AD2K-&gt;D8</t>
  </si>
  <si>
    <t>Anniversary Run, 2003</t>
  </si>
  <si>
    <t>[DFC/OTS] Neumann u89i</t>
  </si>
  <si>
    <t>Wachovia Spectrum</t>
  </si>
  <si>
    <t>AKG391's(Front Row,OTS,DFC,ATS)</t>
  </si>
  <si>
    <t>Holiday Run, 2003</t>
  </si>
  <si>
    <t>American Airlines Arena</t>
  </si>
  <si>
    <t>Schoeps mk4 &gt; kc5 &gt; cmc6</t>
  </si>
  <si>
    <t>Schoeps mk41v &gt; kc5 &gt; cmc6</t>
  </si>
  <si>
    <t>Vegas Run, 2004</t>
  </si>
  <si>
    <t>Schoeps mk21 &gt; kc5 &gt; cmc6</t>
  </si>
  <si>
    <t>AKG393's(Front Row OTS)</t>
  </si>
  <si>
    <t>Summer, 2004</t>
  </si>
  <si>
    <t>KeySpan Park</t>
  </si>
  <si>
    <t>Brooklyn</t>
  </si>
  <si>
    <t>(FOB/DFC) Schoeps MK4v</t>
  </si>
  <si>
    <t>(FOB/DFC) Schoeps M-S config</t>
  </si>
  <si>
    <t>Schoeps M222/MK5's</t>
  </si>
  <si>
    <t>Neumann u89i (Hypercards, 80Hz rolloff)</t>
  </si>
  <si>
    <t>Schoeps MK4 -&gt; KC5 actives</t>
  </si>
  <si>
    <t>AKG 480/ck61 &gt; USBPre</t>
  </si>
  <si>
    <t>mg300&gt;v2&gt;minime&gt;vx pocket</t>
  </si>
  <si>
    <t>Neumann U89i (hypercards, ~8', OTS, DFC)</t>
  </si>
  <si>
    <t>(DFC/OTS/DIN/Hyper) ADK TLs</t>
  </si>
  <si>
    <t>(OTS/DIN/Hypers) ADK TLs</t>
  </si>
  <si>
    <t>ak43&gt;lc3ka&gt;km100&gt;V3&gt;PDAudioCF&gt;VaioU3</t>
  </si>
  <si>
    <t>Coventry - Soundcheck</t>
  </si>
  <si>
    <t>Coventry</t>
  </si>
  <si>
    <t>SBD-&gt;FM(Bunny 92.1)</t>
  </si>
  <si>
    <t>Coventry - Newport State Airport</t>
  </si>
  <si>
    <t>Neumann KM140s(ORTF/FOB/DFC)</t>
  </si>
  <si>
    <t>AKG 483 -&gt; V3 -&gt; AD2K -&gt; DA-P1</t>
  </si>
  <si>
    <t>Midtown Loft and Terrace</t>
  </si>
  <si>
    <t>Hampton, 2009</t>
  </si>
  <si>
    <t>Schoeps CCM4V'S(din)&gt;Lunatec V2</t>
  </si>
  <si>
    <t>(FOB) Schoeps MK4-&gt;NBox-&gt;Edirol R-09</t>
  </si>
  <si>
    <t>Schoeps mk4v's(DIN)&gt;kc5&gt;m222&gt;nt222&gt;744t</t>
  </si>
  <si>
    <t>Summer, 2009</t>
  </si>
  <si>
    <t>Fenway Park</t>
  </si>
  <si>
    <t>Nikon at Jones Beach Theater</t>
  </si>
  <si>
    <t>Schoeps MK41's&gt;Schoeps KCY</t>
  </si>
  <si>
    <t>TELEFUNKEN Ela m260 tubes</t>
  </si>
  <si>
    <t>Comcast Center</t>
  </si>
  <si>
    <t>AKG393's(Second Row OTS/DFC)</t>
  </si>
  <si>
    <t>Susquehanna Bank Center</t>
  </si>
  <si>
    <t>Neumann KM150's&gt;Aerco MP-2&gt;Korg MR-1</t>
  </si>
  <si>
    <t>Asheville Civic Center</t>
  </si>
  <si>
    <t>Asheville</t>
  </si>
  <si>
    <t>Schoeps mk41v(AB) &gt; kc5 &gt; m222 &gt; nt222</t>
  </si>
  <si>
    <t>Thompson-Boling Arena</t>
  </si>
  <si>
    <t>Schoeps CCM 4 Lg (ORTF) &gt; Sonosax SX-M2</t>
  </si>
  <si>
    <t>Bonnaroo Music &amp; Arts Festival - Soundcheck</t>
  </si>
  <si>
    <t>Manchester</t>
  </si>
  <si>
    <t>Bonnaroo Music &amp; Arts Festival</t>
  </si>
  <si>
    <t>Schoeps MK21(nos) &gt; kcy &gt; Schoeps VMS5U</t>
  </si>
  <si>
    <t>Schoeps MK4V (ORTF) &gt; KC5 &gt; CMC6</t>
  </si>
  <si>
    <t>Schoeps CCM41(DIN)&gt;Sonosax sxm2</t>
  </si>
  <si>
    <t>Post-Gazette Pavillion</t>
  </si>
  <si>
    <t>Neumann ak40's &gt; Lc3 &gt; km 100</t>
  </si>
  <si>
    <t>Neumann KM140s &gt; Sound Devices MP2</t>
  </si>
  <si>
    <t>Schoeps mk22&gt; KCY&gt; Schoeps VMS02IB</t>
  </si>
  <si>
    <t>Schoeps mk22&gt; KCY&gt; Sonosax SX-M2/LS</t>
  </si>
  <si>
    <t>Toyota Park</t>
  </si>
  <si>
    <t>Bridgeview</t>
  </si>
  <si>
    <t>Schoeps mk21 (NOS/FOB) &gt; kc5 &gt; cmc6xt</t>
  </si>
  <si>
    <t>The Comcast Theatre</t>
  </si>
  <si>
    <t>Microtech Gefell M270's(split 3ft)</t>
  </si>
  <si>
    <t>TELEFUNKEN Ela m260 tubes (cards)</t>
  </si>
  <si>
    <t>Haloween, 2009</t>
  </si>
  <si>
    <t>Festival 8 - Soundcheck</t>
  </si>
  <si>
    <t>Indio</t>
  </si>
  <si>
    <t>SBD &gt; internet radio rip</t>
  </si>
  <si>
    <t>electric soundcheck only</t>
  </si>
  <si>
    <t>Festival 8 - Empire Polo Club</t>
  </si>
  <si>
    <t>Schoeps mk6(omni)&gt; KCY&gt; Schoeps VMS02IB</t>
  </si>
  <si>
    <t>Schoeps mk22&gt; KC5&gt; M222&gt; NT222</t>
  </si>
  <si>
    <t>Schoeps mk41&gt; KC5&gt; M222&gt; NT222</t>
  </si>
  <si>
    <t>Fall, 2009</t>
  </si>
  <si>
    <t>Cobo Arena</t>
  </si>
  <si>
    <t>Schoeps MK4(DIN)&gt;Nbox+&gt;Apogee MME</t>
  </si>
  <si>
    <t>Source: Schoeps mk22&gt; KCY</t>
  </si>
  <si>
    <t>War Memorial at Onecenter</t>
  </si>
  <si>
    <t>AKg 463's &gt; Oade ACM Mod Marantz pmd671</t>
  </si>
  <si>
    <t>Wachovia Center</t>
  </si>
  <si>
    <t>Schoeps MK4's&gt;Nbox&gt;Sony PCM-M10</t>
  </si>
  <si>
    <t>Schoeps Mk41's&gt;Nbox&gt;Sony PCM-M10</t>
  </si>
  <si>
    <t>Times Union Center</t>
  </si>
  <si>
    <t>Sennheiser MD441U &gt; Edirol R4Pro</t>
  </si>
  <si>
    <t>Microtech Gefell M210's(DIN)</t>
  </si>
  <si>
    <t>AKG c414b-xls(Hypercardiod,DINa,OTS)</t>
  </si>
  <si>
    <t>Schoeps mk41&gt; KCY&gt; Sonosax SX-M2/LS</t>
  </si>
  <si>
    <t>John Paul Jones Arena</t>
  </si>
  <si>
    <t>Neumann ak43's(nos)&gt;lc3&gt;km100&gt;V3</t>
  </si>
  <si>
    <t>Holiday Run, 2009</t>
  </si>
  <si>
    <t>Schoeps mk5(omni)/Schoeps mk41</t>
  </si>
  <si>
    <t>The Waldorf Astoria</t>
  </si>
  <si>
    <t>FUSE Live Broadcast</t>
  </si>
  <si>
    <t>NBC Television Studios, Studio 6B</t>
  </si>
  <si>
    <t>television rip</t>
  </si>
  <si>
    <t>Summer, 2010</t>
  </si>
  <si>
    <t>Schoeps mk4v&gt; KC5&gt; M222&gt; NT222</t>
  </si>
  <si>
    <t>Schoeps mk4v&gt; KCY&gt; Sonosax SX-M2/LS</t>
  </si>
  <si>
    <t>AKG C460Bs/CK 63-ULS</t>
  </si>
  <si>
    <t>nTelos Pavilion</t>
  </si>
  <si>
    <t>Schoeps mk4v's(DINa)&gt;kc5&gt;m222&gt;nt222</t>
  </si>
  <si>
    <t>DPA 4023&gt;Sonosax SX-M2</t>
  </si>
  <si>
    <t>(OTS/Center) Neumann U89i</t>
  </si>
  <si>
    <t>Schoeps CCM4V'S(din)&gt;Sound Devices 722</t>
  </si>
  <si>
    <t>Schoeps MK41&gt;KC5&gt;CMC6&gt;Sonosax SX-M2</t>
  </si>
  <si>
    <t>CMAC Performing Arts Center</t>
  </si>
  <si>
    <t>Time Warner Cable Music Pavilion at Walnut Creek</t>
  </si>
  <si>
    <t>Verizon Wireless Amphitheatre</t>
  </si>
  <si>
    <t>Schoeps mk4v&gt; KCY&gt; Schoeps VMS02IB</t>
  </si>
  <si>
    <t>Verizon Wireless Amphitheatre at Encore Park</t>
  </si>
  <si>
    <t>Alpharetta</t>
  </si>
  <si>
    <t>Schoeps mk41 (DINa) &gt; kc5 &gt; cmc6xt</t>
  </si>
  <si>
    <t>Schoeps mk22&gt; KC5&gt; CMC6xt</t>
  </si>
  <si>
    <t>Telluride Town Park</t>
  </si>
  <si>
    <t>Schoeps mk41 (DINa)&gt; KCY</t>
  </si>
  <si>
    <t>schoeps mk4v&gt; CMR&gt; Naiant PFA</t>
  </si>
  <si>
    <t>schoeps mk4v(nos)&gt; CMR&gt; Naiant PFA</t>
  </si>
  <si>
    <t>Schoeps mk21 (ORTF wide/FOB) &gt; kc5 &gt; cmc6xt</t>
  </si>
  <si>
    <t>Schoeps MK41&gt;KC5&gt;CMC6&gt;sonosax SX-M2</t>
  </si>
  <si>
    <t>Fall, 2010</t>
  </si>
  <si>
    <t>Zilker Park</t>
  </si>
  <si>
    <t>Mod Nak 701’s -&gt; Luminous Audio P/S</t>
  </si>
  <si>
    <t>1stBank Center</t>
  </si>
  <si>
    <t>Broomfield</t>
  </si>
  <si>
    <t>FOB/DFC &gt; Neumann ak40's(NOS) &gt; lc3</t>
  </si>
  <si>
    <t>Augusta Civic Center</t>
  </si>
  <si>
    <t>Augusta</t>
  </si>
  <si>
    <t>FOB-Schoeps mk22&gt;kc5&gt;cmc6</t>
  </si>
  <si>
    <t>Utica Memorial Auditorium</t>
  </si>
  <si>
    <t>Utica</t>
  </si>
  <si>
    <t>Edirol UA-5&gt;Edirol R-09 HR&gt;Nakamichi 300 Mics</t>
  </si>
  <si>
    <t>Dunkin Donuts Center</t>
  </si>
  <si>
    <t>Schoeps mk5&gt; KC5&gt; M222&gt; NT222</t>
  </si>
  <si>
    <t>Schoeps mk5&gt; KCY&gt; Schoeps VMS02IB</t>
  </si>
  <si>
    <t>Verizon Wireless Arena</t>
  </si>
  <si>
    <t>Schoeps MK22&gt;KC5&gt;CMC6&gt;Sonosax SX-M2</t>
  </si>
  <si>
    <t>Boardwalk Hall</t>
  </si>
  <si>
    <t>Atlantic City</t>
  </si>
  <si>
    <t>Holiday Run, 2010/2011</t>
  </si>
  <si>
    <t>DCU Center</t>
  </si>
  <si>
    <t>Summer, 2011</t>
  </si>
  <si>
    <t>Bethel Woods Center for the Arts</t>
  </si>
  <si>
    <t>Bethel</t>
  </si>
  <si>
    <t>SBD/livephish.com rip</t>
  </si>
  <si>
    <t>tech rehearsal</t>
  </si>
  <si>
    <t>Busman Bsc1(Hypers)&gt;Fostex Fr-@LE</t>
  </si>
  <si>
    <t>Busman Bsc1 (Hypers)</t>
  </si>
  <si>
    <t>DTE Energy Music Theater</t>
  </si>
  <si>
    <t>Clarkston</t>
  </si>
  <si>
    <t>Schoeps mk41&gt;kc5&gt;cmc6&gt;psp3&gt;mini-me</t>
  </si>
  <si>
    <t>includes soundcheck (sbd, 128 kbps, from FTA 15.2)</t>
  </si>
  <si>
    <t>schoeps mk41v (Dina)&gt;kc5&gt;m222&gt;nt222</t>
  </si>
  <si>
    <t>Neumann ak40 &gt; lc3ka &gt; km 100</t>
  </si>
  <si>
    <t>Schoeps mk4v's(DIN)&gt;kc5&gt;m222&gt;nt222</t>
  </si>
  <si>
    <t>Schoeps mk4v's(DIN)&gt;kc5&gt;m222</t>
  </si>
  <si>
    <t>Super Ball IX - Soundcheck</t>
  </si>
  <si>
    <t>Watkins Glen</t>
  </si>
  <si>
    <t>SBD &gt; livephish.com rip (FTA 15.2)</t>
  </si>
  <si>
    <t>Super Ball IX - Watkins Glen International</t>
  </si>
  <si>
    <t>DPA 4023&gt;Sonosax SX-M2&gt;Sound Devices 722</t>
  </si>
  <si>
    <t>Schoeps CCM4(ortf) Schoeps/VMS5u&gt;R44</t>
  </si>
  <si>
    <t>Super Ball IX - Storage Jam</t>
  </si>
  <si>
    <t>MBHO KA500HN[DINa/FOB/DFC]</t>
  </si>
  <si>
    <t>MBHO KA500HN[NOS/FOB/DFC]</t>
  </si>
  <si>
    <t>FOB/DFC&gt; Neumann Ak 40's(NOS) &gt; Lc3</t>
  </si>
  <si>
    <t>Hollywood Bowl</t>
  </si>
  <si>
    <t>Schoeps m934c&gt; M221B&gt; Sonosax SX-M2</t>
  </si>
  <si>
    <t>Lake Tahoe Outdoor Arena at Harveys</t>
  </si>
  <si>
    <t>Stateline</t>
  </si>
  <si>
    <t>Polo Fields, Golden Gate Park</t>
  </si>
  <si>
    <t>Church Audio STC-11 Cards</t>
  </si>
  <si>
    <t>Busman BSC1-K31 &gt; Naiant Littlebox</t>
  </si>
  <si>
    <t>Busman BSC2-K1 &gt; Naiant Littlebox</t>
  </si>
  <si>
    <t>Dick's Sporting Goods Park</t>
  </si>
  <si>
    <t>Commerce City</t>
  </si>
  <si>
    <t>Schoeps mk5&gt; KCY&gt; VST62IU&gt; EAA PSP-2</t>
  </si>
  <si>
    <t>Schoeps mk5</t>
  </si>
  <si>
    <t>Vermont Flood Recovery Benefit</t>
  </si>
  <si>
    <t>Champlain Valley Exposition</t>
  </si>
  <si>
    <t>Essex Junction</t>
  </si>
  <si>
    <t>Schoeps MK22</t>
  </si>
  <si>
    <t>Holiday Run, 2011</t>
  </si>
  <si>
    <t>AKG C414XLS (Hypercardioid)</t>
  </si>
  <si>
    <t xml:space="preserve"> </t>
  </si>
  <si>
    <t>Summer, 2012</t>
  </si>
  <si>
    <t>Schoeps mk21 (NOS/FOB) &gt; kcy</t>
  </si>
  <si>
    <t>Bader Field</t>
  </si>
  <si>
    <t>Schoeps m934c&gt; M221B&gt; PS&gt; Aeta PSP-3</t>
  </si>
  <si>
    <t>Schoeps m934c&gt; M221B</t>
  </si>
  <si>
    <t>Schoeps MK41[DINa/OTS/DFC]</t>
  </si>
  <si>
    <t>First Niagra Pavilion</t>
  </si>
  <si>
    <t>Schoeps mk41 (DINa) &gt; kcy</t>
  </si>
  <si>
    <t>Klipsch Music Center</t>
  </si>
  <si>
    <t>schoeps mk41 (dina)&gt; kc5</t>
  </si>
  <si>
    <t>Schoeps mk41 + mk8 [m/s]&gt; Vark KCY</t>
  </si>
  <si>
    <t>Long Beach Arena</t>
  </si>
  <si>
    <t>Long Beach</t>
  </si>
  <si>
    <t>Bill Graham Civic Auditorium</t>
  </si>
  <si>
    <t>San Fransico</t>
  </si>
  <si>
    <t>AKG C414XLS (hypercardioid setting)</t>
  </si>
  <si>
    <t>Starlight Theatre</t>
  </si>
  <si>
    <t>AKG C414xls Hypercardioid &gt; Edirol R4Pro</t>
  </si>
  <si>
    <t>DPA 4022(din)&gt; sd 788t</t>
  </si>
  <si>
    <t>Aaron's Amphitheatre at Lakewood</t>
  </si>
  <si>
    <t>Schoeps mk4v&gt; KC5&gt; M222&gt; Apogee AD-1000</t>
  </si>
  <si>
    <t>Chaifetz Arena, St. Louis University</t>
  </si>
  <si>
    <t>Audio-Technica AT4031s</t>
  </si>
  <si>
    <t>Oklahoma City Zoo Amphitheatre</t>
  </si>
  <si>
    <t>Oklahoma City</t>
  </si>
  <si>
    <t>OK</t>
  </si>
  <si>
    <t>DPA 4027(NOS/DFC/FOB 55' from stage)</t>
  </si>
  <si>
    <t>Dick's Sporting Good's Park</t>
  </si>
  <si>
    <t>Holiday Run, 2012</t>
  </si>
  <si>
    <t>Schoeps mk41v's(DIN)&gt;kc5&gt;m222&gt;nt222</t>
  </si>
  <si>
    <t>Schoeps Mk41v(dina)&gt; KCY&gt;Schoeps Vst 62IUg</t>
  </si>
  <si>
    <t>Summer, 2013</t>
  </si>
  <si>
    <t>Darling's Waterfront Pavilion</t>
  </si>
  <si>
    <t>Schoeps MK22&gt;KC5&gt;CMC6&gt;Sonosax SX-R4</t>
  </si>
  <si>
    <t>includes partial soundcheck</t>
  </si>
  <si>
    <t>Schoeps MK41&gt;KC5&gt;CMC6&gt;Sonosax SX-R4</t>
  </si>
  <si>
    <t>DPA 4011 &gt; V3 Digital &gt; R44</t>
  </si>
  <si>
    <t>SPTFB-2 &gt; SPSB-10 &gt; MARANTZ-PMD620</t>
  </si>
  <si>
    <t>Sennheiser ME66's</t>
  </si>
  <si>
    <t>Schoeps mk41v (dina)&gt; kcy&gt;aki&gt; M222</t>
  </si>
  <si>
    <t>Schoeps mk4v's(DINa)&gt;kc5&gt;m222</t>
  </si>
  <si>
    <t>Neumann KM184's &gt; Shure FP24</t>
  </si>
  <si>
    <t>FirstMerit Bank Pavilion at Northerly Island</t>
  </si>
  <si>
    <t>Schoeps mk21&gt; KC5&gt; M222&gt; NT222</t>
  </si>
  <si>
    <t>Molson Canadian Amphitheatre</t>
  </si>
  <si>
    <t>Oktava MC-012s</t>
  </si>
  <si>
    <t>DPA 4027</t>
  </si>
  <si>
    <t>includes complete soundcheck</t>
  </si>
  <si>
    <t>Schoeps mk4v (din)&gt; kc5&gt; M222&gt; NT222</t>
  </si>
  <si>
    <t>Schoeps mkv&gt; KC5&gt; M222&gt; NT222</t>
  </si>
  <si>
    <t xml:space="preserve">CO </t>
  </si>
  <si>
    <t>includes (complete?) soundcheck</t>
  </si>
  <si>
    <t>Fall, 2013</t>
  </si>
  <si>
    <t>Schoeps mk41v (dina)&gt; kcy&gt;aki&gt; M222&gt; NT222</t>
  </si>
  <si>
    <t>Edirol UA-5&gt;Edirol R-09 HR</t>
  </si>
  <si>
    <t>XL Center</t>
  </si>
  <si>
    <t>The Santander Arena</t>
  </si>
  <si>
    <t>Reading</t>
  </si>
  <si>
    <t>DPA 4022(DIN/DFC/OTS@11')-&gt;V2-&gt;M10</t>
  </si>
  <si>
    <t>DPA 4022(POS@30cm/DFC/OTS@11')-&gt;V2-&gt;M10</t>
  </si>
  <si>
    <t>DPA 4022(NOS/DFC/FOB@6')-&gt;V2-&gt;M10</t>
  </si>
  <si>
    <t>Holiday Run, 2013</t>
  </si>
  <si>
    <t>New Orleans Jazz &amp; Heritage Festival</t>
  </si>
  <si>
    <t>DPA 4021 Tinybox PFA Sony M10</t>
  </si>
  <si>
    <t>Live on Letterman</t>
  </si>
  <si>
    <t>webcast rip</t>
  </si>
  <si>
    <t>Late Show recording</t>
  </si>
  <si>
    <t>Live on Letterman recording</t>
  </si>
  <si>
    <t>Summer, 2014</t>
  </si>
  <si>
    <t>Xfinity Center</t>
  </si>
  <si>
    <t>AKG c480b/ck69(Long Shotguns,PAS,OTS)</t>
  </si>
  <si>
    <t>Schoeps m934c &gt; M221B &gt; PS &gt; Aeta 4MinX</t>
  </si>
  <si>
    <t>Neumann KM150's&gt;Grace Design Lunatec V2</t>
  </si>
  <si>
    <t>Randall's Island</t>
  </si>
  <si>
    <t>Schoeps MK4V (FOB, DFC, PAS, 7ft)&gt;KC5</t>
  </si>
  <si>
    <t>JW MOD AKG461's &gt; OCM Marantz PMD661</t>
  </si>
  <si>
    <t>PNC Music Pavilion</t>
  </si>
  <si>
    <t>DPA 4023 (NOS) &gt; Lunatec V3 (digital)</t>
  </si>
  <si>
    <t>Schoeps mk4v’s(DINa)&gt;kc5&gt;m222&gt;nt222</t>
  </si>
  <si>
    <t>Schoeps mk4v(ortf)&gt; kcy&gt;aki&gt; M222&gt; NT222</t>
  </si>
  <si>
    <t>Amphitheater at the Wharf</t>
  </si>
  <si>
    <t>Orange Beach</t>
  </si>
  <si>
    <t>Schoeps mk5 &gt; KC5 &gt; M222 &gt; NT222</t>
  </si>
  <si>
    <t>Schoeps mk21 &gt; KC5 &gt; CMC6xt &gt; EAA PSP-2</t>
  </si>
  <si>
    <t>Church Audio CA-11 (cards)</t>
  </si>
  <si>
    <t>AKG CK-63 ULS (DIN)</t>
  </si>
  <si>
    <t>DPA 4027(45cm-80*/FOB/DFC@6.5')</t>
  </si>
  <si>
    <t>Fall, 2014</t>
  </si>
  <si>
    <t>Matthew Knight Arena</t>
  </si>
  <si>
    <t>FOB/DFC &gt; Ak40 (NOS) &gt; Lc3 &gt; Km100</t>
  </si>
  <si>
    <t>FOB/DFC &gt;Neumann Ak40 (NOS) &gt; Lc3</t>
  </si>
  <si>
    <t>Schoeps mk4v (ortf)&gt; kcy&gt;aki&gt; M222&gt; NT222</t>
  </si>
  <si>
    <t>Sleep Train Amphitheatre</t>
  </si>
  <si>
    <t>Schoeps mk4v (ortf)&gt;kcy aki&gt; M222&gt; NT222</t>
  </si>
  <si>
    <t>MGM Grand Garden Arena</t>
  </si>
  <si>
    <t>Schoeps mk41v (dina)&gt;kcy aki&gt; M222&gt; NT222</t>
  </si>
  <si>
    <t>Holiday Run, 2014/2015</t>
  </si>
  <si>
    <t>Busman BSC2 (hyper cardioid, 11' high, ortf)</t>
  </si>
  <si>
    <t>Milab VIP-50 (JW mod, cardioid)</t>
  </si>
  <si>
    <t>Busman BSC2 (cardioid, 11' high, ortf)</t>
  </si>
  <si>
    <t>Busman BSC2 (cardioid, 10' high, ortf)</t>
  </si>
  <si>
    <t>Summer, 2015</t>
  </si>
  <si>
    <t>Les Schwab Amphitheater</t>
  </si>
  <si>
    <t>Bend</t>
  </si>
  <si>
    <t>Nakamichi CM1000/CP101's (Sank p48 mod)</t>
  </si>
  <si>
    <t>Microtech Gefell M21/actives (DINa)</t>
  </si>
  <si>
    <t>Austin360 Amphitheater</t>
  </si>
  <si>
    <t>Del Valle</t>
  </si>
  <si>
    <t>DPA 4027(NOS/FOB/DFC@6.5')-&gt;Tinybox</t>
  </si>
  <si>
    <t>Verizon Theatre at Grand Prairie</t>
  </si>
  <si>
    <t>Grand Prairie</t>
  </si>
  <si>
    <t>DPA 4018c(OTS/2'ROC@8.5'/POS)-&gt;Portico 5012</t>
  </si>
  <si>
    <t>Schoeps mk41v (din)&gt;kcy aki&gt; M222&gt; NT222</t>
  </si>
  <si>
    <t>Tuscaloosa Amphitheater</t>
  </si>
  <si>
    <t>Ascend Amphitheater</t>
  </si>
  <si>
    <t>Kasas City</t>
  </si>
  <si>
    <t>DPA 4018(2’LOC in Terrace 1</t>
  </si>
  <si>
    <t>Schoeps MK41[DINa/DFC/OTS/Front Rail]</t>
  </si>
  <si>
    <t>JW MOD AKGc460b's/ck61 &gt; OCM Marantz</t>
  </si>
  <si>
    <t>Schoeps mk41 &gt; actives &gt; NBox+</t>
  </si>
  <si>
    <t>Schoeps mk41v's(DINa)&gt;kc5&gt;m222&gt;nt222</t>
  </si>
  <si>
    <t>AKG C414xls (Cardioid/Hyper) &gt; Edirol R4Pro</t>
  </si>
  <si>
    <t>Magnaball - Soundcheck</t>
  </si>
  <si>
    <t>SBD &gt; mixlr stream rip</t>
  </si>
  <si>
    <t>complete Magnaball soundcheck</t>
  </si>
  <si>
    <t>Magnaball - Watkins Glen International</t>
  </si>
  <si>
    <t>Magnaball - Drive-In Jam</t>
  </si>
  <si>
    <t>Schoeps mk4v (ortf)&gt;kcy&gt;aki&gt; M222&gt; NT222</t>
  </si>
  <si>
    <t>Schoeps mk22(nos)&gt;Kcy&gt;Schoeps Vst 62IUg</t>
  </si>
  <si>
    <t>Holiday Run, 2015/2016</t>
  </si>
  <si>
    <t>Schoeps mk41v&gt; NBob KCY&gt; Naiant PFA</t>
  </si>
  <si>
    <t>AKG C414xls card/hyper &gt; Edirol R4Pro</t>
  </si>
  <si>
    <t>Riviera Maya, 2016</t>
  </si>
  <si>
    <t>Barceló Maya Beach</t>
  </si>
  <si>
    <t>Riviera Maya</t>
  </si>
  <si>
    <t>MX</t>
  </si>
  <si>
    <t>Summer, 2016</t>
  </si>
  <si>
    <t>Xcel Energy Center</t>
  </si>
  <si>
    <t>Schoeps MK41</t>
  </si>
  <si>
    <t>Wrigley Field</t>
  </si>
  <si>
    <t>Schoeps MK4's &gt; Nbobs &gt; Nbox Platinum</t>
  </si>
  <si>
    <t>Schoeps MK41's &gt; Nbobs &gt; Nbox Platinum</t>
  </si>
  <si>
    <t>Nakamichi CM700 / CP701's &gt; Lunatec V3</t>
  </si>
  <si>
    <t>Schoeps mk22 (NOS)&gt; Nabob KCY&gt; Naiant PFA</t>
  </si>
  <si>
    <t>Schoeps mk22 (NOS)&gt; Nbob KCY&gt; Naiant PFA</t>
  </si>
  <si>
    <t>Chopped Sennheiser ME64&gt;Custom K6 Box</t>
  </si>
  <si>
    <t>Cross Insurance Arena</t>
  </si>
  <si>
    <t>Schoeps mk22 (22cm/110*)&gt; Nabob KCY</t>
  </si>
  <si>
    <t>Telefunken ELA M 260/AKG ck8 Shotguns</t>
  </si>
  <si>
    <t>XFINITY Theatre</t>
  </si>
  <si>
    <t>MG21&gt;nBob Actives&gt;nBox Platinum</t>
  </si>
  <si>
    <t>Lakeview Amphitheater</t>
  </si>
  <si>
    <t>Schoeps mk41v&gt;kc5&gt;cmc6&gt;Sonosax SX-R4</t>
  </si>
  <si>
    <t>FOB/DFC &gt; Neumann Ak40 (NOS) &gt; Lc3</t>
  </si>
  <si>
    <t>Schoeps mk4v(ortf)&gt;kcy&gt;AKI&gt;M222&gt; NT222</t>
  </si>
  <si>
    <t>Schoeps mk21(Nos)&gt;kcy&gt;AKI&gt;M222&gt; NT222</t>
  </si>
  <si>
    <t>MBHO440 ORTF + BSC1-K11 XY &gt; H6</t>
  </si>
  <si>
    <t>AKG Ck1/a60 (DIN)&gt; Naiant Actives</t>
  </si>
  <si>
    <t>Oak Ridge Farm</t>
  </si>
  <si>
    <t>Arrington</t>
  </si>
  <si>
    <t>Schoeps mk4 &gt; Nbob KCY Cables</t>
  </si>
  <si>
    <t>DPA 4015a(NOS/FOB/1’ROC@6’)-&gt;Portico 5012</t>
  </si>
  <si>
    <t>DPA 4015c(FOB/DFC/NOS@6’)-&gt;Portico 5012</t>
  </si>
  <si>
    <t>Fall, 2016</t>
  </si>
  <si>
    <t>web rip</t>
  </si>
  <si>
    <t>Schoeps mk41v(dina)&gt;kc5&gt;M222&gt; NT222</t>
  </si>
  <si>
    <t>Jacksonville Veterans Memorial Arena</t>
  </si>
  <si>
    <t>Jacksonville</t>
  </si>
  <si>
    <t>Schoeps CCM4V's&gt;Lunatec V2</t>
  </si>
  <si>
    <t>mix of 3 Nakamichi CM-300's</t>
  </si>
  <si>
    <t>DPA 4018er(DIN/DFC@8.5’/OTS)</t>
  </si>
  <si>
    <t>DPA 4018er(DIN/DFC@11.5’/OTS)</t>
  </si>
  <si>
    <t>DPA 4022(NOS/DFC@11.5’/OTS)</t>
  </si>
  <si>
    <t>DPA 4018er(DIN/DFC@12’/OTS)</t>
  </si>
  <si>
    <t>Holiday Run, 2016</t>
  </si>
  <si>
    <t>Schoeps mk22&gt; Nbob KCY</t>
  </si>
  <si>
    <t>Schoeps mk41v (30 cm @ 70°)&gt; Nbob KCY</t>
  </si>
  <si>
    <t>Milab VM44 Links (super-cards)</t>
  </si>
  <si>
    <t>Schoeps mk41v (30cm @ 70°) &gt; Nbob KCY</t>
  </si>
  <si>
    <t>Riviera Maya, 2017</t>
  </si>
  <si>
    <t>Microtech Gefell UMT 800 - Wide Cardioid</t>
  </si>
  <si>
    <t>AKG C451E w/ CK3 &gt; Sound Devices Mixpre</t>
  </si>
  <si>
    <t>Summer, 2017</t>
  </si>
  <si>
    <t>Huntington Bank Pavilion at Norterly Island</t>
  </si>
  <si>
    <t>MBHO KA200</t>
  </si>
  <si>
    <t>Schoeps mk4v (DINa/FOB)</t>
  </si>
  <si>
    <t>Petersen Events Center</t>
  </si>
  <si>
    <t>Schoeps CMC6/MK4</t>
  </si>
  <si>
    <t>DPA 4027(NOS/FOB/1’ROC@6')</t>
  </si>
  <si>
    <t>DPA 4015c(NOS/FOB/DFC@6’)</t>
  </si>
  <si>
    <t>DPA 4015a(NOS/FOB/DFC@6’)</t>
  </si>
  <si>
    <t>Holiday Run, 2017</t>
  </si>
  <si>
    <t>Schoeps mk41v</t>
  </si>
  <si>
    <t>Schoeps mk4v</t>
  </si>
  <si>
    <t>Summer, 2018</t>
  </si>
  <si>
    <t>Schoeps mk41v's</t>
  </si>
  <si>
    <t>Nakamichi CM-300 CP-1 Cardiods</t>
  </si>
  <si>
    <t>Schoeps CCM4 (ORTF)</t>
  </si>
  <si>
    <t>MBHO Cards-UA5</t>
  </si>
  <si>
    <t>Avantone CK-1s</t>
  </si>
  <si>
    <t>Neumann Ak40</t>
  </si>
  <si>
    <t>Neuamnn Ak50's</t>
  </si>
  <si>
    <t>Soundfield ST-450</t>
  </si>
  <si>
    <t>MBHO ka300 (DINa) + ka500</t>
  </si>
  <si>
    <t>Telefunken TK62</t>
  </si>
  <si>
    <t>BB&amp;T Pavilion</t>
  </si>
  <si>
    <t>Schoeps MK41V's</t>
  </si>
  <si>
    <t>Akg 463</t>
  </si>
  <si>
    <t>Coastal Credit Union Music Park at Walnut Creek</t>
  </si>
  <si>
    <t>Telefunken TK60</t>
  </si>
  <si>
    <t>Microtech Gefell m300 xy &amp; AKG 463</t>
  </si>
  <si>
    <t>Telefunken M60</t>
  </si>
  <si>
    <t>Fall, 2018</t>
  </si>
  <si>
    <t>Schoeps mk21 NOS</t>
  </si>
  <si>
    <t>MBHO ka500 + ka300</t>
  </si>
  <si>
    <t>Telefunken ELA M260/AKG ck8</t>
  </si>
  <si>
    <t>Schoeps CCM4V's</t>
  </si>
  <si>
    <t>DPA 4018a</t>
  </si>
  <si>
    <t>DPA 4011c</t>
  </si>
  <si>
    <t>Holiday Run, 2018</t>
  </si>
  <si>
    <t>Microtech Gefell m300</t>
  </si>
  <si>
    <t>AKG C414xls</t>
  </si>
  <si>
    <t>Schoeps mk22</t>
  </si>
  <si>
    <t>Riviera Maya, 2019</t>
  </si>
  <si>
    <t>AKG CK-61/AKG CK-63</t>
  </si>
  <si>
    <t>Summer, 2019</t>
  </si>
  <si>
    <t>Chaifetz Arena, Saint Louis University</t>
  </si>
  <si>
    <t>Budweiser Stage</t>
  </si>
  <si>
    <t>DPA 4023</t>
  </si>
  <si>
    <t>Schoeps mk21 [M] + mk8 [S]</t>
  </si>
  <si>
    <t>Neumann U89</t>
  </si>
  <si>
    <t>Microtech Gefell M200</t>
  </si>
  <si>
    <t>Telefunken ELA M260</t>
  </si>
  <si>
    <t>TLM 170s</t>
  </si>
  <si>
    <t>AKG ck22 ck3 ck61</t>
  </si>
  <si>
    <t>2-AKG C460's</t>
  </si>
  <si>
    <t>Schoeps CCM4V'S</t>
  </si>
  <si>
    <t>Mohegan Sun Arena</t>
  </si>
  <si>
    <t>Uncasville</t>
  </si>
  <si>
    <t>Chopped Sennheiser ME64</t>
  </si>
  <si>
    <t>Schoeps mk21</t>
  </si>
  <si>
    <t>Fall, 2019</t>
  </si>
  <si>
    <t>MG21</t>
  </si>
  <si>
    <t>Microtech Gefell m300s HPF</t>
  </si>
  <si>
    <t>Nassau Veterans Memorial Coliseum</t>
  </si>
  <si>
    <t>AKG C414xls card/hyper</t>
  </si>
  <si>
    <t>Met Philadelphia</t>
  </si>
  <si>
    <t>Holiday Run, 2019</t>
  </si>
  <si>
    <t>Riviera Maya, 2020</t>
  </si>
  <si>
    <t>Moon Palace</t>
  </si>
  <si>
    <t>Cancun</t>
  </si>
  <si>
    <t>AKG CK-61 ULS</t>
  </si>
  <si>
    <t>Summer, 2021</t>
  </si>
  <si>
    <t>Walmart Arkansas Music Pavilion</t>
  </si>
  <si>
    <t>Rogers</t>
  </si>
  <si>
    <t>AR</t>
  </si>
  <si>
    <t xml:space="preserve">Behringer C-2 </t>
  </si>
  <si>
    <t>Ameris Bank Amphitheatre</t>
  </si>
  <si>
    <t>Ruoff Music Center</t>
  </si>
  <si>
    <t>DPA 4015c</t>
  </si>
  <si>
    <t>Telefunken ELA M260/TK60</t>
  </si>
  <si>
    <t>Austrian Audio oc818</t>
  </si>
  <si>
    <t>Atlantic City Beach</t>
  </si>
  <si>
    <t>AT4031s</t>
  </si>
  <si>
    <t>MBHO 603 Cards</t>
  </si>
  <si>
    <t>Fall, 2021</t>
  </si>
  <si>
    <t>Golden 1 Center</t>
  </si>
  <si>
    <t>Chase Center</t>
  </si>
  <si>
    <t>Schoeps ccm41v</t>
  </si>
  <si>
    <t>Ak-Chin Pavilion</t>
  </si>
  <si>
    <t>DPA 4011a</t>
  </si>
  <si>
    <t>North Island Credit Union Amphitheatre</t>
  </si>
  <si>
    <t>DPA 4006a</t>
  </si>
  <si>
    <t>Santa Barbara Bowl</t>
  </si>
  <si>
    <t>DPA 4015</t>
  </si>
  <si>
    <t>Holiday Run, 2021</t>
  </si>
  <si>
    <t>Rock Lititz</t>
  </si>
  <si>
    <t>Lititz</t>
  </si>
  <si>
    <t>Mexico, 2022</t>
  </si>
  <si>
    <t>Moon Palace - Soundcheck</t>
  </si>
  <si>
    <t>iPhone recording</t>
  </si>
  <si>
    <t>complete Mexico soundcheck</t>
  </si>
  <si>
    <t>AKG matrix</t>
  </si>
  <si>
    <t>MSG Run, 2022</t>
  </si>
  <si>
    <t>Schoeps CCM4u Cardioids</t>
  </si>
  <si>
    <t>Neumann TLM 170r</t>
  </si>
  <si>
    <t>DPA4061 + AKG483</t>
  </si>
  <si>
    <t>Spring, 2022</t>
  </si>
  <si>
    <t>The Wharf Amphitheater</t>
  </si>
  <si>
    <t>Schoeps ccm41v + Schoeps mk22</t>
  </si>
  <si>
    <t>Credit One Stadium</t>
  </si>
  <si>
    <t>Schoeps mk3 Omni</t>
  </si>
  <si>
    <t>AKG Matrix</t>
  </si>
  <si>
    <t>Summer, 2022</t>
  </si>
  <si>
    <t>ADK a51TL’s</t>
  </si>
  <si>
    <t>Schoeps CCM4V</t>
  </si>
  <si>
    <t>Maine Savings Amphitheater</t>
  </si>
  <si>
    <t>TD Pavilion at the Mann</t>
  </si>
  <si>
    <t>AKG AUD Matrix</t>
  </si>
  <si>
    <t>AKG/Neumann Matrix</t>
  </si>
  <si>
    <t>Xfinity Theatre</t>
  </si>
  <si>
    <t>Busman BSC-1 / AKG 460 matrix</t>
  </si>
  <si>
    <t>Northwell Health at Jones Beach Theater</t>
  </si>
  <si>
    <t>includes souncheck</t>
  </si>
  <si>
    <t>Austrian Audo OC818</t>
  </si>
  <si>
    <t>Microtech Gefell M21</t>
  </si>
  <si>
    <t>Nak CM-300s/CP-1s</t>
  </si>
  <si>
    <t>AKG CK-61 ULS Matrix</t>
  </si>
  <si>
    <t>Pine Knob Music Theatre</t>
  </si>
  <si>
    <t>Neumann KM150</t>
  </si>
  <si>
    <t>AKG CK62/c480b</t>
  </si>
  <si>
    <t>AKG CK Matrix</t>
  </si>
  <si>
    <t>Schoeps Matrix</t>
  </si>
  <si>
    <t>Space Antelope</t>
  </si>
  <si>
    <t>Taft School</t>
  </si>
  <si>
    <t>Watertown</t>
  </si>
  <si>
    <t>The Phones</t>
  </si>
  <si>
    <t>Magic Mountain</t>
  </si>
  <si>
    <t>Londonderry</t>
  </si>
  <si>
    <t>Mike sat in for 2 songs</t>
  </si>
  <si>
    <t>Johnny B. Fishman Jazz Ensemble</t>
  </si>
  <si>
    <t>Trey Anastasio &amp; Jamie Masefield</t>
  </si>
  <si>
    <t>Queen City Tavern</t>
  </si>
  <si>
    <t>Anastasio, Gordon &amp; Masefield</t>
  </si>
  <si>
    <t>WVPS Studios</t>
  </si>
  <si>
    <t>Jazz Mandolin Project</t>
  </si>
  <si>
    <t>Last Elm Café</t>
  </si>
  <si>
    <t>National Guitar Summit Workshop</t>
  </si>
  <si>
    <t>National Guitar Workshop</t>
  </si>
  <si>
    <t>Milford</t>
  </si>
  <si>
    <t>Canterbury School</t>
  </si>
  <si>
    <t>J C's Jazz Club</t>
  </si>
  <si>
    <t>Bad Hat</t>
  </si>
  <si>
    <t>Granny Killian's</t>
  </si>
  <si>
    <t>Alliot Hall, St. Michaels College</t>
  </si>
  <si>
    <t>Gamut Room, Middlebury College</t>
  </si>
  <si>
    <t>Club Metronome</t>
  </si>
  <si>
    <t>Iron Horse Music Hall</t>
  </si>
  <si>
    <t>The Flynn Theatre (early show)</t>
  </si>
  <si>
    <t>The Flynn Theatre (late show)</t>
  </si>
  <si>
    <t>Christ Church, Presbyterian, University of Vermont</t>
  </si>
  <si>
    <t>Surrender to the Air</t>
  </si>
  <si>
    <t>Page sat in for all of Set II</t>
  </si>
  <si>
    <t>Club Toast</t>
  </si>
  <si>
    <t>Page sat in for 1 song</t>
  </si>
  <si>
    <t>Sneaker's Jazz Band</t>
  </si>
  <si>
    <t>Sneaker's Bar-n-Grill</t>
  </si>
  <si>
    <t>Trey sat in for the entire show, minus the encore</t>
  </si>
  <si>
    <t>8 Foot Flourescent Tubes</t>
  </si>
  <si>
    <t>Higher Ground</t>
  </si>
  <si>
    <t>Fish sat in for parts of Set II</t>
  </si>
  <si>
    <t>Trey Anastasio &amp; Mike Gordon</t>
  </si>
  <si>
    <t>The Dead Goat Saloon</t>
  </si>
  <si>
    <t>The Trio</t>
  </si>
  <si>
    <t>Tibet House Benefit</t>
  </si>
  <si>
    <t>Carnegie Hall</t>
  </si>
  <si>
    <t>Vermont Jazz All-Stars</t>
  </si>
  <si>
    <t>Tuttle Middle School Auditorium</t>
  </si>
  <si>
    <t>South Burlington</t>
  </si>
  <si>
    <t>Solo Acoustic</t>
  </si>
  <si>
    <t>Sweetwater's</t>
  </si>
  <si>
    <t>Mill Valley</t>
  </si>
  <si>
    <t>Phil Lesh &amp; Phriends</t>
  </si>
  <si>
    <t>Club Front</t>
  </si>
  <si>
    <t>San Rafael</t>
  </si>
  <si>
    <t>24 track recording mix, includes soundcheck</t>
  </si>
  <si>
    <t>24 track recording mix</t>
  </si>
  <si>
    <t>Riviera Theatre</t>
  </si>
  <si>
    <t>Oscar Mayer Theatre</t>
  </si>
  <si>
    <t>Thomas Wolfe Auditorium</t>
  </si>
  <si>
    <t>9:30 Club</t>
  </si>
  <si>
    <t>SUNY-Binghampton Concert Theater</t>
  </si>
  <si>
    <t>The Fillmore Auditorium</t>
  </si>
  <si>
    <t>Trey Anastasio, B.B. King &amp; The Roots</t>
  </si>
  <si>
    <t>Grand Olympic Auditorium</t>
  </si>
  <si>
    <t>Oysterhead</t>
  </si>
  <si>
    <t>studio outtakes</t>
  </si>
  <si>
    <t>Saenger Theater</t>
  </si>
  <si>
    <t>Trey Anastasio &amp; Kid Rock</t>
  </si>
  <si>
    <t>Trey Anastasio &amp; The Vermont Youth Orchestra</t>
  </si>
  <si>
    <t>Troy Savings Bank Music Hall</t>
  </si>
  <si>
    <t>Troy</t>
  </si>
  <si>
    <t>The Sextet</t>
  </si>
  <si>
    <t>Landmark Theatre</t>
  </si>
  <si>
    <t>Page sat in for 3 songs</t>
  </si>
  <si>
    <t>Buruss Auditorium, Virginia Tech</t>
  </si>
  <si>
    <t>Blacksburg</t>
  </si>
  <si>
    <t>Landmark Theater</t>
  </si>
  <si>
    <t>missing I Want to Take You Higher</t>
  </si>
  <si>
    <t>Mike sat in for the encore</t>
  </si>
  <si>
    <t>The Octet</t>
  </si>
  <si>
    <t>Open Air Theatre</t>
  </si>
  <si>
    <t>Verizon Wireless Virginia Beach Amphitheater</t>
  </si>
  <si>
    <t>Hollywood Palladium</t>
  </si>
  <si>
    <t>Edward C. Elliot Hall of Music</t>
  </si>
  <si>
    <t>West Lafayette</t>
  </si>
  <si>
    <t>Massey Hall</t>
  </si>
  <si>
    <t>Tsongas Arena</t>
  </si>
  <si>
    <t>D.A.R. Constitution Hall</t>
  </si>
  <si>
    <t>The Power of Music</t>
  </si>
  <si>
    <t>The Bushnell</t>
  </si>
  <si>
    <t>Solo Acoustic/Interview/Late Show Appearances</t>
  </si>
  <si>
    <t>The River Music Hall, 92.5 The River Studios</t>
  </si>
  <si>
    <t>Haverhill</t>
  </si>
  <si>
    <t>Studio 7, 92.9 WBOS Studios</t>
  </si>
  <si>
    <t>WXPN-FM Indre Studios</t>
  </si>
  <si>
    <t>WFUV 90.7-FM Studios</t>
  </si>
  <si>
    <t>WNCS-FM Studios</t>
  </si>
  <si>
    <t>Montpellier</t>
  </si>
  <si>
    <t>Mountain Music Lounge</t>
  </si>
  <si>
    <t>The Dectet - Summer Tour</t>
  </si>
  <si>
    <t>Solo Acoustic/Interview</t>
  </si>
  <si>
    <t>Performance Lounge, KINK-FM 101.9 Studios</t>
  </si>
  <si>
    <t>KFOG Studios</t>
  </si>
  <si>
    <t>The Dectet - Summer Tour (cont.)</t>
  </si>
  <si>
    <t>Calaveras County Fairgrounds</t>
  </si>
  <si>
    <t>Angles Camp</t>
  </si>
  <si>
    <t>Page sat in for 2 songs</t>
  </si>
  <si>
    <t>Studio C, KBCO Studios</t>
  </si>
  <si>
    <t>Tower City Amphitheatre</t>
  </si>
  <si>
    <t>The Amphitheatre at Station Square</t>
  </si>
  <si>
    <t>Fish sat in for the entire show</t>
  </si>
  <si>
    <t>CBS Television City Studios</t>
  </si>
  <si>
    <t>Rising Low Screening Party</t>
  </si>
  <si>
    <t>Allaire Studios</t>
  </si>
  <si>
    <t>Shokan</t>
  </si>
  <si>
    <t>The Dectet - Fall Tour</t>
  </si>
  <si>
    <t>Memorial Auditorium</t>
  </si>
  <si>
    <t>Stanley Performing Arts Center</t>
  </si>
  <si>
    <t>The Dectet - Fall Tour (cont.)</t>
  </si>
  <si>
    <t>The Tabernacle</t>
  </si>
  <si>
    <t>Pompano Beach Amphitheater</t>
  </si>
  <si>
    <t>Pompano Beach</t>
  </si>
  <si>
    <t>The Dectet</t>
  </si>
  <si>
    <t>Hammerstein Ballroom</t>
  </si>
  <si>
    <t>Electric Factory</t>
  </si>
  <si>
    <t>Chicago Theatre</t>
  </si>
  <si>
    <t>Dave Matthews &amp; Friends</t>
  </si>
  <si>
    <t>Cox Arena</t>
  </si>
  <si>
    <t>Staples Center</t>
  </si>
  <si>
    <t>Oakland Arena</t>
  </si>
  <si>
    <t>Oakland</t>
  </si>
  <si>
    <t>Trey Anastasio and Dave Matthews</t>
  </si>
  <si>
    <t>Goree Island</t>
  </si>
  <si>
    <t>SN</t>
  </si>
  <si>
    <t>Easter Jam (with Phish)</t>
  </si>
  <si>
    <t>Mike sat in for 3 songs, Page sat in for 6 songs, Fish sat in for 5 songs</t>
  </si>
  <si>
    <t>Topnotch Resort and Spa</t>
  </si>
  <si>
    <t>Trey Anastasio &amp; The Scorchio Quintet</t>
  </si>
  <si>
    <t>70 Volt Parade - Spring Tour</t>
  </si>
  <si>
    <t>Ryman Auditorium</t>
  </si>
  <si>
    <t>Tom Lee Park</t>
  </si>
  <si>
    <t>Mike sat in for 8 songs</t>
  </si>
  <si>
    <t>Main Stage, New Orleans Fairgrounds</t>
  </si>
  <si>
    <t>Ovens Auditorium</t>
  </si>
  <si>
    <t>The Taft Theatre</t>
  </si>
  <si>
    <t>Auditorium Theatre, Roosevelt University</t>
  </si>
  <si>
    <t>Mike sat in for 5 songs</t>
  </si>
  <si>
    <t>70 Volt Parade - Summer Tour</t>
  </si>
  <si>
    <t>Soo Pass Ranch</t>
  </si>
  <si>
    <t>Detroit Lakes</t>
  </si>
  <si>
    <t>FleetBoston Pavilion</t>
  </si>
  <si>
    <t>Festival Pier at Penn's Landing</t>
  </si>
  <si>
    <t>The Lawn at White River State Park</t>
  </si>
  <si>
    <t>Charter One Pavilion</t>
  </si>
  <si>
    <t>70 Volt Parade - Fall Tour</t>
  </si>
  <si>
    <t>Seattle Center</t>
  </si>
  <si>
    <t>Scott Stadium, University of Virginia</t>
  </si>
  <si>
    <t>Wallace Wade Stadium, Duke University</t>
  </si>
  <si>
    <t>Sam Boyd Stadium</t>
  </si>
  <si>
    <t>70 Volt Parade - Fall Tour (cont.)</t>
  </si>
  <si>
    <t>Convocation Center, Northern Illinois University</t>
  </si>
  <si>
    <t>Dekalb</t>
  </si>
  <si>
    <t>Page sat in for 4 songs</t>
  </si>
  <si>
    <t>Shea's Performing Arts Center</t>
  </si>
  <si>
    <t>Mike sat in for 7 songs, Fish sat in for 2 songs</t>
  </si>
  <si>
    <t>Gray Gym, Bates College</t>
  </si>
  <si>
    <t>McCarter Theatre, Princeton University</t>
  </si>
  <si>
    <t>missing 70 Volt Parade &gt; Air Said To Me, Shine, Drifting, Money, Love and Change and Simple Twist Up Dave</t>
  </si>
  <si>
    <t>FM broadcast</t>
  </si>
  <si>
    <t>Chevrolet Theatre</t>
  </si>
  <si>
    <t>Wallingford</t>
  </si>
  <si>
    <t>4th and B</t>
  </si>
  <si>
    <t>missing Curlew's Call</t>
  </si>
  <si>
    <t>SerialPod</t>
  </si>
  <si>
    <t>The Orange Peel</t>
  </si>
  <si>
    <t>70 Volt Parade - New Year's Eve</t>
  </si>
  <si>
    <t>Club Med</t>
  </si>
  <si>
    <t>Nassau</t>
  </si>
  <si>
    <t>BS</t>
  </si>
  <si>
    <t>Majesty of the Seas</t>
  </si>
  <si>
    <t>Sovereign of the Seas</t>
  </si>
  <si>
    <t>XM Performance Theater</t>
  </si>
  <si>
    <t>Trey Anastasio Band - Warmup Shows</t>
  </si>
  <si>
    <t>Trey Anastasio Band - Summer Tour</t>
  </si>
  <si>
    <t>Verizon Wireless Amphitheater - Charlotte</t>
  </si>
  <si>
    <t>Bristow</t>
  </si>
  <si>
    <t>Germain Amphitheater</t>
  </si>
  <si>
    <t>Trey, Mike and The Duo</t>
  </si>
  <si>
    <t>Trey Anastasio Band - Summer Tour (cont.)</t>
  </si>
  <si>
    <t>UMB Bank Amphitheater</t>
  </si>
  <si>
    <t>Tweeter Center Boston</t>
  </si>
  <si>
    <t>Benedict Music Tent</t>
  </si>
  <si>
    <t>includes partial AUD of Seventh Hour w/ Trey aftershow</t>
  </si>
  <si>
    <t>Trey, Mike and The Duo (G.R.A.B.)</t>
  </si>
  <si>
    <t>New England Dodge Music Center</t>
  </si>
  <si>
    <t>Jones Beach Amphitheatre</t>
  </si>
  <si>
    <t>Ford Pavilion at Montage Mountain</t>
  </si>
  <si>
    <t>Scranton</t>
  </si>
  <si>
    <t>Marvin's Mountain Top</t>
  </si>
  <si>
    <t>Masontown</t>
  </si>
  <si>
    <t>Century Room</t>
  </si>
  <si>
    <t>Hummingbird Centre</t>
  </si>
  <si>
    <t>Plain Dealer Pavilion</t>
  </si>
  <si>
    <t>The Amphitheater at Clark County</t>
  </si>
  <si>
    <t>Ridgefield</t>
  </si>
  <si>
    <t>White River Amphitheatre</t>
  </si>
  <si>
    <t>Smirnoff Music Center</t>
  </si>
  <si>
    <t>Trey Anastasio Band - Fall Tour</t>
  </si>
  <si>
    <t>Webster Hall</t>
  </si>
  <si>
    <t>Mike sat in for 4 songs/jams</t>
  </si>
  <si>
    <t>Charlottesville Pavilion</t>
  </si>
  <si>
    <t>House of Blues</t>
  </si>
  <si>
    <t>Myrtle Beach</t>
  </si>
  <si>
    <t>Sand is incomplete</t>
  </si>
  <si>
    <t>Cintas Center, Xavier University</t>
  </si>
  <si>
    <t>Twist &amp; Shout</t>
  </si>
  <si>
    <t>Trey Anastasio Band - Fall Tour (cont.)</t>
  </si>
  <si>
    <t>Orleans Arena</t>
  </si>
  <si>
    <t>Phil &amp; Trey</t>
  </si>
  <si>
    <t>Mike sat in for 1 song</t>
  </si>
  <si>
    <t>Stubb's Bar-B-Q</t>
  </si>
  <si>
    <t>The Holmes Center, Appalachian State University</t>
  </si>
  <si>
    <t>Barton Hall, Cornell University</t>
  </si>
  <si>
    <t>Eureka Municipal Auditorium</t>
  </si>
  <si>
    <t>The Undectet - New Year's Run</t>
  </si>
  <si>
    <t>Kaufmann Concert Hall, 92nd Street Y</t>
  </si>
  <si>
    <t>The Undectet</t>
  </si>
  <si>
    <t>Revolution Live</t>
  </si>
  <si>
    <t>Fort Lauderdale</t>
  </si>
  <si>
    <t>Markham Park</t>
  </si>
  <si>
    <t>Double JJ Resort</t>
  </si>
  <si>
    <t>Rothbury</t>
  </si>
  <si>
    <t>Mike sat in on 3 songs</t>
  </si>
  <si>
    <t>Fort Adams State Park</t>
  </si>
  <si>
    <t>Classic TAB</t>
  </si>
  <si>
    <t>Music Hall of Williamsburg</t>
  </si>
  <si>
    <t>Liberty State Park</t>
  </si>
  <si>
    <t>Jersey City</t>
  </si>
  <si>
    <t>Trey Anastasio &amp; Orchestra Nashville</t>
  </si>
  <si>
    <t>Lupo's Heartbreak Hotel</t>
  </si>
  <si>
    <t>The National</t>
  </si>
  <si>
    <t>Trey Anastasio &amp; Balitmore Symphony Orchestra</t>
  </si>
  <si>
    <t>Joseph Meyerhoff Symphony Hall</t>
  </si>
  <si>
    <t>Trey Anastasio &amp; New York Philharmonic</t>
  </si>
  <si>
    <t>Trey Anastasio Band</t>
  </si>
  <si>
    <t>Jefferson Theatre</t>
  </si>
  <si>
    <t>Oakdale Theatre</t>
  </si>
  <si>
    <t>Count Basie Theatre</t>
  </si>
  <si>
    <t>Red Bank</t>
  </si>
  <si>
    <t>Terminal 5</t>
  </si>
  <si>
    <t>The Pabst Theater</t>
  </si>
  <si>
    <t>Uptown Theater</t>
  </si>
  <si>
    <t>The Pageant</t>
  </si>
  <si>
    <t>The Fillmore Charlotte</t>
  </si>
  <si>
    <t>Town Beach</t>
  </si>
  <si>
    <t>Gulf Shores</t>
  </si>
  <si>
    <t>Richardson Auditorium, Princeton University</t>
  </si>
  <si>
    <t>V2</t>
  </si>
  <si>
    <t>Trey Anastasio Band - Acoustic/Electric Tour</t>
  </si>
  <si>
    <t>Stage AE</t>
  </si>
  <si>
    <t>Lifestyle Communities Pavilion</t>
  </si>
  <si>
    <t>The Ogden Theatre</t>
  </si>
  <si>
    <t>The Music Box</t>
  </si>
  <si>
    <t>The Fox Theater</t>
  </si>
  <si>
    <t>Rams Head Live!</t>
  </si>
  <si>
    <t>The Wellmont Theatre</t>
  </si>
  <si>
    <t>Montclair</t>
  </si>
  <si>
    <t>The Fillmore Silver Spring</t>
  </si>
  <si>
    <t>Silver Spring</t>
  </si>
  <si>
    <t>nTelos Wireless Pavilion</t>
  </si>
  <si>
    <t>Spirit of the Suwannee Music Park</t>
  </si>
  <si>
    <t>Live Oak</t>
  </si>
  <si>
    <t>Winter Symphony Tour</t>
  </si>
  <si>
    <t>Atlanta Symphony Hall</t>
  </si>
  <si>
    <t>Heinz Hall</t>
  </si>
  <si>
    <t>Boettcher Concert Hall</t>
  </si>
  <si>
    <t>Walt Disney Concert Hall</t>
  </si>
  <si>
    <t>The Fillmore Detroit</t>
  </si>
  <si>
    <t>Sherman Theater</t>
  </si>
  <si>
    <t>Stroudsburg</t>
  </si>
  <si>
    <t>Solo Acouostic</t>
  </si>
  <si>
    <t>Borgata Event Center</t>
  </si>
  <si>
    <t>Trey Anastasio Band - Winter Tour</t>
  </si>
  <si>
    <t>Danforth Music Hall</t>
  </si>
  <si>
    <t>Trey Anastasio Band - Spring Tour</t>
  </si>
  <si>
    <t xml:space="preserve">Crystal Ballroom </t>
  </si>
  <si>
    <t>Hangout Music Festival</t>
  </si>
  <si>
    <t>Trey Anastasio &amp; National Symphony Orchestra</t>
  </si>
  <si>
    <t>Kennedy Center Concert Hall</t>
  </si>
  <si>
    <t xml:space="preserve">Trey Anastasio Band </t>
  </si>
  <si>
    <t>Allegany County Fairgrounds</t>
  </si>
  <si>
    <t>Cumberland</t>
  </si>
  <si>
    <t>Three Sisters Park</t>
  </si>
  <si>
    <t>Chillicothe</t>
  </si>
  <si>
    <t>incomplete recording, due to weather</t>
  </si>
  <si>
    <t>Lockn' Festival</t>
  </si>
  <si>
    <t>Iron City</t>
  </si>
  <si>
    <t>Egyptian Room at Old National Centre</t>
  </si>
  <si>
    <t>The Pavilion at Montage Mountain</t>
  </si>
  <si>
    <t>Brooklyn Bowl</t>
  </si>
  <si>
    <t>Fall Symphony Tour</t>
  </si>
  <si>
    <t>Benaroya Hall</t>
  </si>
  <si>
    <t>NPR Headquarters</t>
  </si>
  <si>
    <t>The Forum Theatre</t>
  </si>
  <si>
    <t>Binghampton</t>
  </si>
  <si>
    <t>Fare Thee Well: Celebrating 50 Years of the Grateful Dead</t>
  </si>
  <si>
    <t>Levi's Stadium</t>
  </si>
  <si>
    <t>Santa Clara</t>
  </si>
  <si>
    <t>Soldier Field</t>
  </si>
  <si>
    <t>SIR Stage37</t>
  </si>
  <si>
    <t>Kings Theater</t>
  </si>
  <si>
    <t>Brooklyn Bowl Las Vegas</t>
  </si>
  <si>
    <t>Stage 15, Warner Brothers Studios</t>
  </si>
  <si>
    <t>The Showbox</t>
  </si>
  <si>
    <t>The Depot</t>
  </si>
  <si>
    <t>Cottonwood Meadows</t>
  </si>
  <si>
    <t>Buena Vista</t>
  </si>
  <si>
    <t>A Prairie Home Companion</t>
  </si>
  <si>
    <t>The Ellie Caulkins Opera House</t>
  </si>
  <si>
    <t>Academy of Music Theatre</t>
  </si>
  <si>
    <t>Portsmouth Music Hall</t>
  </si>
  <si>
    <t>Centennial Olympic Park</t>
  </si>
  <si>
    <t>Stubb's Waller Creek Amphitheater</t>
  </si>
  <si>
    <t>Cain's Ballroom</t>
  </si>
  <si>
    <t>Tulsa</t>
  </si>
  <si>
    <t>Royal Oak Music Theatre</t>
  </si>
  <si>
    <t>Royal Oak</t>
  </si>
  <si>
    <t>The Fillmore Philadelphia</t>
  </si>
  <si>
    <t>Re Butte Garden Amphitheater</t>
  </si>
  <si>
    <t>Big Sky Brewery</t>
  </si>
  <si>
    <t>MY</t>
  </si>
  <si>
    <t>High Sierra Music Festival</t>
  </si>
  <si>
    <t>Quincy</t>
  </si>
  <si>
    <t>Harvest Jazz &amp; Blues Festival</t>
  </si>
  <si>
    <t>Fredericton</t>
  </si>
  <si>
    <t>NB</t>
  </si>
  <si>
    <t>Thompson's Point</t>
  </si>
  <si>
    <t>Waterfront Park</t>
  </si>
  <si>
    <t>Schermerhorn Symphony Center</t>
  </si>
  <si>
    <t>Brookly Bowl Las Vegas</t>
  </si>
  <si>
    <t>The Observatory OC</t>
  </si>
  <si>
    <t>Santa Ana</t>
  </si>
  <si>
    <t>Barker Hangar</t>
  </si>
  <si>
    <t>missing More</t>
  </si>
  <si>
    <t>U.S. Cellular Arena</t>
  </si>
  <si>
    <t>Trey Anastasio</t>
  </si>
  <si>
    <t>Mayo Performing Arts Center</t>
  </si>
  <si>
    <t>Morristown</t>
  </si>
  <si>
    <t>State Theatre of Ithaca</t>
  </si>
  <si>
    <t>Sanders Theatre, Harvard University</t>
  </si>
  <si>
    <t>Cambridge</t>
  </si>
  <si>
    <t>Byham Theater</t>
  </si>
  <si>
    <t>Grand Opera House</t>
  </si>
  <si>
    <t>Wilmington</t>
  </si>
  <si>
    <t>Sixth and I</t>
  </si>
  <si>
    <t>Carolina Theatre</t>
  </si>
  <si>
    <t>Knight Theater at Levine Center for the Arts</t>
  </si>
  <si>
    <t>Classic Center</t>
  </si>
  <si>
    <t>20 Monroe Live</t>
  </si>
  <si>
    <t>Civic Theatre</t>
  </si>
  <si>
    <t>Terminal West</t>
  </si>
  <si>
    <t>Sprint Pavilion</t>
  </si>
  <si>
    <t>Summerstage, Central Park</t>
  </si>
  <si>
    <t>Levitate Music and Arts Festival</t>
  </si>
  <si>
    <t>Marshfield</t>
  </si>
  <si>
    <t>Ikeda Theater at Mesa Arts Center</t>
  </si>
  <si>
    <t>The Granada Theatre</t>
  </si>
  <si>
    <t>Cascade Theatre</t>
  </si>
  <si>
    <t>Redding</t>
  </si>
  <si>
    <t>Macky Auditorium Concert Hall</t>
  </si>
  <si>
    <t>Ghosts of the Forest</t>
  </si>
  <si>
    <t>The Anthem</t>
  </si>
  <si>
    <t>United Palace</t>
  </si>
  <si>
    <t>College Street Music Hall</t>
  </si>
  <si>
    <t>Jannus Live</t>
  </si>
  <si>
    <t>St. Petersburg</t>
  </si>
  <si>
    <t>St. Augustine Amphitheatre</t>
  </si>
  <si>
    <t>St. Augustine</t>
  </si>
  <si>
    <t>Montage Mountain</t>
  </si>
  <si>
    <t>Mission Ballroom</t>
  </si>
  <si>
    <t>Gerald R. Ford Amphitheater</t>
  </si>
  <si>
    <t>Highland Festival Grounds at Kentucky Expo Center</t>
  </si>
  <si>
    <t>Grammy Museum</t>
  </si>
  <si>
    <t>Town Hall</t>
  </si>
  <si>
    <t>Victoria Theatre</t>
  </si>
  <si>
    <t>Riverside Theater</t>
  </si>
  <si>
    <t>Pablo Center at the Confluence</t>
  </si>
  <si>
    <t>Eau Claire</t>
  </si>
  <si>
    <t>Murat Theatre at Old National Centre</t>
  </si>
  <si>
    <t>The Observatory North Park</t>
  </si>
  <si>
    <t>The Van Buren</t>
  </si>
  <si>
    <t>Austin City Limits at the Moody Theater</t>
  </si>
  <si>
    <t>The Tobin Center for the Performing Arts</t>
  </si>
  <si>
    <t>San ANtonio</t>
  </si>
  <si>
    <t>1skBank Center</t>
  </si>
  <si>
    <t>with The Roots</t>
  </si>
  <si>
    <t>The Beacon Jams</t>
  </si>
  <si>
    <t>Acoustic w/ The Rescue Squad and Jeff Tanski</t>
  </si>
  <si>
    <t>Leader Bank Pavilion</t>
  </si>
  <si>
    <t>Westville Music Bowl</t>
  </si>
  <si>
    <t>Ting Pavilion</t>
  </si>
  <si>
    <t>Live Oak Bank Pavilion at Riverfront Park</t>
  </si>
  <si>
    <t>Charlotte Metro Credit Union Amphitheatre</t>
  </si>
  <si>
    <t>Rabbit Rabbit</t>
  </si>
  <si>
    <t>Express Live!</t>
  </si>
  <si>
    <t>with Jon Fishman</t>
  </si>
  <si>
    <t>Roadrunner</t>
  </si>
  <si>
    <t>Red Butte Garden Amphitheater</t>
  </si>
  <si>
    <t>Iroquois Amphitheater</t>
  </si>
  <si>
    <t>The Andrew J Brady Music Center</t>
  </si>
  <si>
    <t>The Frederick Meijer Gardens Amphitheater</t>
  </si>
  <si>
    <t>Kresge Auditorium</t>
  </si>
  <si>
    <t>Interlochen</t>
  </si>
  <si>
    <t>The Edge</t>
  </si>
  <si>
    <t>xx/xx/1982</t>
  </si>
  <si>
    <t>Bruce Diehl's Basement</t>
  </si>
  <si>
    <t>Sudbury</t>
  </si>
  <si>
    <t>The Tombstone Blues Band</t>
  </si>
  <si>
    <t>Fairbanks School Gymnasium</t>
  </si>
  <si>
    <t>Late Night Jam Session</t>
  </si>
  <si>
    <t>Private Home</t>
  </si>
  <si>
    <t>Gordon Stone Band</t>
  </si>
  <si>
    <t>The Drop Caps</t>
  </si>
  <si>
    <t>Masefield, Perkins &amp; Gordon</t>
  </si>
  <si>
    <t>Muddy Waters</t>
  </si>
  <si>
    <t>Skarsboro Village Meeting House</t>
  </si>
  <si>
    <t>Starksboro</t>
  </si>
  <si>
    <t>Vassar and His Yankee Boys</t>
  </si>
  <si>
    <t>Mead Chapel, Middlebury College</t>
  </si>
  <si>
    <t>set I: AUD, set II: SBD</t>
  </si>
  <si>
    <t>Mike Gordon + Col. Bruce Hampton &amp; The Codetalkers</t>
  </si>
  <si>
    <t>Irving Plaza</t>
  </si>
  <si>
    <t>Webster Theater</t>
  </si>
  <si>
    <t>Scott Murawski &amp; Friends</t>
  </si>
  <si>
    <t>Mike sat in for all but 2 songs</t>
  </si>
  <si>
    <t>El Buho</t>
  </si>
  <si>
    <t>The Monkey Bar</t>
  </si>
  <si>
    <t>Antone's</t>
  </si>
  <si>
    <t>Mike Gordon &amp; Warren Haynes</t>
  </si>
  <si>
    <t>Mike Gordon &amp; Leo Kottke</t>
  </si>
  <si>
    <t>Mercury Lounge</t>
  </si>
  <si>
    <t>Club Helsinki</t>
  </si>
  <si>
    <t>Great Barrington</t>
  </si>
  <si>
    <t>Ira Allen Chapel, University of Vermont</t>
  </si>
  <si>
    <t>The Bowery Ballroom</t>
  </si>
  <si>
    <t>Theatre of the Living Arts</t>
  </si>
  <si>
    <t>Altanta</t>
  </si>
  <si>
    <t>Park West</t>
  </si>
  <si>
    <t>The Roxy Theatre</t>
  </si>
  <si>
    <t>Grappa Boom</t>
  </si>
  <si>
    <t>Charles Hotel</t>
  </si>
  <si>
    <t>includes both shows from this date</t>
  </si>
  <si>
    <t>Bonnaroo Superjam</t>
  </si>
  <si>
    <t>Mike Gordon</t>
  </si>
  <si>
    <t>missing Couch Lady and Bone Delay</t>
  </si>
  <si>
    <t>Avalon</t>
  </si>
  <si>
    <t>HeadCount Bluegrass All-Stars</t>
  </si>
  <si>
    <t>B.B. King's</t>
  </si>
  <si>
    <t>Benevento/Russo Duo Featuring Mike Gordon</t>
  </si>
  <si>
    <t>Snow Ridge Ski Resort</t>
  </si>
  <si>
    <t>Turin</t>
  </si>
  <si>
    <t>Fountain Jam</t>
  </si>
  <si>
    <t>City Hall Park</t>
  </si>
  <si>
    <t>Theater of the Living Arts</t>
  </si>
  <si>
    <t>The Theater at Madison Square Garden</t>
  </si>
  <si>
    <t>TwiRoPa</t>
  </si>
  <si>
    <t>Mike Gordon &amp; Leo Kottke - Summer Tour</t>
  </si>
  <si>
    <t>Horning's Hideout</t>
  </si>
  <si>
    <t>North Plains</t>
  </si>
  <si>
    <t>Kit Carson State Park</t>
  </si>
  <si>
    <t>Taos</t>
  </si>
  <si>
    <t>Marquee Theatre</t>
  </si>
  <si>
    <t>Rialto Theatre</t>
  </si>
  <si>
    <t>Tuscon</t>
  </si>
  <si>
    <t>The Mountain Winery</t>
  </si>
  <si>
    <t>Saratoga</t>
  </si>
  <si>
    <t>Mike Gordon &amp; Leo Kottke - Fall Tour</t>
  </si>
  <si>
    <t>The Lensic</t>
  </si>
  <si>
    <t>West Hollywood</t>
  </si>
  <si>
    <t>Dinkelspiel Auditorium, Stanford University</t>
  </si>
  <si>
    <t>The Music Mill</t>
  </si>
  <si>
    <t>Berklee Performance Center</t>
  </si>
  <si>
    <t>Starr Hill Music Hall</t>
  </si>
  <si>
    <t>The Music Box, Borgata Hotel &amp; Casino</t>
  </si>
  <si>
    <t>Falls Church</t>
  </si>
  <si>
    <t>Freebird Live</t>
  </si>
  <si>
    <t>Jannus Landing</t>
  </si>
  <si>
    <t>Culture Room</t>
  </si>
  <si>
    <t>The Rhythm Devils</t>
  </si>
  <si>
    <t>The Canal Room</t>
  </si>
  <si>
    <t>Mike Gordon and Ramble Dove</t>
  </si>
  <si>
    <t>Trey sat in for 10 songs</t>
  </si>
  <si>
    <t>Page sat in for 2 songs, Fish sat in for all but the first 3 songs</t>
  </si>
  <si>
    <t>Hunter Mountain</t>
  </si>
  <si>
    <t>Hunter</t>
  </si>
  <si>
    <t>Trey, Mike &amp; The Duo (G.R.A.B.)</t>
  </si>
  <si>
    <t>Evolve Festival</t>
  </si>
  <si>
    <t>Antigonish</t>
  </si>
  <si>
    <t>NS</t>
  </si>
  <si>
    <t>The Rhythm Devils - Summer Tour</t>
  </si>
  <si>
    <t>The Birchmere</t>
  </si>
  <si>
    <t>Alexandria</t>
  </si>
  <si>
    <t>Indian Lookout Country Club</t>
  </si>
  <si>
    <t>Mariaville</t>
  </si>
  <si>
    <t>The Rhythm Devils - Fall Tour</t>
  </si>
  <si>
    <t>Sunoco Performance Theater</t>
  </si>
  <si>
    <t>Harrisburg</t>
  </si>
  <si>
    <t>Starland Ballroom</t>
  </si>
  <si>
    <t>Sayreville</t>
  </si>
  <si>
    <t>The Stranahan Theater</t>
  </si>
  <si>
    <t>Toledo</t>
  </si>
  <si>
    <t>Quixote's Field Trip @ Fat City</t>
  </si>
  <si>
    <t>Littleton</t>
  </si>
  <si>
    <t>Gordon, Haynes, Weir, Kreutzmann, Hart &amp; Hornsby</t>
  </si>
  <si>
    <t>National Building Museum</t>
  </si>
  <si>
    <t>Gordon, Kreutzmann &amp; Kimock</t>
  </si>
  <si>
    <t>One Love Gardens</t>
  </si>
  <si>
    <t>Kauai</t>
  </si>
  <si>
    <t>HI</t>
  </si>
  <si>
    <t>Gordon, Kreutzmann &amp; Murawski</t>
  </si>
  <si>
    <t>DoceLunas</t>
  </si>
  <si>
    <t>Jaco</t>
  </si>
  <si>
    <t>CR</t>
  </si>
  <si>
    <t>Mike Gordon - Summer Tour</t>
  </si>
  <si>
    <t>SBD/2 mic matrix</t>
  </si>
  <si>
    <t>Plumas County Fairgrounds</t>
  </si>
  <si>
    <t>Trey sat in for 3 songs, Fish sat in for 1 song</t>
  </si>
  <si>
    <t>Mile High Music Festival</t>
  </si>
  <si>
    <t>Seaside Park</t>
  </si>
  <si>
    <t>Bridgeport</t>
  </si>
  <si>
    <t>AUD/SBD Matrix</t>
  </si>
  <si>
    <t>Plan 9</t>
  </si>
  <si>
    <t>Licoln Theatre</t>
  </si>
  <si>
    <t>Neighborhood Theatre</t>
  </si>
  <si>
    <t>Highline Ballroom</t>
  </si>
  <si>
    <t>Lafayette Square</t>
  </si>
  <si>
    <t>Record Theatre</t>
  </si>
  <si>
    <t>Page sat in for 5 songs</t>
  </si>
  <si>
    <t>Tractor Tavern</t>
  </si>
  <si>
    <t>Aladdin Theatre</t>
  </si>
  <si>
    <t>Mishawaka Amphitheatre</t>
  </si>
  <si>
    <t>Bellevue</t>
  </si>
  <si>
    <t>Slowdown</t>
  </si>
  <si>
    <t>Varsity Theatre</t>
  </si>
  <si>
    <t>Majestic Theatre</t>
  </si>
  <si>
    <t xml:space="preserve">Park West </t>
  </si>
  <si>
    <t>Beachland Ballroom</t>
  </si>
  <si>
    <t>Mike Gordon - New Year's Run</t>
  </si>
  <si>
    <t>Pickle Barrel Club</t>
  </si>
  <si>
    <t>City Winery</t>
  </si>
  <si>
    <t>Port City Music Hall</t>
  </si>
  <si>
    <t>Bearsville Theater</t>
  </si>
  <si>
    <t>Lincoln Theatre</t>
  </si>
  <si>
    <t>WorkPlay SoundStage Theater</t>
  </si>
  <si>
    <t>Minglewood Hall</t>
  </si>
  <si>
    <t>Mercy Lounge</t>
  </si>
  <si>
    <t>The Vogue Theatre</t>
  </si>
  <si>
    <t>20th Century Theatre</t>
  </si>
  <si>
    <t>The Blind Pig</t>
  </si>
  <si>
    <t>Mr. Small's Theatre</t>
  </si>
  <si>
    <t>The Mod Club</t>
  </si>
  <si>
    <t>Town Ballroom</t>
  </si>
  <si>
    <t>Revolution Hall</t>
  </si>
  <si>
    <t>Stroudsburgh</t>
  </si>
  <si>
    <t>Lebanon Opera House</t>
  </si>
  <si>
    <t>Lebanon</t>
  </si>
  <si>
    <t>Gelston Castle</t>
  </si>
  <si>
    <t>Mohawk</t>
  </si>
  <si>
    <t>The Mossary (Moss Album Release Party)</t>
  </si>
  <si>
    <t>The Troubadour</t>
  </si>
  <si>
    <t>The Independent</t>
  </si>
  <si>
    <t>Ben &amp; Jerry's at Haight/Ashbury</t>
  </si>
  <si>
    <t>The Crocodile</t>
  </si>
  <si>
    <t>Wilma Theatre</t>
  </si>
  <si>
    <t>The State Room</t>
  </si>
  <si>
    <t>V1</t>
  </si>
  <si>
    <t>The Waiting Room</t>
  </si>
  <si>
    <t>Fine Line Music Cafe</t>
  </si>
  <si>
    <t>Lincoln Hall</t>
  </si>
  <si>
    <t>Bluebird Nightclub</t>
  </si>
  <si>
    <t>Madison Theater</t>
  </si>
  <si>
    <t>Covington</t>
  </si>
  <si>
    <t>Westcott Theater</t>
  </si>
  <si>
    <t>Fish sat in for all but the first 4 songs</t>
  </si>
  <si>
    <t>Late Night Appearance</t>
  </si>
  <si>
    <t>Mike Gordon - Winter Tour</t>
  </si>
  <si>
    <t>McDonald Theatre</t>
  </si>
  <si>
    <t>Van Duzer Theatre</t>
  </si>
  <si>
    <t>Crystal Bay Club Crown Room</t>
  </si>
  <si>
    <t>Crystal Bay</t>
  </si>
  <si>
    <t>Rio Theatre</t>
  </si>
  <si>
    <t>Orpheum Theater</t>
  </si>
  <si>
    <t>Flagstaff</t>
  </si>
  <si>
    <t>Sheridan Opera House</t>
  </si>
  <si>
    <t>Belly Up</t>
  </si>
  <si>
    <t>The Bottleneck</t>
  </si>
  <si>
    <t>Center Stage Theater</t>
  </si>
  <si>
    <t>Mike Gordon - Fall Weekends Tour</t>
  </si>
  <si>
    <t>The Met</t>
  </si>
  <si>
    <t>Pawtucket</t>
  </si>
  <si>
    <t>Calvin Theatre</t>
  </si>
  <si>
    <t>The Egg</t>
  </si>
  <si>
    <t>The Apollo Project</t>
  </si>
  <si>
    <t>WNYC New Sounds Studio</t>
  </si>
  <si>
    <t>World Financial Center Winter Garden</t>
  </si>
  <si>
    <t>Mike Gordon - Europe 2012</t>
  </si>
  <si>
    <t>The Borderline</t>
  </si>
  <si>
    <t>Newbury Comics</t>
  </si>
  <si>
    <t>CBS Broadcast Center</t>
  </si>
  <si>
    <t>Union Transfer</t>
  </si>
  <si>
    <t>Varsity Theater</t>
  </si>
  <si>
    <t>Park City Live</t>
  </si>
  <si>
    <t>El Rey Theatre</t>
  </si>
  <si>
    <t>Wonder Ballroom</t>
  </si>
  <si>
    <t>Neptune Theatre</t>
  </si>
  <si>
    <t>The Rio Theatre</t>
  </si>
  <si>
    <t>The Flying Monkey</t>
  </si>
  <si>
    <t>Tarrytown Music Hall</t>
  </si>
  <si>
    <t>Tarrytown</t>
  </si>
  <si>
    <t>MASS MoCA</t>
  </si>
  <si>
    <t>North Adams</t>
  </si>
  <si>
    <t>Charleston Music Hall</t>
  </si>
  <si>
    <t>Mercury Ballroom</t>
  </si>
  <si>
    <t>Deluxe at Old National Centre</t>
  </si>
  <si>
    <t>Paper Mill Island</t>
  </si>
  <si>
    <t>Baldwinsville</t>
  </si>
  <si>
    <t>Academy of Music</t>
  </si>
  <si>
    <t>Boarding House Park</t>
  </si>
  <si>
    <t>Mike Gordon - Grand Point North Festival</t>
  </si>
  <si>
    <t>Watefront Park</t>
  </si>
  <si>
    <t>Emo's</t>
  </si>
  <si>
    <t>Numbers</t>
  </si>
  <si>
    <t>Granada Theater</t>
  </si>
  <si>
    <t>The Fonda Theatre</t>
  </si>
  <si>
    <t>Crystal Ballroom</t>
  </si>
  <si>
    <t>Mike Gordon - Fall Tour</t>
  </si>
  <si>
    <t>Catskill Chill at New Minglewood</t>
  </si>
  <si>
    <t>Lakewood</t>
  </si>
  <si>
    <t>Delmar Hall</t>
  </si>
  <si>
    <t>Tudor Lounge</t>
  </si>
  <si>
    <t>The Cannery Ballroom</t>
  </si>
  <si>
    <t>The Sinclair</t>
  </si>
  <si>
    <t>Mike Gordon - Festivals</t>
  </si>
  <si>
    <t>The Sound Garden</t>
  </si>
  <si>
    <t>Phoenix Concert Theatre</t>
  </si>
  <si>
    <t>Bell's Eccentric Cafe</t>
  </si>
  <si>
    <t>Metro</t>
  </si>
  <si>
    <t>Madrid Theatre</t>
  </si>
  <si>
    <t>Sipirt of the Suwannee Music Park</t>
  </si>
  <si>
    <t>Vinoy Park</t>
  </si>
  <si>
    <t>Mizner Park Amphitheater</t>
  </si>
  <si>
    <t>Boca Raton</t>
  </si>
  <si>
    <t>Montbleu Resort Casino</t>
  </si>
  <si>
    <t>Teregram Ballroom</t>
  </si>
  <si>
    <t>Belly Up Tavern</t>
  </si>
  <si>
    <t>Solano Beach</t>
  </si>
  <si>
    <t>191 Toole</t>
  </si>
  <si>
    <t>The Crescent Ballroom</t>
  </si>
  <si>
    <t>Brooklyn Steel</t>
  </si>
  <si>
    <t>Mike Gordon - Summer Festivals</t>
  </si>
  <si>
    <t>Camp Greensky</t>
  </si>
  <si>
    <t>Wellston</t>
  </si>
  <si>
    <t>Breckenridge Brewery</t>
  </si>
  <si>
    <t>Grove 2</t>
  </si>
  <si>
    <t>Mike Gordon - Warren Haynes Christmas Jam</t>
  </si>
  <si>
    <t>U.S. Cellular Center</t>
  </si>
  <si>
    <t>Mike Gordon - Winter/Spring Tour</t>
  </si>
  <si>
    <t>Basement East</t>
  </si>
  <si>
    <t>Bar Mash</t>
  </si>
  <si>
    <t>Harvester Performance Center</t>
  </si>
  <si>
    <t>Rocky Mount</t>
  </si>
  <si>
    <t>Asbury Lanes</t>
  </si>
  <si>
    <t>Asbury Park</t>
  </si>
  <si>
    <t>White Eagle Hall</t>
  </si>
  <si>
    <t>Joy Theater</t>
  </si>
  <si>
    <t>Red Rock Amphitheatre</t>
  </si>
  <si>
    <t>Toronoto</t>
  </si>
  <si>
    <t>Millvale</t>
  </si>
  <si>
    <t>Thalia Hall</t>
  </si>
  <si>
    <t>The Commonwealth Room</t>
  </si>
  <si>
    <t>Haynes, McConnell &amp; Raphael</t>
  </si>
  <si>
    <t>SBD/AUD matrix</t>
  </si>
  <si>
    <t>Vida Blue</t>
  </si>
  <si>
    <t>Vida Blue - Spring Tour</t>
  </si>
  <si>
    <t>Campus Green, University of Vermont</t>
  </si>
  <si>
    <t>The NorVa</t>
  </si>
  <si>
    <t>The Orpheum Theater</t>
  </si>
  <si>
    <t>Vida Blue - Summer Tour</t>
  </si>
  <si>
    <t>The Majestic</t>
  </si>
  <si>
    <t>PromoWest Pavilion</t>
  </si>
  <si>
    <t>with DJ Le Spam</t>
  </si>
  <si>
    <t>Vida Blue and The Spam Allstars - Winter Tour</t>
  </si>
  <si>
    <t>The Jackie Gleason Theater</t>
  </si>
  <si>
    <t>Vida Blue and The Spam Allstars - Summer Tour</t>
  </si>
  <si>
    <t>Hurricane BeneFete All-Star Band</t>
  </si>
  <si>
    <t>Page McConnell</t>
  </si>
  <si>
    <t>Snow Ridge Ski Area</t>
  </si>
  <si>
    <t>World Cafe Live</t>
  </si>
  <si>
    <t>The Gramercy Theatre</t>
  </si>
  <si>
    <t>Atalanta</t>
  </si>
  <si>
    <t>Pantages Theater</t>
  </si>
  <si>
    <t>"Playshop" recording only</t>
  </si>
  <si>
    <t>Neumo's</t>
  </si>
  <si>
    <t>Big Easy Blowout</t>
  </si>
  <si>
    <t>Cervantes</t>
  </si>
  <si>
    <t>The Jammy Awards</t>
  </si>
  <si>
    <t>Porter Batiste Stoltz featuring Page McConnell</t>
  </si>
  <si>
    <t>The Meter Men with Page McConnell</t>
  </si>
  <si>
    <t>The Royale</t>
  </si>
  <si>
    <t>Howard Theatre</t>
  </si>
  <si>
    <t>Curtis Hixon Waterfront Park</t>
  </si>
  <si>
    <t>Grand Ballroom</t>
  </si>
  <si>
    <t>Republic New Orleans</t>
  </si>
  <si>
    <t>Camp Minglewood</t>
  </si>
  <si>
    <t>Hancock</t>
  </si>
  <si>
    <t>Phil Lesh &amp; Friends</t>
  </si>
  <si>
    <t>The Captitol Theatre</t>
  </si>
  <si>
    <t>Jon Fishman's Geodome</t>
  </si>
  <si>
    <t>Bad Hat - Winter Tour</t>
  </si>
  <si>
    <t>The Dude of Life Band</t>
  </si>
  <si>
    <t>Club Babyhead</t>
  </si>
  <si>
    <t>Trey and Mike may have sat in for portions of this show</t>
  </si>
  <si>
    <t>JC Dobbs</t>
  </si>
  <si>
    <t>Trey sat in for the entire show, Page sat in for 5 songs</t>
  </si>
  <si>
    <t>Trey sat in for the entire show, Page sat in for 4 songs</t>
  </si>
  <si>
    <t>Bad Hat - Fall Tour</t>
  </si>
  <si>
    <t>Spastic</t>
  </si>
  <si>
    <t>Mama Kin's</t>
  </si>
  <si>
    <t>Pork Tornado</t>
  </si>
  <si>
    <t>setlist unknown</t>
  </si>
  <si>
    <t>Trey sat in for an unconfirmed number of songs</t>
  </si>
  <si>
    <t>Zambiland Orchestra</t>
  </si>
  <si>
    <t>The Knitting Factory</t>
  </si>
  <si>
    <t>Jim Porter's Good Time Emporium</t>
  </si>
  <si>
    <t>Be Here Now</t>
  </si>
  <si>
    <t>Zydeco</t>
  </si>
  <si>
    <t>Contemporary Arts Center</t>
  </si>
  <si>
    <t>Smith's Olde Bar</t>
  </si>
  <si>
    <t>Ace of Clubs</t>
  </si>
  <si>
    <t>Sycamore Gardens</t>
  </si>
  <si>
    <t>Graffiti Showcase</t>
  </si>
  <si>
    <t>Stone Coast Brewing Co.</t>
  </si>
  <si>
    <t>Tradewinds</t>
  </si>
  <si>
    <t>Sea Bright</t>
  </si>
  <si>
    <t>The Trocadero Theatre</t>
  </si>
  <si>
    <t>Recher Theatre</t>
  </si>
  <si>
    <t>Towson</t>
  </si>
  <si>
    <t>Milestones</t>
  </si>
  <si>
    <t>The Palladium</t>
  </si>
  <si>
    <t>The Odeon</t>
  </si>
  <si>
    <t>The Union Bar</t>
  </si>
  <si>
    <t>The Great Hall, University of Wisconsin</t>
  </si>
  <si>
    <t>The Canopy Club</t>
  </si>
  <si>
    <t>Urbana</t>
  </si>
  <si>
    <t>Electra</t>
  </si>
  <si>
    <t>7th House</t>
  </si>
  <si>
    <t>The Opera House</t>
  </si>
  <si>
    <t>Snow Barn</t>
  </si>
  <si>
    <t>Mt. Snow</t>
  </si>
  <si>
    <t>Axis</t>
  </si>
  <si>
    <t>Lost Horizon</t>
  </si>
  <si>
    <t>The Gargoyle, Washington University</t>
  </si>
  <si>
    <t>Double Door</t>
  </si>
  <si>
    <t>Lake Champlain Transportation Company Ferry</t>
  </si>
  <si>
    <t>Armory High</t>
  </si>
  <si>
    <t>Rusty Nail Bar &amp; Grille</t>
  </si>
  <si>
    <t>Northern Lights</t>
  </si>
  <si>
    <t>Clifton Park</t>
  </si>
  <si>
    <t>The Jaques-Imo's Cafe Allstars</t>
  </si>
  <si>
    <t>Maple Leaf Bar</t>
  </si>
  <si>
    <t>Arts and Sciences Auditorium, University of Wyoming</t>
  </si>
  <si>
    <t>Laramie</t>
  </si>
  <si>
    <t>WY</t>
  </si>
  <si>
    <t>Emerson Cultural Center</t>
  </si>
  <si>
    <t>University Theater, University of Montana</t>
  </si>
  <si>
    <t>Student Union Auditorium, CSU-Chico</t>
  </si>
  <si>
    <t>Mystic Theater</t>
  </si>
  <si>
    <t>Petaluma</t>
  </si>
  <si>
    <t>Nita's Hideaway</t>
  </si>
  <si>
    <t>Aggie Theatre</t>
  </si>
  <si>
    <t>Juke Joint</t>
  </si>
  <si>
    <t>Baton Rouge</t>
  </si>
  <si>
    <t>Tipitina's Uptown</t>
  </si>
  <si>
    <t>Sunshine Daydream Music Park</t>
  </si>
  <si>
    <t>Terra Alta</t>
  </si>
  <si>
    <t>Mayo Island</t>
  </si>
  <si>
    <t>The Stone Pony</t>
  </si>
  <si>
    <t>The Moose's Tooth</t>
  </si>
  <si>
    <t>Anchorage</t>
  </si>
  <si>
    <t>AK</t>
  </si>
  <si>
    <t>Bear Tooth Theatre</t>
  </si>
  <si>
    <t>The Blue Loon</t>
  </si>
  <si>
    <t>Fairbanks</t>
  </si>
  <si>
    <t>Bottom Line</t>
  </si>
  <si>
    <t>Yokohama Bay Hall</t>
  </si>
  <si>
    <t>Yokohama</t>
  </si>
  <si>
    <t>Water Street Music Hall</t>
  </si>
  <si>
    <t>Harry-O's</t>
  </si>
  <si>
    <t>Music Millenium</t>
  </si>
  <si>
    <t>Slim's</t>
  </si>
  <si>
    <t>House of Blues, Mandalay Bay</t>
  </si>
  <si>
    <t>Trees</t>
  </si>
  <si>
    <t>La Zona Rosa</t>
  </si>
  <si>
    <t>Mr. Smalls Theatre</t>
  </si>
  <si>
    <t>Jack Quinns Emerald Ballroom (early show)</t>
  </si>
  <si>
    <t>Jack Quinns Emerald Ballroom (late show)</t>
  </si>
  <si>
    <t>Copper Dragon</t>
  </si>
  <si>
    <t>Carbondale</t>
  </si>
  <si>
    <t>Everyone Orchestra</t>
  </si>
  <si>
    <t>Chevrolet Amphitheatre</t>
  </si>
  <si>
    <t>Stella Blue</t>
  </si>
  <si>
    <t>Albuquerque</t>
  </si>
  <si>
    <t>The Venue Scottsdale</t>
  </si>
  <si>
    <t>Scottsdale</t>
  </si>
  <si>
    <t>32 Bleu</t>
  </si>
  <si>
    <t>Memorial Union Terrace, University of Wisconsin</t>
  </si>
  <si>
    <t>Carnival Celebration</t>
  </si>
  <si>
    <t>Jamcruise</t>
  </si>
  <si>
    <t>The Crystal Ballroom</t>
  </si>
  <si>
    <t>The Village</t>
  </si>
  <si>
    <t>Ashkenaz Music &amp; Dance Community Center</t>
  </si>
  <si>
    <t>Gualala Arts Center</t>
  </si>
  <si>
    <t>Gualala</t>
  </si>
  <si>
    <t>Herb Brooks Arena</t>
  </si>
  <si>
    <t>Touchpants</t>
  </si>
  <si>
    <t>The Big Easy</t>
  </si>
  <si>
    <t>Century Lounge</t>
  </si>
  <si>
    <t>Knitting Factory</t>
  </si>
  <si>
    <t>Red Square</t>
  </si>
  <si>
    <t>MSC Lirica</t>
  </si>
  <si>
    <t>Cozumel</t>
  </si>
  <si>
    <t>Jon Fishman Drum Clinic</t>
  </si>
  <si>
    <t>Up North Music and Art Festival</t>
  </si>
  <si>
    <t>Hiram</t>
  </si>
  <si>
    <t>Loki Music Festival</t>
  </si>
  <si>
    <t>Deerfields</t>
  </si>
  <si>
    <t>Marco Benevento Trio</t>
  </si>
  <si>
    <t>Real Arts Ways</t>
  </si>
  <si>
    <t>Drom</t>
  </si>
  <si>
    <t>Mexicali Live</t>
  </si>
  <si>
    <t>Teaneck</t>
  </si>
  <si>
    <t>FlynnSpace</t>
  </si>
  <si>
    <t>Bear Creek Music and Arts Festival</t>
  </si>
  <si>
    <t>American Legion Hall</t>
  </si>
  <si>
    <t>Belfast</t>
  </si>
  <si>
    <t>World's Largest Cowbell Ensemble</t>
  </si>
  <si>
    <t>Church Street</t>
  </si>
  <si>
    <t>Sullivan Hall</t>
  </si>
  <si>
    <t>Iridium Jazz Club</t>
  </si>
  <si>
    <t>The River St. Jazz Cafe</t>
  </si>
  <si>
    <t>Wilkes-Barre</t>
  </si>
  <si>
    <t>Tammany Hall</t>
  </si>
  <si>
    <t>Dead Set</t>
  </si>
  <si>
    <t>Equifunk: The All-Inclusive Music Festival</t>
  </si>
  <si>
    <t>Equinunk</t>
  </si>
  <si>
    <t>Jam Cruise 12</t>
  </si>
  <si>
    <t>USA</t>
  </si>
  <si>
    <t>Local Legends: An Evening of Acoustic Music</t>
  </si>
  <si>
    <t>CVU Theater</t>
  </si>
  <si>
    <t>Jon Fishman and Friends</t>
  </si>
  <si>
    <t>Zodiacs</t>
  </si>
  <si>
    <t>Masefield, Fishman, Perkins &amp; Bolles</t>
  </si>
  <si>
    <t>ArtisTree</t>
  </si>
  <si>
    <t>South Pomfret</t>
  </si>
  <si>
    <t>The Skinny Pancake</t>
  </si>
  <si>
    <t>The Parish</t>
  </si>
  <si>
    <t>Ardmore Music Hall</t>
  </si>
  <si>
    <t>J. Willis Pratt &amp; We're Bionic</t>
  </si>
  <si>
    <t>Recreation Field</t>
  </si>
  <si>
    <t>Historic Memorial Hall</t>
  </si>
  <si>
    <t>Relix Offices</t>
  </si>
  <si>
    <t>American Beauty</t>
  </si>
  <si>
    <t>The Regattabar</t>
  </si>
  <si>
    <t>One Longfellow Square</t>
  </si>
  <si>
    <t>3S Artspace</t>
  </si>
  <si>
    <t>Jon Fishman</t>
  </si>
  <si>
    <t>Fox Auditorium, University of Maine at Fort Kent</t>
  </si>
  <si>
    <t>Fort Kent</t>
  </si>
  <si>
    <t>North Bowl</t>
  </si>
  <si>
    <t>Dangerous Grapes</t>
  </si>
  <si>
    <t>Mike and Fish sat in for an undetermined number of songs</t>
  </si>
  <si>
    <t>Blues Traveler</t>
  </si>
  <si>
    <t>Trey sat in for 1 song</t>
  </si>
  <si>
    <t>Ryth McFeud</t>
  </si>
  <si>
    <t>Shockra</t>
  </si>
  <si>
    <t>Fish sat in for 1 song</t>
  </si>
  <si>
    <t>KD Churchill's</t>
  </si>
  <si>
    <t>All members of Phish sat in for 4 songs</t>
  </si>
  <si>
    <t>Col. Bruce Hampton &amp; The Aquarium Rescue Unit</t>
  </si>
  <si>
    <t>Page and Fish sat in for the entire show, Trey sat in for 1 song</t>
  </si>
  <si>
    <t>Santana</t>
  </si>
  <si>
    <t>Trey sat in for 2 songs</t>
  </si>
  <si>
    <t>Trey sat in for 3 songs</t>
  </si>
  <si>
    <t>All members of Phish sat in for 5 songs</t>
  </si>
  <si>
    <t>Trey, Page and Mike sat in for 4 songs</t>
  </si>
  <si>
    <t>All members of Phish sat in for an undetermined number of songs</t>
  </si>
  <si>
    <t>All members of Phish sat in for 1 song</t>
  </si>
  <si>
    <t>All members of Phish sat in for 2 songs</t>
  </si>
  <si>
    <t>Mike sat in for 4 songs, Fish sat in for 1 song</t>
  </si>
  <si>
    <t>The Ritz Power Jam</t>
  </si>
  <si>
    <t>The Ritz</t>
  </si>
  <si>
    <t>Monteray</t>
  </si>
  <si>
    <t>Trey sat in for 1 song, Page sat in for 2 songs</t>
  </si>
  <si>
    <t>J.J. Cale</t>
  </si>
  <si>
    <t>Bekeley</t>
  </si>
  <si>
    <t>Trey and Mike sat in for 1 song</t>
  </si>
  <si>
    <t>Widespread Panic</t>
  </si>
  <si>
    <t>Trey sat in for 4 songs, Page sat in for 3 songs</t>
  </si>
  <si>
    <t>Metronome House Band</t>
  </si>
  <si>
    <t>The Dude of Life</t>
  </si>
  <si>
    <t>Trey sat in for the entire show, Page sat in for 5 sonogs</t>
  </si>
  <si>
    <t>Fish read a passage about “Bucky Domes” from Robert Anton Wilson’s "Cosmic Trigger"</t>
  </si>
  <si>
    <t>Michael Ray and the Cosmic Krewe</t>
  </si>
  <si>
    <t>Trey and Fish sat in for the entire show</t>
  </si>
  <si>
    <t>Trey sat in for 3 songs, Page sat in for 6 songs</t>
  </si>
  <si>
    <t>Lyndon State College</t>
  </si>
  <si>
    <t>Rockafellas</t>
  </si>
  <si>
    <t>Trey and Fish sat in for 1 song</t>
  </si>
  <si>
    <t>Merl Saunders and the Rainforest Band</t>
  </si>
  <si>
    <t>Mike, Page and Fish sat in for 1 song</t>
  </si>
  <si>
    <t>Trey sat in for the entire show</t>
  </si>
  <si>
    <t>Citrus</t>
  </si>
  <si>
    <t>Big Joe Burrell and the Unknown Blues Band</t>
  </si>
  <si>
    <t>Edson Hill Manor</t>
  </si>
  <si>
    <t>All members of Phish sat in for several blues numbers</t>
  </si>
  <si>
    <t>Col. Bruce Hampton and the Fiji Mariners</t>
  </si>
  <si>
    <t>Page and Fish sat in for an undetermined number of songs</t>
  </si>
  <si>
    <t>Page sat in for an undetermined number of songs</t>
  </si>
  <si>
    <t>Dave Matthews Band</t>
  </si>
  <si>
    <t>Trey sat in for 4 songs</t>
  </si>
  <si>
    <t>Dibden Center, Johnson State College</t>
  </si>
  <si>
    <t>Trey and Fish sat in for the entire show, Mike sat in for all of set II</t>
  </si>
  <si>
    <t>Parima Thai Restaurant</t>
  </si>
  <si>
    <t>Mike sat in for the entire show</t>
  </si>
  <si>
    <t>Sons of Papaya</t>
  </si>
  <si>
    <t>East LA</t>
  </si>
  <si>
    <t>Fish sat in for 2 songs</t>
  </si>
  <si>
    <t>Jimmy's</t>
  </si>
  <si>
    <t>Leftover Salmon</t>
  </si>
  <si>
    <t>Mike sat in for 3 songs</t>
  </si>
  <si>
    <t>Max Creek</t>
  </si>
  <si>
    <t>Mike sat in for 4 songs</t>
  </si>
  <si>
    <t>The Inn at Essex</t>
  </si>
  <si>
    <t>All members of Phish sat in at various points during this set</t>
  </si>
  <si>
    <t>Medeski, Martin &amp; Wood</t>
  </si>
  <si>
    <t>Mike sat in for all of set II</t>
  </si>
  <si>
    <t>The Allman Brothers Band</t>
  </si>
  <si>
    <t>Trey sat in for 3 songs in set I, all of set II and the encore</t>
  </si>
  <si>
    <t>V4</t>
  </si>
  <si>
    <t>Trey and Page sat in for the entire show</t>
  </si>
  <si>
    <t>Bruce “Sunpie” Barnes and the Louisiana Sunspots</t>
  </si>
  <si>
    <t>Fais Do-Do Stage, New Orleans Fairgrounds</t>
  </si>
  <si>
    <t>Trey sat in for the entire set</t>
  </si>
  <si>
    <t>Pista Speedway</t>
  </si>
  <si>
    <t>Lonigo</t>
  </si>
  <si>
    <t>All members of Phish sat in for 3 songs</t>
  </si>
  <si>
    <t>Last Elm Cafe</t>
  </si>
  <si>
    <t>Mike sat in for the entire show, Fish sat in for all of set II</t>
  </si>
  <si>
    <t>The Aquarium Rescue Unit</t>
  </si>
  <si>
    <t>Mike and Page sat in for an undetermined number of songs</t>
  </si>
  <si>
    <t>FreeWorld</t>
  </si>
  <si>
    <t>Blues City Cafe</t>
  </si>
  <si>
    <t>Fish sat in for an undetermined number of songs</t>
  </si>
  <si>
    <t>Stash</t>
  </si>
  <si>
    <t>Hungry Charlie's</t>
  </si>
  <si>
    <t>Fish sat in for 6 songs</t>
  </si>
  <si>
    <t>Galactic</t>
  </si>
  <si>
    <t>Mermaid Lounge</t>
  </si>
  <si>
    <t>Blues for Breakfast</t>
  </si>
  <si>
    <t>Soulard Blues Band</t>
  </si>
  <si>
    <t>Broadway Oyster Bar</t>
  </si>
  <si>
    <t>Trey and Mike sat in for an undetermined number of songs</t>
  </si>
  <si>
    <t>The Kind</t>
  </si>
  <si>
    <t>Molly's</t>
  </si>
  <si>
    <t>Steve Winwood</t>
  </si>
  <si>
    <t>Mike sat in for most of set II and the encore</t>
  </si>
  <si>
    <t>Downtime</t>
  </si>
  <si>
    <t>Béla Fleck and The Flecktones</t>
  </si>
  <si>
    <t>Mike and Fish sat in for the encore</t>
  </si>
  <si>
    <t>Mike sat in for 6 songs</t>
  </si>
  <si>
    <t>J. Willis Pratt and Weird Bionic</t>
  </si>
  <si>
    <t>Fish sat in for a portion of set II</t>
  </si>
  <si>
    <t>Dark Star Orchestra</t>
  </si>
  <si>
    <t>Martyrs'</t>
  </si>
  <si>
    <t>Fish sat in for 7 songs, recording is missing Estimated Prophet</t>
  </si>
  <si>
    <t>viperHouse</t>
  </si>
  <si>
    <t>Trey sat in for all of set II</t>
  </si>
  <si>
    <t>Big Frog</t>
  </si>
  <si>
    <t>Shinjuku Loft</t>
  </si>
  <si>
    <t>Strangefolk</t>
  </si>
  <si>
    <t>Glen Schweitzer’s Jalapeno Brothers</t>
  </si>
  <si>
    <t>Mike sat in for an undetermined number of songs</t>
  </si>
  <si>
    <t>Smokin' Grass</t>
  </si>
  <si>
    <t>The Matterhorn</t>
  </si>
  <si>
    <t>Derek Trucks Band</t>
  </si>
  <si>
    <t>Page sat in for the entire show</t>
  </si>
  <si>
    <t>Jorma Kaukonen</t>
  </si>
  <si>
    <t>Trey and Page sat in for 6 songs</t>
  </si>
  <si>
    <t>Grippo Funk Band</t>
  </si>
  <si>
    <t>Tony Furtado Band</t>
  </si>
  <si>
    <t>Ozomatli</t>
  </si>
  <si>
    <t xml:space="preserve"> Big Joe Burrell and the Unknown Blues Band</t>
  </si>
  <si>
    <t>Trey sat in for an undetermined number of songs</t>
  </si>
  <si>
    <t>Col. Bruce Hampton</t>
  </si>
  <si>
    <t>The Brandy House</t>
  </si>
  <si>
    <t>Shriner's Park</t>
  </si>
  <si>
    <t>Macon</t>
  </si>
  <si>
    <t>Los Lobos</t>
  </si>
  <si>
    <t>Trey sat in for 5 songs</t>
  </si>
  <si>
    <t>The Last Day Saloon</t>
  </si>
  <si>
    <t>Trey sat in for 7 songs</t>
  </si>
  <si>
    <t>moe.</t>
  </si>
  <si>
    <t>Fish sat in for 4 songs</t>
  </si>
  <si>
    <t>Mike sat in for all of set II and the encore</t>
  </si>
  <si>
    <t>Primus</t>
  </si>
  <si>
    <t>Col. Bruce Hampton &amp; the Fiji Mariners</t>
  </si>
  <si>
    <t>Fish sat in for 3 songs</t>
  </si>
  <si>
    <t>Henry J. Kaiser Auditorium</t>
  </si>
  <si>
    <t>Cajun Queen Riverboat</t>
  </si>
  <si>
    <t>Project Logic</t>
  </si>
  <si>
    <t>Fish sat in for all of set II</t>
  </si>
  <si>
    <t>Kid Rock</t>
  </si>
  <si>
    <t>Col. Bruce Hampton &amp; the Codetalkers</t>
  </si>
  <si>
    <t>Mike sat in for the majority of the show</t>
  </si>
  <si>
    <t>Les Claypool's Fearless Flying Frog Brigade</t>
  </si>
  <si>
    <t>Trey (Oysterhead) sat in for the encore</t>
  </si>
  <si>
    <t>Amfibian</t>
  </si>
  <si>
    <t>Fish sat in for part of set III</t>
  </si>
  <si>
    <t>Trey sat in for 6 songs</t>
  </si>
  <si>
    <t>Trey and Fish sat in for 2 songs</t>
  </si>
  <si>
    <t>Mike sat in for 7 songs</t>
  </si>
  <si>
    <t>Waren Haynes and Matt Abts</t>
  </si>
  <si>
    <t>Merl Saunders Band</t>
  </si>
  <si>
    <t>The Really Big Show</t>
  </si>
  <si>
    <t>Fish sat in for a vacuum solo with Kurt Vonnegut</t>
  </si>
  <si>
    <t>Gov't Mule</t>
  </si>
  <si>
    <t>Mike and Page sat in for 1 song</t>
  </si>
  <si>
    <t>Pacific Bell Park</t>
  </si>
  <si>
    <t>Alan Hertz Project</t>
  </si>
  <si>
    <t>4th Street Tavern</t>
  </si>
  <si>
    <t>John Entwistle Band</t>
  </si>
  <si>
    <t>Mike sat in for 1 song, Page sat in for 2 songs</t>
  </si>
  <si>
    <t>Blueground Undergrass</t>
  </si>
  <si>
    <t>Gopher Broke</t>
  </si>
  <si>
    <t>Papa Grows Funk</t>
  </si>
  <si>
    <t>Tenacious D</t>
  </si>
  <si>
    <t>A Tribute to Mimi</t>
  </si>
  <si>
    <t>Jammin’ for Salmon: A Celebration of Life and Music</t>
  </si>
  <si>
    <t>Mike sat in for an instrumental set</t>
  </si>
  <si>
    <t>Big Apple Unity Jam</t>
  </si>
  <si>
    <t>Zambiland Orcestra</t>
  </si>
  <si>
    <t>DJ Logic</t>
  </si>
  <si>
    <t>Mike sat in for an all improv mini-set</t>
  </si>
  <si>
    <t>Project Object</t>
  </si>
  <si>
    <t>Cinema Plus Theatre</t>
  </si>
  <si>
    <t>Fort Walton Beach</t>
  </si>
  <si>
    <t>Fish sat in for all of set I</t>
  </si>
  <si>
    <t>Page sat in for a portion of the set</t>
  </si>
  <si>
    <t>Spearhead</t>
  </si>
  <si>
    <t>Mike and Page sat in for 3 songs</t>
  </si>
  <si>
    <t>Angel's Camp</t>
  </si>
  <si>
    <t>Zen Tricksters</t>
  </si>
  <si>
    <t>Tribeca Blues</t>
  </si>
  <si>
    <t>Mike sat in for 11 songs</t>
  </si>
  <si>
    <t>Big Apple'achia</t>
  </si>
  <si>
    <t>Parkside Lounge</t>
  </si>
  <si>
    <t>Col. Bruce Hampton and the Codetalkers</t>
  </si>
  <si>
    <t>Doctor Jones</t>
  </si>
  <si>
    <t>Robert Randolph and The Family Band</t>
  </si>
  <si>
    <t>Bimbo’s 365 Club</t>
  </si>
  <si>
    <t>Spookie Daily Pride</t>
  </si>
  <si>
    <t>The Chicken Box</t>
  </si>
  <si>
    <t>Nantucket</t>
  </si>
  <si>
    <t>Whippernon Country Club</t>
  </si>
  <si>
    <t>Russell</t>
  </si>
  <si>
    <t>Mike sat in for the majority of set II and the encore</t>
  </si>
  <si>
    <t>Ulster Performing Arts Center</t>
  </si>
  <si>
    <t>Kingston</t>
  </si>
  <si>
    <t>Cyro Baptista &amp; Beat the Donkey</t>
  </si>
  <si>
    <t>The Jammys</t>
  </si>
  <si>
    <t>Trey and Mike sat in for 2 songs</t>
  </si>
  <si>
    <t>Rob Wasserman &amp; DJ Logic</t>
  </si>
  <si>
    <t>Page sat in for the latter part of set II and the encore</t>
  </si>
  <si>
    <t>Winoski</t>
  </si>
  <si>
    <t>Tobacco Road</t>
  </si>
  <si>
    <t>Citigrass</t>
  </si>
  <si>
    <t>Mike sat in for the majority of set II</t>
  </si>
  <si>
    <t>DJ Le Spam and His All-Stars</t>
  </si>
  <si>
    <t>Hoy Como Ayer</t>
  </si>
  <si>
    <t>Galapagos Art Space</t>
  </si>
  <si>
    <t>Big Apple’achia</t>
  </si>
  <si>
    <t>Les Claypool’s Fearless Flying Frog Brigade</t>
  </si>
  <si>
    <t>STS9</t>
  </si>
  <si>
    <t>The Dead</t>
  </si>
  <si>
    <t>The Slip</t>
  </si>
  <si>
    <t>Studio Z</t>
  </si>
  <si>
    <t>Steam Powered Airplane</t>
  </si>
  <si>
    <t>Stagecoach Bar</t>
  </si>
  <si>
    <t>Wilson</t>
  </si>
  <si>
    <t>The Silver Dollar Bar &amp; Grill</t>
  </si>
  <si>
    <t>Jackson</t>
  </si>
  <si>
    <t>Jake's Toadhouse</t>
  </si>
  <si>
    <t>Decatur</t>
  </si>
  <si>
    <t>Crete Memorial Park</t>
  </si>
  <si>
    <t>Tim Reynolds</t>
  </si>
  <si>
    <t>S.O.B.'s</t>
  </si>
  <si>
    <t>Funky Beulah</t>
  </si>
  <si>
    <t>Boom Boom Room</t>
  </si>
  <si>
    <t>The Word of Mouth Experience</t>
  </si>
  <si>
    <t>The Players Club</t>
  </si>
  <si>
    <t>Gramazio’s</t>
  </si>
  <si>
    <t>Leo Kottke</t>
  </si>
  <si>
    <t>Jennifer Hartswick Band</t>
  </si>
  <si>
    <t>The Lion's Den</t>
  </si>
  <si>
    <t>Rev Tor Band</t>
  </si>
  <si>
    <t>Spackle</t>
  </si>
  <si>
    <t>George Clinton and Parliament-Funkadelic</t>
  </si>
  <si>
    <t>Ice Palace Sound Stage</t>
  </si>
  <si>
    <t>Orchestra Baobob</t>
  </si>
  <si>
    <t>Yengoulene</t>
  </si>
  <si>
    <t>Dakar</t>
  </si>
  <si>
    <t>Benevento/Russo Duo</t>
  </si>
  <si>
    <t>Tribeca Rock Club</t>
  </si>
  <si>
    <t>Dirty Dozen Brass Band</t>
  </si>
  <si>
    <t>Tap Room, The Knitting Factory</t>
  </si>
  <si>
    <t>Addison Groove Project</t>
  </si>
  <si>
    <t>Trey sat in for 4 songs, Fish sat in for 2 songs</t>
  </si>
  <si>
    <t>The Vorcza Trio</t>
  </si>
  <si>
    <t>Rothvoss Farm</t>
  </si>
  <si>
    <t>Ancramdale</t>
  </si>
  <si>
    <t>L. Cool Trio</t>
  </si>
  <si>
    <t>Trey sat in for 1 song in set I, all of set II and the encore</t>
  </si>
  <si>
    <t>Page sat in fir 1 song</t>
  </si>
  <si>
    <t>Spam All-Stars</t>
  </si>
  <si>
    <t>Trey sat in for 2 songs and Page sat in for 2 (different) songs</t>
  </si>
  <si>
    <t>North Mississippi Allstars</t>
  </si>
  <si>
    <t>Particle</t>
  </si>
  <si>
    <t>Trey sat in for 1 song, track is incomplete</t>
  </si>
  <si>
    <t>Yonder Mountain String Band</t>
  </si>
  <si>
    <t>Les Claypool's Fancy Band</t>
  </si>
  <si>
    <t>Trey sat in for 8 songs</t>
  </si>
  <si>
    <t>Electron</t>
  </si>
  <si>
    <t>Comes a Time - Tribute to Jerry Garcia</t>
  </si>
  <si>
    <t>Trey sat in for the entire "Jerry Garcia Tribute Band" set</t>
  </si>
  <si>
    <t>The Meters Experience</t>
  </si>
  <si>
    <t>The Mint</t>
  </si>
  <si>
    <t>Tea Leaf Green</t>
  </si>
  <si>
    <t>Russell Batiste &amp; Friends</t>
  </si>
  <si>
    <t>The Black Crowes</t>
  </si>
  <si>
    <t>Frogg Cafe</t>
  </si>
  <si>
    <t>RAQ</t>
  </si>
  <si>
    <t>Lake PLacid</t>
  </si>
  <si>
    <t>Benevento/Russon Duo</t>
  </si>
  <si>
    <t>Mike sat in for 2 songs, Fish sat in for 3 songs</t>
  </si>
  <si>
    <t>Trey sat in for all of set II and the encore</t>
  </si>
  <si>
    <t>Trey sat in for 2 songs, Mike sat in for 2 songs</t>
  </si>
  <si>
    <t>Trey sat in for all of set II, Mike sat in for 2 songs</t>
  </si>
  <si>
    <t>Trey sat in for all of set II, Mike sat in for 2 songs, Page sat in for 1 song</t>
  </si>
  <si>
    <t>Les Claypool and His Fancy Band</t>
  </si>
  <si>
    <t>VY</t>
  </si>
  <si>
    <t>Page sat in for all of set I</t>
  </si>
  <si>
    <t>Toubab Krewe</t>
  </si>
  <si>
    <t>Victor Wooten</t>
  </si>
  <si>
    <t>Seth Yacovone Band</t>
  </si>
  <si>
    <t>Trey sat in for 8 songs, recording is missing Blues in A</t>
  </si>
  <si>
    <t>Fish sat in for the majority of set II and the encore</t>
  </si>
  <si>
    <t>Fish sat in for 3 songs in set I, the majority of set II and the encore</t>
  </si>
  <si>
    <t>Mud City Ramblers</t>
  </si>
  <si>
    <t>Bonz Smokehouse &amp; Grill</t>
  </si>
  <si>
    <t>Congress Theatre</t>
  </si>
  <si>
    <t>Fish sat in for 2 songs in set I, all of set II and 1 song in the encore</t>
  </si>
  <si>
    <t>The Breakfast</t>
  </si>
  <si>
    <t>Mike sat in for 1 song, recording also includes The Breakfast's performance of Lawn Boy in it's entirety</t>
  </si>
  <si>
    <t>Ratdog</t>
  </si>
  <si>
    <t>Brett Dennen</t>
  </si>
  <si>
    <t>Del McCoury and Friends</t>
  </si>
  <si>
    <t>Fish sat in for 3 songs in set I, all of set II and the encore</t>
  </si>
  <si>
    <t>Hug Your Farmer: A Tribute to Levon Helm</t>
  </si>
  <si>
    <t>Fish sat in for 10 songs</t>
  </si>
  <si>
    <t>Yarn</t>
  </si>
  <si>
    <t>Masefield, Perkins, Cleary &amp; Cleary</t>
  </si>
  <si>
    <t>Langdon Street Cafe</t>
  </si>
  <si>
    <t>Montpelier</t>
  </si>
  <si>
    <t>Melvin Sparks Band</t>
  </si>
  <si>
    <t>Fish sat in for 2 songs in set I, all of set II and the encore</t>
  </si>
  <si>
    <t>Thomas Wolfe Auditotium</t>
  </si>
  <si>
    <t>Surprise Me Mr. Davis</t>
  </si>
  <si>
    <t>Fish sat in for 2 songs in set I, the majority of set II and the encore</t>
  </si>
  <si>
    <t>Mickey Hart's Mass Drum</t>
  </si>
  <si>
    <t>Speedway Meadow, Golden Gate Park</t>
  </si>
  <si>
    <t>Porter Batiste Stoltz</t>
  </si>
  <si>
    <t>The Howlin' Wolf</t>
  </si>
  <si>
    <t>Page sat in for the entire show, Mike sat in for 2 songs</t>
  </si>
  <si>
    <t>Joe Krown Trio</t>
  </si>
  <si>
    <t>Fish sat in for the majority of the show</t>
  </si>
  <si>
    <t>The Bridge</t>
  </si>
  <si>
    <t>Assembly of Dust</t>
  </si>
  <si>
    <t>Nokia Theatre</t>
  </si>
  <si>
    <t>Fish sat in for 4 songs in set I, all of set II and the encore</t>
  </si>
  <si>
    <t>Trey and Page sat in for 3 songs</t>
  </si>
  <si>
    <t>Chris Barron &amp; The Time Bandits</t>
  </si>
  <si>
    <t>The National Underground</t>
  </si>
  <si>
    <t>Umphrey's McGee</t>
  </si>
  <si>
    <t>Little Feat</t>
  </si>
  <si>
    <t>Conan O'Brien</t>
  </si>
  <si>
    <t>Amanda Green</t>
  </si>
  <si>
    <t>Birdland</t>
  </si>
  <si>
    <t>String Cheese Incident</t>
  </si>
  <si>
    <t>Page sat in for 6 songs</t>
  </si>
  <si>
    <t>Warren Haynes</t>
  </si>
  <si>
    <t>George Porter, Jr. &amp; Friends</t>
  </si>
  <si>
    <t>Jackie Greene</t>
  </si>
  <si>
    <t>Spin Doctors</t>
  </si>
  <si>
    <t>Radio Bean</t>
  </si>
  <si>
    <t>Keller Williams</t>
  </si>
  <si>
    <t>Mickey Hart Band</t>
  </si>
  <si>
    <t>Move Me Brightly: A Tribute to Jerry Garcia</t>
  </si>
  <si>
    <t>TRI Studios</t>
  </si>
  <si>
    <t>Mike sat in for all songs but 4</t>
  </si>
  <si>
    <t>Terrapin Crossroads</t>
  </si>
  <si>
    <t>The Roots</t>
  </si>
  <si>
    <t>Grace Potter &amp; The Nocturnals</t>
  </si>
  <si>
    <t>Love For Levon: A Tribute to Levon Helm</t>
  </si>
  <si>
    <t>Izod Center</t>
  </si>
  <si>
    <t xml:space="preserve"> Hug Your Farmer: A Tribute to the Rolling Stones</t>
  </si>
  <si>
    <t>Fish sat in for the entire show minus the last 3 songs of set I</t>
  </si>
  <si>
    <t>The Candles</t>
  </si>
  <si>
    <t>The Hamilton</t>
  </si>
  <si>
    <t>Amy Helm</t>
  </si>
  <si>
    <t>Phil Lesh &amp; The Terrapin All Stars</t>
  </si>
  <si>
    <t>Further</t>
  </si>
  <si>
    <t>The Music of Paul Simon</t>
  </si>
  <si>
    <t>Soule Monde</t>
  </si>
  <si>
    <t>The Iridium</t>
  </si>
  <si>
    <t>Trey sat in for the entirety of each of the two (early and late) shows, download contains the late show only</t>
  </si>
  <si>
    <t>Marco Benevento</t>
  </si>
  <si>
    <t>Uptown Amphitheatre</t>
  </si>
  <si>
    <t>Dumpstaphunk</t>
  </si>
  <si>
    <t>Cervantes Masterpiece Ballroom</t>
  </si>
  <si>
    <t>Mike sat in for 2 songs, only 1 song on the recording</t>
  </si>
  <si>
    <t>Phil Lesh &amp; The Terrapin Family Band</t>
  </si>
  <si>
    <t>Castle Creek</t>
  </si>
  <si>
    <t>Dinosaur Bar-B-Que</t>
  </si>
  <si>
    <t>Colonel &amp; The Mermaids</t>
  </si>
  <si>
    <t>Var</t>
  </si>
  <si>
    <t>Barika</t>
  </si>
  <si>
    <t>ArtsRiot</t>
  </si>
  <si>
    <t>Emily Ratajkowski</t>
  </si>
  <si>
    <t>Whittemore Center Arena, University of New Hampshire</t>
  </si>
  <si>
    <t>Fish sat in for an unknown number of songs</t>
  </si>
  <si>
    <t>Kenya Hall Band</t>
  </si>
  <si>
    <t>Dominic and The Lucid</t>
  </si>
  <si>
    <t>Bayside Bowl</t>
  </si>
  <si>
    <t>SeepeopleS</t>
  </si>
  <si>
    <t>The Roost</t>
  </si>
  <si>
    <t>Kung Fu</t>
  </si>
  <si>
    <t>The Hall at MP</t>
  </si>
  <si>
    <t>Fish sat in for 11 songs</t>
  </si>
  <si>
    <t>Terrapin Crossroads Backyard</t>
  </si>
  <si>
    <t>Twiddle</t>
  </si>
  <si>
    <t>George Porter Jr. &amp; Runnin' Pardners</t>
  </si>
  <si>
    <t>Hard Working Americans</t>
  </si>
  <si>
    <t>Mike sat in for 1 song, billed as "Steal Your Bass"</t>
  </si>
  <si>
    <t>Tedeschi Trucks Band</t>
  </si>
  <si>
    <t>Dave Matthews</t>
  </si>
  <si>
    <t>Bob Weir and Phil Lesh</t>
  </si>
  <si>
    <t>Trey sat in for set II and the encore</t>
  </si>
  <si>
    <t>Leonard Nimoy Thalia at Symphony Space</t>
  </si>
  <si>
    <t>Trey sat in for set II</t>
  </si>
  <si>
    <t>Backside 405</t>
  </si>
  <si>
    <t>Bob Wagner Blues Power</t>
  </si>
  <si>
    <t>Celisse</t>
  </si>
  <si>
    <t>Trey sat in for 3 songs, missing Keep Your Eyes on the Prize</t>
  </si>
  <si>
    <t>Goose</t>
  </si>
  <si>
    <t>Billy Strings</t>
  </si>
  <si>
    <t>Pier 17</t>
  </si>
  <si>
    <t>Allman Brothers Band, The</t>
  </si>
  <si>
    <t>Aquarium Rescue Unit, The</t>
  </si>
  <si>
    <t>Black Crowes, The</t>
  </si>
  <si>
    <t>Breakfast, The</t>
  </si>
  <si>
    <t>Bridge, The</t>
  </si>
  <si>
    <t>Candles, The</t>
  </si>
  <si>
    <t>Dead, The</t>
  </si>
  <si>
    <t>Dude of Life Band, The</t>
  </si>
  <si>
    <t>Jammys, The</t>
  </si>
  <si>
    <t>Kind, The</t>
  </si>
  <si>
    <t>Meters Experience, The</t>
  </si>
  <si>
    <t>Page sat in for an unconfirmed number of songs</t>
  </si>
  <si>
    <t>Music of Paul Simon, The</t>
  </si>
  <si>
    <t>National, The</t>
  </si>
  <si>
    <t>Trey sat in for all of set II and the encore, Mike sat in for 2 songs</t>
  </si>
  <si>
    <t>Really Big Show, The</t>
  </si>
  <si>
    <t>Ritz Power Jam, The</t>
  </si>
  <si>
    <t>Roots, The</t>
  </si>
  <si>
    <t>Slip, The</t>
  </si>
  <si>
    <t>Vorcza Trio, The</t>
  </si>
  <si>
    <t>Word of Mouth Experience, The</t>
  </si>
  <si>
    <t>From the Archives</t>
  </si>
  <si>
    <t>From the Archives, Vol. 01, part 1 - The Clifford Ball</t>
  </si>
  <si>
    <t>From the Archives, Vol. 01, part 2 - The Clifford Ball</t>
  </si>
  <si>
    <t>From the Archives, Vol. 02, part 1 - The Great Went</t>
  </si>
  <si>
    <t>From the Archives, Vol. 02, part 2 - The Great Went</t>
  </si>
  <si>
    <t>From the Archives, Vol. 03, part 1 - Lemonwheel</t>
  </si>
  <si>
    <t>From the Archives, Vol. 03, part 2 - Lemonwheel</t>
  </si>
  <si>
    <t>From the Archives, Vol. 04, part 1 - Big Cypress</t>
  </si>
  <si>
    <t>From the Archives, Vol. 04, part 2 - Big Cypress</t>
  </si>
  <si>
    <t>From the Archives, Vol. 05, part 1 - IT</t>
  </si>
  <si>
    <t>From the Archives, Vol. 05, part 2 - IT</t>
  </si>
  <si>
    <t>From the Archives, Vol. 06, part 1 - Coventry</t>
  </si>
  <si>
    <t>From the Archives, Vol. 06, part 2 - Coventry</t>
  </si>
  <si>
    <t>From the Archives, Vol. 06, part 3 - Coventry</t>
  </si>
  <si>
    <t>From the Archives, Vol. 07 - LivePhish Radio</t>
  </si>
  <si>
    <t>From the Archives, Vol. 08 - Phil and Phriends 7th Anniversary</t>
  </si>
  <si>
    <t>From the Archives, Vol. 09 - Phil and Phriends 7th Anniversary</t>
  </si>
  <si>
    <t>From the Archives, Vol. 10 - Phil and Phriends 7th Anniversary</t>
  </si>
  <si>
    <t>From the Archives, Vol. 11 - LivePhish.com 5th Anniversary</t>
  </si>
  <si>
    <t>From the Archives, Vol. 12 - Walnut Creek Release</t>
  </si>
  <si>
    <t>From the Archives, Vol. 13, part 1 - Bonnaroo</t>
  </si>
  <si>
    <t>From the Archives, Vol. 13, part 2 - Bonnaroo</t>
  </si>
  <si>
    <t>From the Archives, Vol. 14, part 1 - Festival 8</t>
  </si>
  <si>
    <t>first 4 tracks (and the beginning of Melt) are from a less crisp source and are also 128 kbps</t>
  </si>
  <si>
    <t>From the Archives, Vol. 14, part 2 - Festival 8</t>
  </si>
  <si>
    <t>From the Archives, Vol. 14, part 3 - Festival 8</t>
  </si>
  <si>
    <t>From the Archives, Vol. 15, part 1 - Super Ball IX</t>
  </si>
  <si>
    <t>From the Archives, Vol. 15, part 2 - Super Ball IX</t>
  </si>
  <si>
    <t>From the Archives, Vol. 15, part 3 - Super Ball IX</t>
  </si>
  <si>
    <t>From the Archives, Vol. 16, part 1 - Saratoga Performing Arts Center</t>
  </si>
  <si>
    <t>From the Archives, Vol. 16, part 2 - Saratoga Performing Arts Center</t>
  </si>
  <si>
    <t>From the Archives, Vol. 17, part 1 - Magnaball</t>
  </si>
  <si>
    <t>From the Archives, Vol. 17, part 2 - Magnaball</t>
  </si>
  <si>
    <t>From the Archives, Vol. 17, part 3 - Magnaball</t>
  </si>
  <si>
    <t>From the Archives, Vol. 18 - Curveball</t>
  </si>
  <si>
    <t>Other Archive Collections</t>
  </si>
  <si>
    <t>Phish Archives: Various Live for Phil Lesh</t>
  </si>
  <si>
    <t>tape given to Phil Lesh for his band to learn before the Phil and Friends shows on April 15-17, 1999</t>
  </si>
  <si>
    <t>Bonnaroo 365</t>
  </si>
  <si>
    <t>SBD tracks released on bonnaroo.com before the festival</t>
  </si>
  <si>
    <t>Past Summer Compilation</t>
  </si>
  <si>
    <t>SBD tracks released in parts before Summer Tour, 2010</t>
  </si>
  <si>
    <t>Faux the Archives</t>
  </si>
  <si>
    <t>Faux the Archives, Vol. 01</t>
  </si>
  <si>
    <t>Vol 01 of Scott Bernstein's 4 part series, remastered by @KernelForbin</t>
  </si>
  <si>
    <t>Faux the Archives, Vol. 02</t>
  </si>
  <si>
    <t>Vol 02 of Scott Bernstein's 4 part series, remastered by @KernelForbin</t>
  </si>
  <si>
    <t>Faux the Archives, Vol. 03</t>
  </si>
  <si>
    <t>Vol 03 of Scott Bernstein's 4 part series, remastered by @KernelForbin</t>
  </si>
  <si>
    <t>Faux the Archives, Vol. 04</t>
  </si>
  <si>
    <t>Vol 04 of Scott Bernstein's 4 part series, remastered by @KernelForbin</t>
  </si>
  <si>
    <t>The Man Who Stepped Into Yesterday</t>
  </si>
  <si>
    <t>Trey's senior thesis</t>
  </si>
  <si>
    <t>Phish: Festivalography I</t>
  </si>
  <si>
    <t>part 1 of a 4 part documentary about Phish festivals that aired on Sirius before Festival 8</t>
  </si>
  <si>
    <t>Phish: Festivalography II</t>
  </si>
  <si>
    <t>part 2 of a 4 part documentary about Phish festivals that aired on Sirius before Festival 8</t>
  </si>
  <si>
    <t>Phish: Festivalography III</t>
  </si>
  <si>
    <t>part 3 of a 4 part documentary about Phish festivals that aired on Sirius before Festival 8</t>
  </si>
  <si>
    <t>Phish: Festivalography IV</t>
  </si>
  <si>
    <t>part 4 of a 4 part documentary about Phish festivals that aired on Sirius before Festival 8</t>
  </si>
  <si>
    <t>The Daily Ghost Project by Mychal Menio (@LawnMemo)</t>
  </si>
  <si>
    <t>A collection of all performances of 'Ghost' with a write up on each by Mychal Menio</t>
  </si>
  <si>
    <t>Ask Trey</t>
  </si>
  <si>
    <t>Q&amp;A with Trey that aired on Sirius Jam On before Curveball</t>
  </si>
  <si>
    <t>Remastered By</t>
  </si>
  <si>
    <t>Remastered Source</t>
  </si>
  <si>
    <t>1980s</t>
  </si>
  <si>
    <t>KernelForbin</t>
  </si>
  <si>
    <t>Ian McLean's Party, "Connie" Condon's Farm</t>
  </si>
  <si>
    <t>Kenny Powers</t>
  </si>
  <si>
    <t>Charlie Miller</t>
  </si>
  <si>
    <t>Unknown FOB AUD</t>
  </si>
  <si>
    <t>Sure SM57</t>
  </si>
  <si>
    <t>doctordoak</t>
  </si>
  <si>
    <t>Neumann RSM-191s @125degXY&gt;D3&gt;D</t>
  </si>
  <si>
    <t>NAK 300/Neumann RSM190i</t>
  </si>
  <si>
    <t>2-Source Matrix</t>
  </si>
  <si>
    <t>FOB Schoeps mk4/Nak 300/Neumann U87</t>
  </si>
  <si>
    <t>3-Source Matrix</t>
  </si>
  <si>
    <t>Nak CM300's &gt; Marantz PMD430 &gt; cass/M</t>
  </si>
  <si>
    <t>Neumann RSM-191 &gt; Neumann MTX-191</t>
  </si>
  <si>
    <t>FOB Schoeps CMC5/mk4 &gt; Sonosax SX-M2</t>
  </si>
  <si>
    <t>Neumann RSM191 (125deg XY) &gt; SV 255</t>
  </si>
  <si>
    <t>SBD/akg 460b/ck61</t>
  </si>
  <si>
    <t>2-Source Matrix, includes soundcheck</t>
  </si>
  <si>
    <t>TOA K1</t>
  </si>
  <si>
    <t>Unknown Aud &gt; 2nd Gen</t>
  </si>
  <si>
    <t>includes soundcheck, missing Reba and the encore</t>
  </si>
  <si>
    <t>SBD/AKG 460b/ck63</t>
  </si>
  <si>
    <t>entire Mike's Groove and Amazing Grace/Jam are matrixed with the archived SBDs</t>
  </si>
  <si>
    <t>FOB AKG 460/ck61 (ORTF) &gt; Oade 48vt PS</t>
  </si>
  <si>
    <t>FOB Schoeps cmc3/mk4 &gt; Oade Custom</t>
  </si>
  <si>
    <t>AUD (FOB)&gt;AKG460b/ck61</t>
  </si>
  <si>
    <t>MFMF and McGrupp are matrixed with archived SBDs</t>
  </si>
  <si>
    <t>AKG 460b/ck63 &gt; custom pre-amp</t>
  </si>
  <si>
    <t>Mike's &gt; Great Gig &gt; Weekapaug is matrixed with the archived SBDs</t>
  </si>
  <si>
    <t>FOB B&amp;K 4011's &gt; DA-P20</t>
  </si>
  <si>
    <t>Landlady, Tweezer and Split Open and Melt are matrixed with the archived SBDs</t>
  </si>
  <si>
    <t>Stash is matrixed with the archived SBD</t>
  </si>
  <si>
    <t>Reba is matrixed with the archived SBD</t>
  </si>
  <si>
    <t>includes soundcheck, FEFY is matrixed with the archived SBD</t>
  </si>
  <si>
    <t>I: TOA K1's, II: (FOB) Neumann km140</t>
  </si>
  <si>
    <t>OTS Neumann RSM 190i's</t>
  </si>
  <si>
    <t>AT4053 hypercardioid/(FOB) AKG 460B/ck61</t>
  </si>
  <si>
    <t>DFOB: Schoeps CMC5+MK4&gt;Sonosax</t>
  </si>
  <si>
    <t>AKG 460b/ck61 &gt; AKG B-18 PS</t>
  </si>
  <si>
    <t>SBD/Schoeps mk4</t>
  </si>
  <si>
    <t>Akg 460/ck61's</t>
  </si>
  <si>
    <t>AKG 461 &gt; Oade Custom Pre-Amp</t>
  </si>
  <si>
    <t>I: AKG 460B/ck61, II: SBD/mix</t>
  </si>
  <si>
    <t>missing Big Ball Jam</t>
  </si>
  <si>
    <t>Cavern -&gt; Wilson -&gt; Cavern have been matrixed with the archived SBDs</t>
  </si>
  <si>
    <t>Foam and Tweezer are matrixed with the archived SBDs</t>
  </si>
  <si>
    <t>Spock's Brain and Reba have been matrixed with the archived SBDs</t>
  </si>
  <si>
    <t>B&amp;K 4006&gt;Lunatec 316&gt;Audio Magic cables</t>
  </si>
  <si>
    <t>B&amp;K 4006&gt;Lunatec 316&gt;Panasonic SV250</t>
  </si>
  <si>
    <t>B+K 4011</t>
  </si>
  <si>
    <t>AKG se300b/ck91 &gt; Tascam DA-P1</t>
  </si>
  <si>
    <t>Bowie -&gt; Johnny B. Goode -&gt; Bowie have been matrixed with the archived SBDs</t>
  </si>
  <si>
    <t>Audio-Technica 4031</t>
  </si>
  <si>
    <t>AKG 398 &gt; Sonosax?</t>
  </si>
  <si>
    <t>TS Schoeps MK5 (Cardiods) &gt; BR Box</t>
  </si>
  <si>
    <t>akg393&gt;oade118&gt;SBM1</t>
  </si>
  <si>
    <t>Neumann km184</t>
  </si>
  <si>
    <t>AKG 460B/CK61&gt;Dat&gt; Poc-da12p</t>
  </si>
  <si>
    <t>unverified source</t>
  </si>
  <si>
    <t>AKG 460/CK8X</t>
  </si>
  <si>
    <t>FOB Schoeps CMC6/mk4</t>
  </si>
  <si>
    <t>Charlie MIller</t>
  </si>
  <si>
    <t>Schoeps CMC6/MK4 -&gt; Sonosax SX-M2</t>
  </si>
  <si>
    <t>Schoeps CMC6/MK41 -&gt; Sonosax SX-M2</t>
  </si>
  <si>
    <t>2001 &gt; Disease -&gt; It's Ice have been matrixed with the archived SBDs</t>
  </si>
  <si>
    <t>The Curtain &gt; Tweezer have been matrixed with the archived SBDs</t>
  </si>
  <si>
    <t>AKG 460/CK63 -&gt; Oade M248</t>
  </si>
  <si>
    <t>Schoeps MK4 -&gt; Schoeps CMB1</t>
  </si>
  <si>
    <t>2 Nakamichi CM300/CP4+Nakamichi CM300</t>
  </si>
  <si>
    <t>Mound has been matrixed with the archived SBD</t>
  </si>
  <si>
    <t>2x Senheiser 441's + 1x Nakamichi 700</t>
  </si>
  <si>
    <t>?&gt;Cas1</t>
  </si>
  <si>
    <t>Ghost has been matrixed with the archived SBD</t>
  </si>
  <si>
    <t>Gumbo has been matrixed with the archived SBD</t>
  </si>
  <si>
    <t>(FOB) Neumann km140 -&gt; Oade -&gt; SBM-1</t>
  </si>
  <si>
    <t>Bowie &gt; Cities &gt; Bowie has been matrixed with the archived SBDs</t>
  </si>
  <si>
    <t>Schoeps MK5 cardioids -&gt; Oade Custom</t>
  </si>
  <si>
    <t>Divided Sky has been matrixed with the archived SBD</t>
  </si>
  <si>
    <t>missing Sample in a Jar</t>
  </si>
  <si>
    <t>Punch You in the Eye has been matrixed with the archived SBD</t>
  </si>
  <si>
    <t>B&amp;K 4021 &gt; Beyer MV-100&gt; Sony D100</t>
  </si>
  <si>
    <t>AKG 460B/ck68 &gt; Oade pre-amp &gt; Sony SBM-1</t>
  </si>
  <si>
    <t>DAUD (Schoeps MK4 &gt; VMS I02B &gt; SBM-1)</t>
  </si>
  <si>
    <t>unknown (missing txt file)</t>
  </si>
  <si>
    <t>Schoeps cmc6/mk4 &gt; Graham Patten DMIC20</t>
  </si>
  <si>
    <t>Wolfman's and Makisupa have been matrixed with the archived SBDs</t>
  </si>
  <si>
    <t>Audio Technica 815 (shotguns) &gt; Sony SBM-1</t>
  </si>
  <si>
    <t>Neumann U87 -&gt; Sonosax SX-M2</t>
  </si>
  <si>
    <t>B+K 4021 -&gt; Apogee AD1000</t>
  </si>
  <si>
    <t>Neumann KMi84 &gt; Aerco MP-2 &gt; Sony SBM-1</t>
  </si>
  <si>
    <t>Schoeps CMC6/MK41 -&gt; Schoeps VMS021B</t>
  </si>
  <si>
    <t>Neumann U89 -&gt; Sonosax SX-M2 -&gt;Sony SBM-1</t>
  </si>
  <si>
    <t>Neumann U89i -&gt; Sonosax SX-M2 -&gt;Sony SBM-1</t>
  </si>
  <si>
    <t>AC/DC Bag and Tube have been matrixed with the archived SBDs</t>
  </si>
  <si>
    <t>phishjam10</t>
  </si>
  <si>
    <t>AKG c480B/ck61 &gt; Tascam DA-P1</t>
  </si>
  <si>
    <t>Microtech Gefell M300 -&gt; Denecke PS-1</t>
  </si>
  <si>
    <t>B&amp;K 4011's &gt; Audio Magic Cables &gt; *V2</t>
  </si>
  <si>
    <t>M.Gefell m210-&gt;Lunatec V2-&gt;AD1000-&gt;DAP-1</t>
  </si>
  <si>
    <t>Neumann U89i (Hypercardioid) -&gt; Apogee AD1000</t>
  </si>
  <si>
    <t>Schoeps CMC6/MK41 -&gt; Oade M248</t>
  </si>
  <si>
    <t>Schoeps CMC6/MK41/Neumann U89i</t>
  </si>
  <si>
    <t>B+K 4011 -&gt; Lunatec V2</t>
  </si>
  <si>
    <t>Microtech Gefell M210 -&gt; Apogee AD1000</t>
  </si>
  <si>
    <t>B+K 4011 -&gt; Lunatec V2 -&gt; Apogee AD500E</t>
  </si>
  <si>
    <t>(FOB) Schoeps MK4V -&gt; Schoeps VMS021B</t>
  </si>
  <si>
    <t>Oswego County Airport</t>
  </si>
  <si>
    <t>Microtech Gefel 210&gt;Apogee AD1000</t>
  </si>
  <si>
    <t>(OTS) Schoeps CMC6/mk4&gt; Apogee AD-1000</t>
  </si>
  <si>
    <t>Neumann km184 &gt; Mackie 1202</t>
  </si>
  <si>
    <t>(OTS) Schoeps CMC6/mk41&gt; Apogee AD-1000</t>
  </si>
  <si>
    <t>dbtp schoeps mk4v &gt; kcy &gt; vms021b &gt; SBM-1</t>
  </si>
  <si>
    <t>Microtech Gefell M300 -&gt; Lunatec V2</t>
  </si>
  <si>
    <t>Split Open and Melt is a matrix with the archived SBD</t>
  </si>
  <si>
    <t>Schoeps CMC641 &gt; Lunatec V2 &gt; Apogee</t>
  </si>
  <si>
    <t>Neumann U89(omni Setting) Split 12'</t>
  </si>
  <si>
    <t>FM (Kenwood Stereo Receiver) -&gt; CD Master</t>
  </si>
  <si>
    <t>Neumann U89 (hypercard) &gt; AD 1000</t>
  </si>
  <si>
    <t>Jim is remastered copy of the archived SBD</t>
  </si>
  <si>
    <t>B+K 4011(dfc, 1st row ots)-&gt;Lunatec V2</t>
  </si>
  <si>
    <t>Twist &gt; Slave are remastered copies of the archived SBDs</t>
  </si>
  <si>
    <t>B+K 4022-&gt;Lunatec V2-&gt;Apogee AD-500e-&gt;BTP</t>
  </si>
  <si>
    <t>Schoeps CMC6/MK41 -&gt; EAA PSP2</t>
  </si>
  <si>
    <t>Schoeps cmxy4v (@90o) &gt; Sonosax SX-m2</t>
  </si>
  <si>
    <t>Schoeps CMC6/MK4 -&gt; Sound Devices 744T</t>
  </si>
  <si>
    <t>On October 17, 2011, Tom Marshall announced, through his Twitter account, that he was "talking to Trey about releasing songs that have never seen the light of day...we have probably 100 of them."  Shortly thereafter, he started posting them.  On this page I will host links to stream and download each track that he releases through his Twitter account.  Thanks again, Tom! (Note: if you click the stream link, you will be redirected to Tom's SoundCloud entry for this track, which will also include a description of the song, written by Tom)</t>
  </si>
  <si>
    <t>Release Date</t>
  </si>
  <si>
    <t>Song</t>
  </si>
  <si>
    <t>Stream Link</t>
  </si>
  <si>
    <t>Nothing</t>
  </si>
  <si>
    <t>performed by The Saras</t>
  </si>
  <si>
    <t>Skip the Goodbyes</t>
  </si>
  <si>
    <t>Amfibian song with Trey on guitar</t>
  </si>
  <si>
    <t>Backwards Food for Backwards Folks</t>
  </si>
  <si>
    <t>Mike and Trey demo, released on "The Flotsam Five"</t>
  </si>
  <si>
    <t>I Am Hydrogen</t>
  </si>
  <si>
    <t>original version, probably 1984</t>
  </si>
  <si>
    <t>Silent in the Morning</t>
  </si>
  <si>
    <t>original version from 1991</t>
  </si>
  <si>
    <t>Backwards Down the Number Line</t>
  </si>
  <si>
    <t>original version from 2007</t>
  </si>
  <si>
    <t>Walls of the Cave</t>
  </si>
  <si>
    <t>original version from February 2002</t>
  </si>
  <si>
    <t>The Wedge</t>
  </si>
  <si>
    <t>original version from 1992</t>
  </si>
  <si>
    <t>Lever Boy</t>
  </si>
  <si>
    <t>from the dungeon...from 12/10/2008</t>
  </si>
  <si>
    <t>Mathilda</t>
  </si>
  <si>
    <t>another from the Dungeon...from 1984</t>
  </si>
  <si>
    <t>A Song I Heard the Ocean Sing</t>
  </si>
  <si>
    <t>original version from October 2003</t>
  </si>
  <si>
    <t>Stealing Time From the Faulty Plan</t>
  </si>
  <si>
    <t>Crowd Control</t>
  </si>
  <si>
    <t>Reach</t>
  </si>
  <si>
    <t>another from the Dungeon...from October 2003</t>
  </si>
  <si>
    <t>Limb By Limb</t>
  </si>
  <si>
    <t>the first Limb By Limb ever...from March 1997</t>
  </si>
  <si>
    <t>Twist</t>
  </si>
  <si>
    <t>original version from 1997</t>
  </si>
  <si>
    <t>Farmhouse</t>
  </si>
  <si>
    <t>Adam and Eve</t>
  </si>
  <si>
    <t>one from the dungeon...from 4/2003</t>
  </si>
  <si>
    <t>Bug</t>
  </si>
  <si>
    <t>original version from October 1997</t>
  </si>
  <si>
    <t>Vultures</t>
  </si>
  <si>
    <t>original version from May 1997</t>
  </si>
  <si>
    <t>Gift</t>
  </si>
  <si>
    <t>from the dungeon, recorded March 2002</t>
  </si>
  <si>
    <t>Sparrow</t>
  </si>
  <si>
    <t>from the dungeon, recorded August 2002</t>
  </si>
  <si>
    <t>Sailboat Man</t>
  </si>
  <si>
    <t>from the dungeon (almost)</t>
  </si>
  <si>
    <t>Heavy Things</t>
  </si>
  <si>
    <t>first version (performed by Amfibian) from 2/3/1999</t>
  </si>
  <si>
    <t>Through Polished Glass</t>
  </si>
  <si>
    <t>from the dungeon, written in 2008</t>
  </si>
  <si>
    <t>Blue and Shiny</t>
  </si>
  <si>
    <t>Hotbox</t>
  </si>
  <si>
    <t>from the dungeon, recorded in 2011</t>
  </si>
  <si>
    <t>Julius</t>
  </si>
  <si>
    <t>original version from 1993</t>
  </si>
  <si>
    <t>Cook Cabin</t>
  </si>
  <si>
    <t>from the dungeon, recorded February 2006</t>
  </si>
  <si>
    <t>Obstacle of Course</t>
  </si>
  <si>
    <t>another from the "Cook Cabin" session on 2/24/06</t>
  </si>
  <si>
    <t>On December 1, 2012, Steve Pollak (The Dude of Life) started to release some archive tracks of his own.</t>
  </si>
  <si>
    <t>Show of Life</t>
  </si>
  <si>
    <t>original demo from November 2009</t>
  </si>
  <si>
    <t>n/a</t>
  </si>
  <si>
    <t>Architect</t>
  </si>
  <si>
    <t>orginal acoustic demo, recorded 10/25/11</t>
  </si>
  <si>
    <t>Snake Head Thumb</t>
  </si>
  <si>
    <t>original version from September 2011</t>
  </si>
  <si>
    <t>Edie's Dream</t>
  </si>
  <si>
    <t>recorded September 2011</t>
  </si>
  <si>
    <t>1983-86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</si>
</sst>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6">
    <font>
      <sz val="10.0"/>
      <color rgb="FF000000"/>
      <name val="Arial"/>
    </font>
    <font/>
    <font>
      <b/>
      <sz val="10.0"/>
      <color rgb="FFDDDDDD"/>
    </font>
    <font>
      <b/>
      <sz val="10.0"/>
      <color rgb="FFFFFFFF"/>
    </font>
    <font>
      <b/>
      <sz val="11.0"/>
      <color rgb="FFFFFF00"/>
    </font>
    <font>
      <sz val="10.0"/>
      <color rgb="FFDDDDDD"/>
    </font>
    <font>
      <b/>
      <sz val="12.0"/>
      <color rgb="FFDDDDDD"/>
    </font>
    <font>
      <b/>
      <sz val="12.0"/>
      <color rgb="FFFFFFFF"/>
    </font>
    <font>
      <b/>
      <color rgb="FFFFFFFF"/>
      <name val="Arial"/>
    </font>
    <font>
      <name val="Arial"/>
    </font>
    <font>
      <b/>
      <color rgb="FFDDDDDD"/>
      <name val="Arial"/>
    </font>
    <font>
      <b/>
      <u/>
      <sz val="14.0"/>
      <color rgb="FFFF0000"/>
    </font>
    <font>
      <b/>
      <sz val="10.0"/>
    </font>
    <font>
      <sz val="10.0"/>
      <color rgb="FF000000"/>
    </font>
    <font>
      <b/>
      <sz val="10.0"/>
      <color rgb="FF003366"/>
    </font>
    <font>
      <sz val="10.0"/>
      <color rgb="FFFFFFFF"/>
    </font>
    <font>
      <b/>
      <sz val="10.0"/>
      <color rgb="FF000000"/>
    </font>
    <font>
      <b/>
      <u/>
      <sz val="10.0"/>
      <color rgb="FF0000FF"/>
    </font>
    <font>
      <b/>
      <u/>
      <sz val="10.0"/>
      <color rgb="FF0000FF"/>
    </font>
    <font>
      <b/>
      <u/>
      <sz val="10.0"/>
      <color rgb="FF0000FF"/>
    </font>
    <font>
      <b/>
      <u/>
      <sz val="10.0"/>
      <color rgb="FF0000FF"/>
    </font>
    <font>
      <color rgb="FF000000"/>
      <name val="Arial"/>
    </font>
    <font>
      <b/>
      <u/>
      <sz val="10.0"/>
      <color rgb="FF0000FF"/>
    </font>
    <font>
      <sz val="10.0"/>
      <color rgb="FF003366"/>
    </font>
    <font>
      <b/>
      <u/>
      <sz val="10.0"/>
      <color rgb="FF0000FF"/>
    </font>
    <font>
      <b/>
      <u/>
      <sz val="10.0"/>
      <color rgb="FF0000FF"/>
    </font>
    <font>
      <b/>
      <u/>
      <sz val="10.0"/>
      <color rgb="FF0000FF"/>
    </font>
    <font>
      <b/>
      <u/>
      <sz val="10.0"/>
      <color rgb="FF0000FF"/>
    </font>
    <font>
      <b/>
      <u/>
      <color rgb="FF0000FF"/>
    </font>
    <font>
      <sz val="10.0"/>
      <color rgb="FF3366FF"/>
    </font>
    <font>
      <sz val="10.0"/>
      <color rgb="FFFF0000"/>
    </font>
    <font>
      <b/>
      <color rgb="FF000000"/>
      <name val="Arial"/>
    </font>
    <font>
      <b/>
      <u/>
      <sz val="10.0"/>
      <color rgb="FF0000FF"/>
    </font>
    <font>
      <color rgb="FF000000"/>
    </font>
    <font>
      <sz val="10.0"/>
    </font>
    <font>
      <b/>
      <u/>
      <sz val="10.0"/>
      <color rgb="FF0000FF"/>
    </font>
    <font>
      <b/>
      <u/>
      <sz val="10.0"/>
    </font>
    <font>
      <b/>
      <u/>
      <sz val="10.0"/>
    </font>
    <font>
      <b/>
      <u/>
      <sz val="10.0"/>
      <color rgb="FFFFFFFF"/>
    </font>
    <font>
      <b/>
      <u/>
      <sz val="10.0"/>
      <color rgb="FF000000"/>
    </font>
    <font>
      <b/>
      <u/>
      <sz val="10.0"/>
      <color rgb="FF000000"/>
    </font>
    <font>
      <b/>
      <u/>
      <sz val="10.0"/>
    </font>
    <font>
      <u/>
      <sz val="10.0"/>
      <color rgb="FF1155CC"/>
    </font>
    <font>
      <b/>
      <u/>
      <sz val="10.0"/>
      <color rgb="FF000000"/>
    </font>
    <font>
      <b/>
      <u/>
      <sz val="10.0"/>
    </font>
    <font>
      <b/>
      <u/>
      <sz val="10.0"/>
    </font>
    <font>
      <b/>
      <u/>
      <sz val="10.0"/>
      <color rgb="FF0000FF"/>
    </font>
    <font>
      <b/>
      <u/>
      <color rgb="FF0000FF"/>
    </font>
    <font>
      <b/>
      <u/>
      <sz val="10.0"/>
      <color rgb="FF0000FF"/>
    </font>
    <font>
      <b/>
      <u/>
      <sz val="10.0"/>
      <color rgb="FF0000FF"/>
    </font>
    <font>
      <u/>
      <sz val="10.0"/>
    </font>
    <font>
      <b/>
      <u/>
      <sz val="10.0"/>
    </font>
    <font>
      <b/>
      <u/>
      <sz val="10.0"/>
    </font>
    <font>
      <b/>
      <u/>
      <sz val="10.0"/>
    </font>
    <font>
      <b/>
      <u/>
      <sz val="10.0"/>
    </font>
    <font>
      <b/>
      <u/>
      <sz val="10.0"/>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666666"/>
        <bgColor rgb="FF666666"/>
      </patternFill>
    </fill>
    <fill>
      <patternFill patternType="solid">
        <fgColor rgb="FFF3F3F3"/>
        <bgColor rgb="FFF3F3F3"/>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000000"/>
      </top>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000000"/>
      </top>
      <bottom style="thin">
        <color rgb="FF000000"/>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FFFFFF"/>
      </right>
      <bottom style="thin">
        <color rgb="FFFFFFFF"/>
      </bottom>
    </border>
    <border>
      <left style="thin">
        <color rgb="FFFFFFFF"/>
      </left>
      <top style="thin">
        <color rgb="FFFFFFFF"/>
      </top>
    </border>
    <border>
      <right style="thin">
        <color rgb="FFFFFFFF"/>
      </right>
      <top style="thin">
        <color rgb="FFFFFFFF"/>
      </top>
    </border>
    <border>
      <left style="thin">
        <color rgb="FFFFFFFF"/>
      </left>
    </border>
    <border>
      <right style="thin">
        <color rgb="FFFFFFFF"/>
      </right>
    </border>
    <border>
      <right style="thin">
        <color rgb="FF000000"/>
      </right>
      <bottom style="thin">
        <color rgb="FF000000"/>
      </bottom>
    </border>
    <border>
      <right style="thin">
        <color rgb="FF000000"/>
      </right>
      <top style="thin">
        <color rgb="FF000000"/>
      </top>
    </border>
    <border>
      <left style="thin">
        <color rgb="FFFFFFFF"/>
      </left>
      <bottom style="thin">
        <color rgb="FF000000"/>
      </bottom>
    </border>
    <border>
      <right style="thin">
        <color rgb="FFFFFFFF"/>
      </right>
      <bottom style="thin">
        <color rgb="FF000000"/>
      </bottom>
    </border>
    <border>
      <right style="thin">
        <color rgb="FFFFFFFF"/>
      </right>
      <top style="thin">
        <color rgb="FF000000"/>
      </top>
      <bottom style="thin">
        <color rgb="FF000000"/>
      </bottom>
    </border>
    <border>
      <left style="thin">
        <color rgb="FFFFFFFF"/>
      </left>
      <bottom style="thin">
        <color rgb="FFFFFFFF"/>
      </bottom>
    </border>
    <border>
      <right style="thin">
        <color rgb="FFFFFFFF"/>
      </right>
      <bottom style="thin">
        <color rgb="FFFFFFFF"/>
      </bottom>
    </border>
    <border>
      <left style="thin">
        <color rgb="FF000000"/>
      </left>
      <right style="thin">
        <color rgb="FF000000"/>
      </right>
      <bottom style="thin">
        <color rgb="FF000000"/>
      </bottom>
    </border>
    <border>
      <left style="thin">
        <color rgb="FF000000"/>
      </left>
      <right style="thin">
        <color rgb="FF000000"/>
      </right>
      <top style="thin">
        <color rgb="FFFFFFFF"/>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441">
    <xf borderId="0" fillId="0" fontId="0" numFmtId="0" xfId="0" applyAlignment="1" applyFont="1">
      <alignment readingOrder="0" shrinkToFit="0" vertical="bottom" wrapText="1"/>
    </xf>
    <xf borderId="1" fillId="2" fontId="1" numFmtId="0" xfId="0" applyAlignment="1" applyBorder="1" applyFill="1" applyFont="1">
      <alignment shrinkToFit="0" wrapText="1"/>
    </xf>
    <xf borderId="2" fillId="2" fontId="2" numFmtId="0" xfId="0" applyAlignment="1" applyBorder="1" applyFont="1">
      <alignment horizontal="center" shrinkToFit="0" vertical="bottom" wrapText="1"/>
    </xf>
    <xf borderId="3" fillId="0" fontId="1" numFmtId="0" xfId="0" applyAlignment="1" applyBorder="1" applyFont="1">
      <alignment shrinkToFit="0" wrapText="1"/>
    </xf>
    <xf borderId="4" fillId="0" fontId="1" numFmtId="0" xfId="0" applyAlignment="1" applyBorder="1" applyFont="1">
      <alignment shrinkToFit="0" wrapText="1"/>
    </xf>
    <xf borderId="2" fillId="2" fontId="3" numFmtId="0" xfId="0" applyAlignment="1" applyBorder="1" applyFont="1">
      <alignment shrinkToFit="0" wrapText="1"/>
    </xf>
    <xf borderId="2" fillId="2" fontId="4" numFmtId="0" xfId="0" applyAlignment="1" applyBorder="1" applyFont="1">
      <alignment horizontal="center" readingOrder="0" shrinkToFit="0" vertical="bottom" wrapText="1"/>
    </xf>
    <xf borderId="2" fillId="2" fontId="2" numFmtId="0" xfId="0" applyAlignment="1" applyBorder="1" applyFont="1">
      <alignment horizontal="center" readingOrder="0" shrinkToFit="0" vertical="bottom" wrapText="1"/>
    </xf>
    <xf borderId="5" fillId="2" fontId="2" numFmtId="0" xfId="0" applyAlignment="1" applyBorder="1" applyFont="1">
      <alignment horizontal="center" shrinkToFit="0" vertical="bottom" wrapText="1"/>
    </xf>
    <xf borderId="1" fillId="2" fontId="5" numFmtId="0" xfId="0" applyAlignment="1" applyBorder="1" applyFont="1">
      <alignment shrinkToFit="0" wrapText="1"/>
    </xf>
    <xf borderId="6" fillId="2" fontId="5" numFmtId="0" xfId="0" applyAlignment="1" applyBorder="1" applyFont="1">
      <alignment shrinkToFit="0" wrapText="1"/>
    </xf>
    <xf borderId="7" fillId="2" fontId="1" numFmtId="0" xfId="0" applyAlignment="1" applyBorder="1" applyFont="1">
      <alignment shrinkToFit="0" wrapText="1"/>
    </xf>
    <xf borderId="8" fillId="2" fontId="2" numFmtId="0" xfId="0" applyAlignment="1" applyBorder="1" applyFont="1">
      <alignment horizontal="center" readingOrder="0" shrinkToFit="0" vertical="bottom" wrapText="1"/>
    </xf>
    <xf borderId="9" fillId="2" fontId="5" numFmtId="0" xfId="0" applyAlignment="1" applyBorder="1" applyFont="1">
      <alignment shrinkToFit="0" wrapText="1"/>
    </xf>
    <xf borderId="8" fillId="2" fontId="3" numFmtId="0" xfId="0" applyAlignment="1" applyBorder="1" applyFont="1">
      <alignment horizontal="center" readingOrder="0" shrinkToFit="0" vertical="bottom" wrapText="1"/>
    </xf>
    <xf borderId="4" fillId="2" fontId="1" numFmtId="0" xfId="0" applyAlignment="1" applyBorder="1" applyFont="1">
      <alignment shrinkToFit="0" wrapText="1"/>
    </xf>
    <xf borderId="10" fillId="2" fontId="2" numFmtId="0" xfId="0" applyAlignment="1" applyBorder="1" applyFont="1">
      <alignment horizontal="center" shrinkToFit="0" vertical="bottom" wrapText="1"/>
    </xf>
    <xf borderId="10" fillId="2" fontId="3" numFmtId="0" xfId="0" applyAlignment="1" applyBorder="1" applyFont="1">
      <alignment horizontal="center" shrinkToFit="0" vertical="bottom" wrapText="1"/>
    </xf>
    <xf borderId="11" fillId="2" fontId="2" numFmtId="0" xfId="0" applyAlignment="1" applyBorder="1" applyFont="1">
      <alignment horizontal="center" readingOrder="0" shrinkToFit="0" vertical="bottom" wrapText="1"/>
    </xf>
    <xf borderId="11" fillId="2" fontId="2" numFmtId="0" xfId="0" applyAlignment="1" applyBorder="1" applyFont="1">
      <alignment horizontal="center" readingOrder="0" shrinkToFit="0" vertical="bottom" wrapText="1"/>
    </xf>
    <xf borderId="11" fillId="2" fontId="2" numFmtId="0" xfId="0" applyAlignment="1" applyBorder="1" applyFont="1">
      <alignment horizontal="center" shrinkToFit="0" vertical="bottom" wrapText="1"/>
    </xf>
    <xf borderId="11" fillId="2" fontId="2" numFmtId="9" xfId="0" applyAlignment="1" applyBorder="1" applyFont="1" applyNumberFormat="1">
      <alignment horizontal="center" shrinkToFit="0" vertical="bottom" wrapText="1"/>
    </xf>
    <xf borderId="11" fillId="2" fontId="3" numFmtId="0" xfId="0" applyAlignment="1" applyBorder="1" applyFont="1">
      <alignment horizontal="center" readingOrder="0" shrinkToFit="0" vertical="bottom" wrapText="1"/>
    </xf>
    <xf borderId="11" fillId="2" fontId="3" numFmtId="0" xfId="0" applyAlignment="1" applyBorder="1" applyFont="1">
      <alignment horizontal="center" readingOrder="0" shrinkToFit="0" vertical="bottom" wrapText="1"/>
    </xf>
    <xf borderId="11" fillId="2" fontId="3" numFmtId="0" xfId="0" applyAlignment="1" applyBorder="1" applyFont="1">
      <alignment horizontal="center" shrinkToFit="0" vertical="bottom" wrapText="1"/>
    </xf>
    <xf borderId="11" fillId="2" fontId="3" numFmtId="0" xfId="0" applyAlignment="1" applyBorder="1" applyFont="1">
      <alignment horizontal="center" shrinkToFit="0" vertical="bottom" wrapText="1"/>
    </xf>
    <xf borderId="12" fillId="2" fontId="6" numFmtId="0" xfId="0" applyAlignment="1" applyBorder="1" applyFont="1">
      <alignment horizontal="center" readingOrder="0" shrinkToFit="0" vertical="bottom" wrapText="1"/>
    </xf>
    <xf borderId="12" fillId="2" fontId="7" numFmtId="0" xfId="0" applyAlignment="1" applyBorder="1" applyFont="1">
      <alignment horizontal="center" shrinkToFit="0" vertical="bottom" wrapText="1"/>
    </xf>
    <xf borderId="12" fillId="2" fontId="6" numFmtId="9" xfId="0" applyAlignment="1" applyBorder="1" applyFont="1" applyNumberFormat="1">
      <alignment horizontal="center" shrinkToFit="0" vertical="bottom" wrapText="1"/>
    </xf>
    <xf borderId="0" fillId="2" fontId="3" numFmtId="0" xfId="0" applyAlignment="1" applyFont="1">
      <alignment horizontal="center" shrinkToFit="0" vertical="bottom" wrapText="1"/>
    </xf>
    <xf borderId="0" fillId="2" fontId="2" numFmtId="9" xfId="0" applyAlignment="1" applyFont="1" applyNumberFormat="1">
      <alignment horizontal="center" shrinkToFit="0" vertical="bottom" wrapText="1"/>
    </xf>
    <xf borderId="0" fillId="2" fontId="3" numFmtId="0" xfId="0" applyAlignment="1" applyFont="1">
      <alignment horizontal="left" readingOrder="0" shrinkToFit="0" vertical="bottom" wrapText="1"/>
    </xf>
    <xf borderId="13" fillId="2" fontId="8" numFmtId="0" xfId="0" applyAlignment="1" applyBorder="1" applyFont="1">
      <alignment horizontal="left" readingOrder="0" shrinkToFit="0" vertical="bottom" wrapText="1"/>
    </xf>
    <xf borderId="14" fillId="0" fontId="1" numFmtId="0" xfId="0" applyAlignment="1" applyBorder="1" applyFont="1">
      <alignment shrinkToFit="0" wrapText="1"/>
    </xf>
    <xf borderId="14" fillId="2" fontId="8" numFmtId="0" xfId="0" applyAlignment="1" applyBorder="1" applyFont="1">
      <alignment horizontal="center" readingOrder="0" shrinkToFit="0" vertical="bottom" wrapText="1"/>
    </xf>
    <xf borderId="0" fillId="2" fontId="6" numFmtId="9" xfId="0" applyAlignment="1" applyFont="1" applyNumberFormat="1">
      <alignment horizontal="center" shrinkToFit="0" vertical="bottom" wrapText="1"/>
    </xf>
    <xf borderId="15" fillId="2" fontId="3" numFmtId="0" xfId="0" applyAlignment="1" applyBorder="1" applyFont="1">
      <alignment horizontal="left" readingOrder="0" shrinkToFit="0" vertical="bottom" wrapText="1"/>
    </xf>
    <xf borderId="16" fillId="0" fontId="1" numFmtId="0" xfId="0" applyAlignment="1" applyBorder="1" applyFont="1">
      <alignment shrinkToFit="0" wrapText="1"/>
    </xf>
    <xf borderId="16" fillId="2" fontId="9" numFmtId="0" xfId="0" applyAlignment="1" applyBorder="1" applyFont="1">
      <alignment shrinkToFit="0" vertical="bottom" wrapText="1"/>
    </xf>
    <xf borderId="17" fillId="2" fontId="5" numFmtId="0" xfId="0" applyAlignment="1" applyBorder="1" applyFont="1">
      <alignment shrinkToFit="0" wrapText="1"/>
    </xf>
    <xf borderId="15" fillId="2" fontId="8" numFmtId="0" xfId="0" applyAlignment="1" applyBorder="1" applyFont="1">
      <alignment horizontal="left" readingOrder="0" shrinkToFit="0" vertical="bottom" wrapText="1"/>
    </xf>
    <xf borderId="16" fillId="2" fontId="8" numFmtId="0" xfId="0" applyAlignment="1" applyBorder="1" applyFont="1">
      <alignment horizontal="center" shrinkToFit="0" vertical="bottom" wrapText="1"/>
    </xf>
    <xf borderId="4" fillId="2" fontId="5" numFmtId="0" xfId="0" applyAlignment="1" applyBorder="1" applyFont="1">
      <alignment shrinkToFit="0" wrapText="1"/>
    </xf>
    <xf borderId="15" fillId="2" fontId="8" numFmtId="0" xfId="0" applyAlignment="1" applyBorder="1" applyFont="1">
      <alignment horizontal="left" shrinkToFit="0" vertical="bottom" wrapText="1"/>
    </xf>
    <xf borderId="18" fillId="2" fontId="3" numFmtId="0" xfId="0" applyAlignment="1" applyBorder="1" applyFont="1">
      <alignment horizontal="center" shrinkToFit="0" vertical="bottom" wrapText="1"/>
    </xf>
    <xf borderId="19" fillId="2" fontId="8" numFmtId="0" xfId="0" applyAlignment="1" applyBorder="1" applyFont="1">
      <alignment horizontal="left" shrinkToFit="0" vertical="bottom" wrapText="1"/>
    </xf>
    <xf borderId="20" fillId="0" fontId="1" numFmtId="0" xfId="0" applyAlignment="1" applyBorder="1" applyFont="1">
      <alignment shrinkToFit="0" wrapText="1"/>
    </xf>
    <xf borderId="20" fillId="2" fontId="8" numFmtId="0" xfId="0" applyAlignment="1" applyBorder="1" applyFont="1">
      <alignment horizontal="center" shrinkToFit="0" vertical="bottom" wrapText="1"/>
    </xf>
    <xf borderId="9" fillId="2" fontId="3" numFmtId="0" xfId="0" applyAlignment="1" applyBorder="1" applyFont="1">
      <alignment horizontal="left" readingOrder="0" shrinkToFit="0" vertical="bottom" wrapText="1"/>
    </xf>
    <xf borderId="21" fillId="0" fontId="1" numFmtId="0" xfId="0" applyAlignment="1" applyBorder="1" applyFont="1">
      <alignment shrinkToFit="0" wrapText="1"/>
    </xf>
    <xf borderId="20" fillId="2" fontId="9" numFmtId="0" xfId="0" applyAlignment="1" applyBorder="1" applyFont="1">
      <alignment shrinkToFit="0" vertical="bottom" wrapText="1"/>
    </xf>
    <xf borderId="4" fillId="2" fontId="3" numFmtId="0" xfId="0" applyAlignment="1" applyBorder="1" applyFont="1">
      <alignment horizontal="center" readingOrder="0" shrinkToFit="0" vertical="bottom" wrapText="1"/>
    </xf>
    <xf borderId="22" fillId="2" fontId="8" numFmtId="0" xfId="0" applyAlignment="1" applyBorder="1" applyFont="1">
      <alignment horizontal="left" shrinkToFit="0" vertical="bottom" wrapText="1"/>
    </xf>
    <xf borderId="23" fillId="0" fontId="1" numFmtId="0" xfId="0" applyAlignment="1" applyBorder="1" applyFont="1">
      <alignment shrinkToFit="0" wrapText="1"/>
    </xf>
    <xf borderId="23" fillId="2" fontId="8" numFmtId="0" xfId="0" applyAlignment="1" applyBorder="1" applyFont="1">
      <alignment horizontal="center" shrinkToFit="0" vertical="bottom" wrapText="1"/>
    </xf>
    <xf borderId="4" fillId="2" fontId="3" numFmtId="0" xfId="0" applyAlignment="1" applyBorder="1" applyFont="1">
      <alignment horizontal="center" shrinkToFit="0" vertical="bottom" wrapText="1"/>
    </xf>
    <xf borderId="24" fillId="2" fontId="3" numFmtId="0" xfId="0" applyAlignment="1" applyBorder="1" applyFont="1">
      <alignment horizontal="center" readingOrder="0" shrinkToFit="0" vertical="bottom" wrapText="1"/>
    </xf>
    <xf borderId="24" fillId="2" fontId="3" numFmtId="0" xfId="0" applyAlignment="1" applyBorder="1" applyFont="1">
      <alignment horizontal="center" readingOrder="0" shrinkToFit="0" vertical="bottom" wrapText="1"/>
    </xf>
    <xf borderId="24" fillId="2" fontId="3" numFmtId="0" xfId="0" applyAlignment="1" applyBorder="1" applyFont="1">
      <alignment horizontal="center" shrinkToFit="0" vertical="bottom" wrapText="1"/>
    </xf>
    <xf borderId="1" fillId="2" fontId="2" numFmtId="9" xfId="0" applyAlignment="1" applyBorder="1" applyFont="1" applyNumberFormat="1">
      <alignment horizontal="center" shrinkToFit="0" vertical="bottom" wrapText="1"/>
    </xf>
    <xf borderId="1" fillId="2" fontId="3" numFmtId="0" xfId="0" applyAlignment="1" applyBorder="1" applyFont="1">
      <alignment horizontal="center" readingOrder="0" shrinkToFit="0" vertical="bottom" wrapText="1"/>
    </xf>
    <xf borderId="1" fillId="2" fontId="3" numFmtId="0" xfId="0" applyAlignment="1" applyBorder="1" applyFont="1">
      <alignment horizontal="center" readingOrder="0" shrinkToFit="0" vertical="bottom" wrapText="1"/>
    </xf>
    <xf borderId="1" fillId="2" fontId="3" numFmtId="0" xfId="0" applyAlignment="1" applyBorder="1" applyFont="1">
      <alignment horizontal="center" shrinkToFit="0" vertical="bottom" wrapText="1"/>
    </xf>
    <xf borderId="2" fillId="2" fontId="2" numFmtId="0" xfId="0" applyAlignment="1" applyBorder="1" applyFont="1">
      <alignment horizontal="center" readingOrder="0" shrinkToFit="0" vertical="bottom" wrapText="1"/>
    </xf>
    <xf borderId="0" fillId="2" fontId="10" numFmtId="0" xfId="0" applyAlignment="1" applyFont="1">
      <alignment horizontal="center" readingOrder="0" shrinkToFit="0" wrapText="1"/>
    </xf>
    <xf borderId="1" fillId="2" fontId="3" numFmtId="0" xfId="0" applyAlignment="1" applyBorder="1" applyFont="1">
      <alignment horizontal="center" shrinkToFit="0" vertical="bottom" wrapText="1"/>
    </xf>
    <xf borderId="11" fillId="2" fontId="2" numFmtId="0" xfId="0" applyAlignment="1" applyBorder="1" applyFont="1">
      <alignment horizontal="center" shrinkToFit="0" vertical="bottom" wrapText="1"/>
    </xf>
    <xf borderId="12" fillId="2" fontId="6" numFmtId="0" xfId="0" applyAlignment="1" applyBorder="1" applyFont="1">
      <alignment horizontal="center" shrinkToFit="0" vertical="bottom" wrapText="1"/>
    </xf>
    <xf borderId="1" fillId="2" fontId="6" numFmtId="0" xfId="0" applyAlignment="1" applyBorder="1" applyFont="1">
      <alignment horizontal="center" readingOrder="0" shrinkToFit="0" vertical="bottom" wrapText="1"/>
    </xf>
    <xf borderId="1" fillId="2" fontId="7" numFmtId="0" xfId="0" applyAlignment="1" applyBorder="1" applyFont="1">
      <alignment horizontal="center" shrinkToFit="0" vertical="bottom" wrapText="1"/>
    </xf>
    <xf borderId="1" fillId="2" fontId="6" numFmtId="9" xfId="0" applyAlignment="1" applyBorder="1" applyFont="1" applyNumberFormat="1">
      <alignment horizontal="center" shrinkToFit="0" vertical="bottom" wrapText="1"/>
    </xf>
    <xf borderId="25" fillId="2" fontId="2" numFmtId="0" xfId="0" applyAlignment="1" applyBorder="1" applyFont="1">
      <alignment horizontal="center" shrinkToFit="0" vertical="bottom" wrapText="1"/>
    </xf>
    <xf borderId="24" fillId="2" fontId="5" numFmtId="0" xfId="0" applyAlignment="1" applyBorder="1" applyFont="1">
      <alignment shrinkToFit="0" wrapText="1"/>
    </xf>
    <xf borderId="1" fillId="2" fontId="2" numFmtId="0" xfId="0" applyAlignment="1" applyBorder="1" applyFont="1">
      <alignment shrinkToFit="0" wrapText="1"/>
    </xf>
    <xf borderId="2" fillId="2" fontId="2" numFmtId="0" xfId="0" applyAlignment="1" applyBorder="1" applyFont="1">
      <alignment shrinkToFit="0" wrapText="1"/>
    </xf>
    <xf borderId="1" fillId="2" fontId="6" numFmtId="0" xfId="0" applyAlignment="1" applyBorder="1" applyFont="1">
      <alignment shrinkToFit="0" wrapText="1"/>
    </xf>
    <xf borderId="1" fillId="2" fontId="11" numFmtId="0" xfId="0" applyAlignment="1" applyBorder="1" applyFont="1">
      <alignment readingOrder="0" shrinkToFit="0" wrapText="1"/>
    </xf>
    <xf borderId="26" fillId="0" fontId="12" numFmtId="0" xfId="0" applyAlignment="1" applyBorder="1" applyFont="1">
      <alignment horizontal="left" shrinkToFit="0" vertical="bottom" wrapText="1"/>
    </xf>
    <xf borderId="26" fillId="0" fontId="1" numFmtId="0" xfId="0" applyAlignment="1" applyBorder="1" applyFont="1">
      <alignment horizontal="center" shrinkToFit="0" vertical="bottom" wrapText="1"/>
    </xf>
    <xf borderId="0" fillId="3" fontId="13" numFmtId="0" xfId="0" applyAlignment="1" applyFill="1" applyFont="1">
      <alignment horizontal="left" shrinkToFit="0" vertical="bottom" wrapText="1"/>
    </xf>
    <xf borderId="0" fillId="0" fontId="1" numFmtId="0" xfId="0" applyAlignment="1" applyFont="1">
      <alignment horizontal="left" shrinkToFit="0" vertical="bottom" wrapText="1"/>
    </xf>
    <xf borderId="26" fillId="0" fontId="12" numFmtId="0" xfId="0" applyAlignment="1" applyBorder="1" applyFont="1">
      <alignment horizontal="center" shrinkToFit="0" vertical="bottom" wrapText="1"/>
    </xf>
    <xf borderId="26" fillId="0" fontId="1" numFmtId="0" xfId="0" applyAlignment="1" applyBorder="1" applyFont="1">
      <alignment horizontal="left" shrinkToFit="0" vertical="bottom" wrapText="1"/>
    </xf>
    <xf borderId="1" fillId="2" fontId="3" numFmtId="0" xfId="0" applyAlignment="1" applyBorder="1" applyFont="1">
      <alignment horizontal="left" readingOrder="0" shrinkToFit="0" vertical="bottom" wrapText="1"/>
    </xf>
    <xf borderId="24" fillId="2" fontId="3" numFmtId="0" xfId="0" applyAlignment="1" applyBorder="1" applyFont="1">
      <alignment horizontal="left" readingOrder="0" shrinkToFit="0" vertical="bottom" wrapText="1"/>
    </xf>
    <xf borderId="1" fillId="2" fontId="3" numFmtId="0" xfId="0" applyAlignment="1" applyBorder="1" applyFont="1">
      <alignment horizontal="left" readingOrder="0" shrinkToFit="0" vertical="bottom" wrapText="1"/>
    </xf>
    <xf borderId="3" fillId="0" fontId="12" numFmtId="0" xfId="0" applyAlignment="1" applyBorder="1" applyFont="1">
      <alignment horizontal="left" shrinkToFit="0" vertical="bottom" wrapText="1"/>
    </xf>
    <xf borderId="3" fillId="0" fontId="1" numFmtId="0" xfId="0" applyAlignment="1" applyBorder="1" applyFont="1">
      <alignment horizontal="center" shrinkToFit="0" vertical="bottom" wrapText="1"/>
    </xf>
    <xf borderId="3" fillId="0" fontId="14" numFmtId="0" xfId="0" applyAlignment="1" applyBorder="1" applyFont="1">
      <alignment horizontal="center" shrinkToFit="0" vertical="bottom" wrapText="1"/>
    </xf>
    <xf borderId="3" fillId="0" fontId="1" numFmtId="0" xfId="0" applyAlignment="1" applyBorder="1" applyFont="1">
      <alignment horizontal="left" shrinkToFit="0" vertical="bottom" wrapText="1"/>
    </xf>
    <xf borderId="3" fillId="3" fontId="14" numFmtId="0" xfId="0" applyAlignment="1" applyBorder="1" applyFont="1">
      <alignment horizontal="right" shrinkToFit="0" vertical="bottom" wrapText="1"/>
    </xf>
    <xf borderId="3" fillId="3" fontId="3" numFmtId="0" xfId="0" applyAlignment="1" applyBorder="1" applyFont="1">
      <alignment horizontal="left" shrinkToFit="0" vertical="bottom" wrapText="1"/>
    </xf>
    <xf borderId="1" fillId="2" fontId="3" numFmtId="0" xfId="0" applyAlignment="1" applyBorder="1" applyFont="1">
      <alignment horizontal="left" shrinkToFit="0" vertical="bottom" wrapText="1"/>
    </xf>
    <xf borderId="1" fillId="2" fontId="15" numFmtId="0" xfId="0" applyAlignment="1" applyBorder="1" applyFont="1">
      <alignment horizontal="center" shrinkToFit="0" vertical="bottom" wrapText="1"/>
    </xf>
    <xf borderId="1" fillId="2" fontId="14" numFmtId="0" xfId="0" applyAlignment="1" applyBorder="1" applyFont="1">
      <alignment horizontal="center" shrinkToFit="0" vertical="bottom" wrapText="1"/>
    </xf>
    <xf borderId="1" fillId="2" fontId="15" numFmtId="0" xfId="0" applyAlignment="1" applyBorder="1" applyFont="1">
      <alignment horizontal="left" shrinkToFit="0" vertical="bottom" wrapText="1"/>
    </xf>
    <xf borderId="27" fillId="0" fontId="16" numFmtId="14" xfId="0" applyAlignment="1" applyBorder="1" applyFont="1" applyNumberFormat="1">
      <alignment horizontal="left" readingOrder="0" shrinkToFit="0" vertical="bottom" wrapText="1"/>
    </xf>
    <xf borderId="27" fillId="0" fontId="13" numFmtId="0" xfId="0" applyAlignment="1" applyBorder="1" applyFont="1">
      <alignment horizontal="center" readingOrder="0" shrinkToFit="0" vertical="bottom" wrapText="1"/>
    </xf>
    <xf borderId="27" fillId="0" fontId="17" numFmtId="0" xfId="0" applyAlignment="1" applyBorder="1" applyFont="1">
      <alignment horizontal="center" shrinkToFit="0" vertical="bottom" wrapText="1"/>
    </xf>
    <xf borderId="27" fillId="0" fontId="13" numFmtId="0" xfId="0" applyAlignment="1" applyBorder="1" applyFont="1">
      <alignment horizontal="left" readingOrder="0" shrinkToFit="0" vertical="bottom" wrapText="1"/>
    </xf>
    <xf borderId="27" fillId="0" fontId="13" numFmtId="0" xfId="0" applyAlignment="1" applyBorder="1" applyFont="1">
      <alignment horizontal="left" readingOrder="0" shrinkToFit="0" vertical="bottom" wrapText="1"/>
    </xf>
    <xf borderId="27" fillId="0" fontId="1" numFmtId="0" xfId="0" applyAlignment="1" applyBorder="1" applyFont="1">
      <alignment horizontal="left" readingOrder="0" shrinkToFit="0" vertical="bottom" wrapText="1"/>
    </xf>
    <xf borderId="27" fillId="0" fontId="1" numFmtId="0" xfId="0" applyAlignment="1" applyBorder="1" applyFont="1">
      <alignment horizontal="left" readingOrder="0" shrinkToFit="0" vertical="bottom" wrapText="1"/>
    </xf>
    <xf borderId="0" fillId="4" fontId="12" numFmtId="14" xfId="0" applyAlignment="1" applyFill="1" applyFont="1" applyNumberFormat="1">
      <alignment horizontal="left" readingOrder="0" shrinkToFit="0" vertical="bottom" wrapText="1"/>
    </xf>
    <xf borderId="0" fillId="4" fontId="1" numFmtId="0" xfId="0" applyAlignment="1" applyFont="1">
      <alignment horizontal="center" shrinkToFit="0" vertical="bottom" wrapText="1"/>
    </xf>
    <xf borderId="0" fillId="4" fontId="18" numFmtId="0" xfId="0" applyAlignment="1" applyFont="1">
      <alignment horizontal="center" shrinkToFit="0" vertical="bottom" wrapText="1"/>
    </xf>
    <xf borderId="0" fillId="4" fontId="1" numFmtId="0" xfId="0" applyAlignment="1" applyFont="1">
      <alignment horizontal="left" readingOrder="0" shrinkToFit="0" vertical="bottom" wrapText="1"/>
    </xf>
    <xf borderId="0" fillId="4" fontId="1" numFmtId="0" xfId="0" applyAlignment="1" applyFont="1">
      <alignment horizontal="center" readingOrder="0" shrinkToFit="0" vertical="bottom" wrapText="1"/>
    </xf>
    <xf borderId="0" fillId="4" fontId="14" numFmtId="0" xfId="0" applyAlignment="1" applyFont="1">
      <alignment horizontal="center" shrinkToFit="0" vertical="bottom" wrapText="1"/>
    </xf>
    <xf borderId="0" fillId="4" fontId="1" numFmtId="0" xfId="0" applyAlignment="1" applyFont="1">
      <alignment horizontal="left" shrinkToFit="0" vertical="bottom" wrapText="1"/>
    </xf>
    <xf borderId="0" fillId="0" fontId="12" numFmtId="14" xfId="0" applyAlignment="1" applyFont="1" applyNumberFormat="1">
      <alignment horizontal="left" readingOrder="0" shrinkToFit="0" vertical="bottom" wrapText="1"/>
    </xf>
    <xf borderId="0" fillId="0" fontId="1" numFmtId="0" xfId="0" applyAlignment="1" applyFont="1">
      <alignment horizontal="center" shrinkToFit="0" vertical="bottom" wrapText="1"/>
    </xf>
    <xf borderId="0" fillId="0" fontId="14" numFmtId="0" xfId="0" applyAlignment="1" applyFont="1">
      <alignment horizontal="center" readingOrder="0" shrinkToFit="0" vertical="bottom" wrapText="1"/>
    </xf>
    <xf borderId="0" fillId="0" fontId="1" numFmtId="0" xfId="0" applyAlignment="1" applyFont="1">
      <alignment horizontal="left" readingOrder="0" shrinkToFit="0" vertical="bottom" wrapText="1"/>
    </xf>
    <xf borderId="0" fillId="0" fontId="1" numFmtId="0" xfId="0" applyAlignment="1" applyFont="1">
      <alignment horizontal="center" readingOrder="0" shrinkToFit="0" vertical="bottom" wrapText="1"/>
    </xf>
    <xf borderId="0" fillId="3" fontId="1" numFmtId="0" xfId="0" applyAlignment="1" applyFont="1">
      <alignment horizontal="center" readingOrder="0" shrinkToFit="0" vertical="bottom" wrapText="1"/>
    </xf>
    <xf borderId="0" fillId="3" fontId="19" numFmtId="0" xfId="0" applyAlignment="1" applyFont="1">
      <alignment horizontal="center" shrinkToFit="0" vertical="bottom" wrapText="1"/>
    </xf>
    <xf borderId="0" fillId="3" fontId="1" numFmtId="0" xfId="0" applyAlignment="1" applyFont="1">
      <alignment horizontal="left" readingOrder="0" shrinkToFit="0" vertical="bottom" wrapText="1"/>
    </xf>
    <xf borderId="0" fillId="3" fontId="1" numFmtId="0" xfId="0" applyAlignment="1" applyFont="1">
      <alignment horizontal="left" readingOrder="0" shrinkToFit="0" vertical="bottom" wrapText="1"/>
    </xf>
    <xf borderId="26" fillId="4" fontId="12" numFmtId="0" xfId="0" applyAlignment="1" applyBorder="1" applyFont="1">
      <alignment horizontal="left" readingOrder="0" shrinkToFit="0" vertical="bottom" wrapText="1"/>
    </xf>
    <xf borderId="26" fillId="4" fontId="1" numFmtId="0" xfId="0" applyAlignment="1" applyBorder="1" applyFont="1">
      <alignment horizontal="center" readingOrder="0" shrinkToFit="0" vertical="bottom" wrapText="1"/>
    </xf>
    <xf borderId="26" fillId="4" fontId="14" numFmtId="0" xfId="0" applyAlignment="1" applyBorder="1" applyFont="1">
      <alignment horizontal="center" readingOrder="0" shrinkToFit="0" vertical="bottom" wrapText="1"/>
    </xf>
    <xf borderId="26" fillId="4" fontId="1" numFmtId="0" xfId="0" applyAlignment="1" applyBorder="1" applyFont="1">
      <alignment horizontal="left" readingOrder="0" shrinkToFit="0" vertical="bottom" wrapText="1"/>
    </xf>
    <xf borderId="26" fillId="4" fontId="20" numFmtId="0" xfId="0" applyAlignment="1" applyBorder="1" applyFont="1">
      <alignment horizontal="center" shrinkToFit="0" vertical="bottom" wrapText="1"/>
    </xf>
    <xf borderId="0" fillId="4" fontId="21" numFmtId="0" xfId="0" applyAlignment="1" applyFont="1">
      <alignment horizontal="left" readingOrder="0" shrinkToFit="0" wrapText="1"/>
    </xf>
    <xf borderId="27" fillId="0" fontId="12" numFmtId="14" xfId="0" applyAlignment="1" applyBorder="1" applyFont="1" applyNumberFormat="1">
      <alignment horizontal="left" readingOrder="0" shrinkToFit="0" vertical="bottom" wrapText="1"/>
    </xf>
    <xf borderId="27" fillId="0" fontId="1" numFmtId="0" xfId="0" applyAlignment="1" applyBorder="1" applyFont="1">
      <alignment horizontal="center" shrinkToFit="0" vertical="bottom" wrapText="1"/>
    </xf>
    <xf borderId="27" fillId="0" fontId="1" numFmtId="0" xfId="0" applyAlignment="1" applyBorder="1" applyFont="1">
      <alignment horizontal="center" readingOrder="0" shrinkToFit="0" vertical="bottom" wrapText="1"/>
    </xf>
    <xf borderId="27" fillId="0" fontId="14" numFmtId="0" xfId="0" applyAlignment="1" applyBorder="1" applyFont="1">
      <alignment horizontal="center" shrinkToFit="0" vertical="bottom" wrapText="1"/>
    </xf>
    <xf borderId="27" fillId="0" fontId="1" numFmtId="0" xfId="0" applyAlignment="1" applyBorder="1" applyFont="1">
      <alignment horizontal="left" shrinkToFit="0" vertical="bottom" wrapText="1"/>
    </xf>
    <xf borderId="0" fillId="4" fontId="16" numFmtId="14" xfId="0" applyAlignment="1" applyFont="1" applyNumberFormat="1">
      <alignment horizontal="left" readingOrder="0" shrinkToFit="0" vertical="bottom" wrapText="1"/>
    </xf>
    <xf borderId="0" fillId="4" fontId="13" numFmtId="0" xfId="0" applyAlignment="1" applyFont="1">
      <alignment horizontal="center" shrinkToFit="0" vertical="bottom" wrapText="1"/>
    </xf>
    <xf borderId="0" fillId="4" fontId="13" numFmtId="0" xfId="0" applyAlignment="1" applyFont="1">
      <alignment horizontal="left" readingOrder="0" shrinkToFit="0" vertical="bottom" wrapText="1"/>
    </xf>
    <xf borderId="0" fillId="4" fontId="13" numFmtId="0" xfId="0" applyAlignment="1" applyFont="1">
      <alignment horizontal="center" readingOrder="0" shrinkToFit="0" vertical="bottom" wrapText="1"/>
    </xf>
    <xf borderId="0" fillId="4" fontId="1" numFmtId="0" xfId="0" applyAlignment="1" applyFont="1">
      <alignment horizontal="left" readingOrder="0" shrinkToFit="0" vertical="bottom" wrapText="1"/>
    </xf>
    <xf borderId="0" fillId="0" fontId="22" numFmtId="0" xfId="0" applyAlignment="1" applyFont="1">
      <alignment horizontal="center" shrinkToFit="0" vertical="bottom" wrapText="1"/>
    </xf>
    <xf borderId="0" fillId="0" fontId="1" numFmtId="0" xfId="0" applyAlignment="1" applyFont="1">
      <alignment horizontal="left" readingOrder="0" shrinkToFit="0" vertical="bottom" wrapText="1"/>
    </xf>
    <xf borderId="26" fillId="4" fontId="1" numFmtId="0" xfId="0" applyAlignment="1" applyBorder="1" applyFont="1">
      <alignment horizontal="left" readingOrder="0" shrinkToFit="0" vertical="bottom" wrapText="1"/>
    </xf>
    <xf borderId="0" fillId="0" fontId="14" numFmtId="0" xfId="0" applyAlignment="1" applyFont="1">
      <alignment horizontal="center" shrinkToFit="0" vertical="bottom" wrapText="1"/>
    </xf>
    <xf borderId="0" fillId="0" fontId="1" numFmtId="0" xfId="0" applyAlignment="1" applyFont="1">
      <alignment horizontal="center" readingOrder="0" shrinkToFit="0" vertical="bottom" wrapText="1"/>
    </xf>
    <xf borderId="0" fillId="4" fontId="13" numFmtId="0" xfId="0" applyAlignment="1" applyFont="1">
      <alignment horizontal="left" readingOrder="0" shrinkToFit="0" vertical="bottom" wrapText="1"/>
    </xf>
    <xf borderId="0" fillId="4" fontId="1" numFmtId="0" xfId="0" applyAlignment="1" applyFont="1">
      <alignment horizontal="center" readingOrder="0" shrinkToFit="0" vertical="bottom" wrapText="1"/>
    </xf>
    <xf borderId="0" fillId="3" fontId="12" numFmtId="14" xfId="0" applyAlignment="1" applyFont="1" applyNumberFormat="1">
      <alignment horizontal="left" readingOrder="0" shrinkToFit="0" vertical="bottom" wrapText="1"/>
    </xf>
    <xf borderId="0" fillId="4" fontId="12" numFmtId="0" xfId="0" applyAlignment="1" applyFont="1">
      <alignment horizontal="center" shrinkToFit="0" vertical="bottom" wrapText="1"/>
    </xf>
    <xf borderId="0" fillId="3" fontId="1" numFmtId="0" xfId="0" applyAlignment="1" applyFont="1">
      <alignment horizontal="center" shrinkToFit="0" vertical="bottom" wrapText="1"/>
    </xf>
    <xf borderId="0" fillId="3" fontId="14" numFmtId="0" xfId="0" applyAlignment="1" applyFont="1">
      <alignment horizontal="center" shrinkToFit="0" vertical="bottom" wrapText="1"/>
    </xf>
    <xf borderId="0" fillId="3" fontId="1" numFmtId="0" xfId="0" applyAlignment="1" applyFont="1">
      <alignment horizontal="left" shrinkToFit="0" vertical="bottom" wrapText="1"/>
    </xf>
    <xf borderId="0" fillId="0" fontId="16" numFmtId="14" xfId="0" applyAlignment="1" applyFont="1" applyNumberFormat="1">
      <alignment horizontal="left" readingOrder="0" shrinkToFit="0" vertical="bottom" wrapText="1"/>
    </xf>
    <xf borderId="0" fillId="0" fontId="13" numFmtId="0" xfId="0" applyAlignment="1" applyFont="1">
      <alignment horizontal="center" readingOrder="0" shrinkToFit="0" vertical="bottom" wrapText="1"/>
    </xf>
    <xf borderId="0" fillId="0" fontId="13" numFmtId="0" xfId="0" applyAlignment="1" applyFont="1">
      <alignment horizontal="left" readingOrder="0" shrinkToFit="0" vertical="bottom" wrapText="1"/>
    </xf>
    <xf borderId="0" fillId="3" fontId="16" numFmtId="14" xfId="0" applyAlignment="1" applyFont="1" applyNumberFormat="1">
      <alignment horizontal="left" readingOrder="0" shrinkToFit="0" vertical="bottom" wrapText="1"/>
    </xf>
    <xf borderId="0" fillId="3" fontId="13" numFmtId="0" xfId="0" applyAlignment="1" applyFont="1">
      <alignment horizontal="center" readingOrder="0" shrinkToFit="0" vertical="bottom" wrapText="1"/>
    </xf>
    <xf borderId="0" fillId="3" fontId="13" numFmtId="0" xfId="0" applyAlignment="1" applyFont="1">
      <alignment horizontal="left" readingOrder="0" shrinkToFit="0" vertical="bottom" wrapText="1"/>
    </xf>
    <xf borderId="0" fillId="3" fontId="13" numFmtId="0" xfId="0" applyAlignment="1" applyFont="1">
      <alignment horizontal="left" readingOrder="0" shrinkToFit="0" vertical="bottom" wrapText="1"/>
    </xf>
    <xf borderId="0" fillId="4" fontId="12" numFmtId="0" xfId="0" applyAlignment="1" applyFont="1">
      <alignment horizontal="left" readingOrder="0" shrinkToFit="0" vertical="bottom" wrapText="1"/>
    </xf>
    <xf borderId="0" fillId="4" fontId="14" numFmtId="0" xfId="0" applyAlignment="1" applyFont="1">
      <alignment horizontal="center" readingOrder="0" shrinkToFit="0" vertical="bottom" wrapText="1"/>
    </xf>
    <xf borderId="0" fillId="3" fontId="13" numFmtId="0" xfId="0" applyAlignment="1" applyFont="1">
      <alignment horizontal="center" shrinkToFit="0" vertical="bottom" wrapText="1"/>
    </xf>
    <xf borderId="0" fillId="4" fontId="13" numFmtId="0" xfId="0" applyAlignment="1" applyFont="1">
      <alignment horizontal="center" readingOrder="0" shrinkToFit="0" vertical="bottom" wrapText="0"/>
    </xf>
    <xf borderId="0" fillId="0" fontId="13" numFmtId="0" xfId="0" applyAlignment="1" applyFont="1">
      <alignment horizontal="center" shrinkToFit="0" vertical="bottom" wrapText="1"/>
    </xf>
    <xf borderId="0" fillId="3" fontId="12" numFmtId="0" xfId="0" applyAlignment="1" applyFont="1">
      <alignment horizontal="left" readingOrder="0" shrinkToFit="0" vertical="bottom" wrapText="1"/>
    </xf>
    <xf borderId="3" fillId="3" fontId="12" numFmtId="0" xfId="0" applyAlignment="1" applyBorder="1" applyFont="1">
      <alignment horizontal="left" shrinkToFit="0" vertical="bottom" wrapText="1"/>
    </xf>
    <xf borderId="3" fillId="3" fontId="1" numFmtId="0" xfId="0" applyAlignment="1" applyBorder="1" applyFont="1">
      <alignment horizontal="center" shrinkToFit="0" vertical="bottom" wrapText="1"/>
    </xf>
    <xf borderId="3" fillId="3" fontId="23" numFmtId="0" xfId="0" applyAlignment="1" applyBorder="1" applyFont="1">
      <alignment horizontal="center" shrinkToFit="0" vertical="bottom" wrapText="1"/>
    </xf>
    <xf borderId="3" fillId="3" fontId="1" numFmtId="0" xfId="0" applyAlignment="1" applyBorder="1" applyFont="1">
      <alignment horizontal="left" shrinkToFit="0" vertical="bottom" wrapText="1"/>
    </xf>
    <xf borderId="1" fillId="2" fontId="23" numFmtId="0" xfId="0" applyAlignment="1" applyBorder="1" applyFont="1">
      <alignment horizontal="center" shrinkToFit="0" vertical="bottom" wrapText="1"/>
    </xf>
    <xf borderId="0" fillId="3" fontId="1" numFmtId="0" xfId="0" applyAlignment="1" applyFont="1">
      <alignment horizontal="center" readingOrder="0" shrinkToFit="0" vertical="bottom" wrapText="1"/>
    </xf>
    <xf borderId="26" fillId="3" fontId="24" numFmtId="0" xfId="0" applyAlignment="1" applyBorder="1" applyFont="1">
      <alignment horizontal="center" shrinkToFit="0" vertical="bottom" wrapText="1"/>
    </xf>
    <xf borderId="26" fillId="3" fontId="12" numFmtId="14" xfId="0" applyAlignment="1" applyBorder="1" applyFont="1" applyNumberFormat="1">
      <alignment horizontal="left" readingOrder="0" shrinkToFit="0" vertical="bottom" wrapText="1"/>
    </xf>
    <xf borderId="26" fillId="3" fontId="1" numFmtId="0" xfId="0" applyAlignment="1" applyBorder="1" applyFont="1">
      <alignment horizontal="center" readingOrder="0" shrinkToFit="0" vertical="bottom" wrapText="1"/>
    </xf>
    <xf borderId="26" fillId="3" fontId="1" numFmtId="0" xfId="0" applyAlignment="1" applyBorder="1" applyFont="1">
      <alignment horizontal="left" readingOrder="0" shrinkToFit="0" vertical="bottom" wrapText="1"/>
    </xf>
    <xf borderId="0" fillId="3" fontId="21" numFmtId="0" xfId="0" applyAlignment="1" applyFont="1">
      <alignment horizontal="left" readingOrder="0" shrinkToFit="0" wrapText="1"/>
    </xf>
    <xf borderId="26" fillId="3" fontId="1" numFmtId="0" xfId="0" applyAlignment="1" applyBorder="1" applyFont="1">
      <alignment horizontal="left" readingOrder="0" shrinkToFit="0" vertical="bottom" wrapText="1"/>
    </xf>
    <xf borderId="0" fillId="0" fontId="13" numFmtId="0" xfId="0" applyAlignment="1" applyFont="1">
      <alignment horizontal="left" readingOrder="0" shrinkToFit="0" vertical="bottom" wrapText="1"/>
    </xf>
    <xf borderId="0" fillId="0" fontId="13" numFmtId="0" xfId="0" applyAlignment="1" applyFont="1">
      <alignment horizontal="left" shrinkToFit="0" vertical="bottom" wrapText="1"/>
    </xf>
    <xf borderId="0" fillId="4" fontId="13" numFmtId="0" xfId="0" applyAlignment="1" applyFont="1">
      <alignment horizontal="left" shrinkToFit="0" vertical="bottom" wrapText="1"/>
    </xf>
    <xf borderId="26" fillId="3" fontId="1" numFmtId="0" xfId="0" applyAlignment="1" applyBorder="1" applyFont="1">
      <alignment horizontal="center" shrinkToFit="0" vertical="bottom" wrapText="1"/>
    </xf>
    <xf borderId="26" fillId="3" fontId="1" numFmtId="0" xfId="0" applyAlignment="1" applyBorder="1" applyFont="1">
      <alignment horizontal="left" shrinkToFit="0" vertical="bottom" wrapText="1"/>
    </xf>
    <xf borderId="3" fillId="3" fontId="3" numFmtId="0" xfId="0" applyAlignment="1" applyBorder="1" applyFont="1">
      <alignment horizontal="right" shrinkToFit="0" vertical="bottom" wrapText="1"/>
    </xf>
    <xf borderId="27" fillId="3" fontId="25" numFmtId="0" xfId="0" applyAlignment="1" applyBorder="1" applyFont="1">
      <alignment horizontal="center" shrinkToFit="0" vertical="bottom" wrapText="1"/>
    </xf>
    <xf borderId="27" fillId="0" fontId="1" numFmtId="0" xfId="0" applyAlignment="1" applyBorder="1" applyFont="1">
      <alignment readingOrder="0" shrinkToFit="0" wrapText="1"/>
    </xf>
    <xf borderId="27" fillId="0" fontId="23" numFmtId="0" xfId="0" applyAlignment="1" applyBorder="1" applyFont="1">
      <alignment horizontal="center" shrinkToFit="0" vertical="bottom" wrapText="1"/>
    </xf>
    <xf borderId="0" fillId="4" fontId="1" numFmtId="0" xfId="0" applyAlignment="1" applyFont="1">
      <alignment readingOrder="0" shrinkToFit="0" wrapText="1"/>
    </xf>
    <xf borderId="0" fillId="4" fontId="23" numFmtId="0" xfId="0" applyAlignment="1" applyFont="1">
      <alignment horizontal="center" shrinkToFit="0" vertical="bottom" wrapText="1"/>
    </xf>
    <xf borderId="0" fillId="0" fontId="1" numFmtId="0" xfId="0" applyAlignment="1" applyFont="1">
      <alignment readingOrder="0" shrinkToFit="0" wrapText="1"/>
    </xf>
    <xf borderId="0" fillId="0" fontId="23" numFmtId="0" xfId="0" applyAlignment="1" applyFont="1">
      <alignment horizontal="center" shrinkToFit="0" vertical="bottom" wrapText="1"/>
    </xf>
    <xf borderId="0" fillId="3" fontId="23" numFmtId="0" xfId="0" applyAlignment="1" applyFont="1">
      <alignment horizontal="center" shrinkToFit="0" vertical="bottom" wrapText="1"/>
    </xf>
    <xf borderId="26" fillId="4" fontId="12" numFmtId="14" xfId="0" applyAlignment="1" applyBorder="1" applyFont="1" applyNumberFormat="1">
      <alignment horizontal="left" readingOrder="0" shrinkToFit="0" vertical="bottom" wrapText="1"/>
    </xf>
    <xf borderId="26" fillId="4" fontId="1" numFmtId="0" xfId="0" applyAlignment="1" applyBorder="1" applyFont="1">
      <alignment horizontal="center" shrinkToFit="0" vertical="bottom" wrapText="1"/>
    </xf>
    <xf borderId="26" fillId="4" fontId="23" numFmtId="0" xfId="0" applyAlignment="1" applyBorder="1" applyFont="1">
      <alignment horizontal="center" shrinkToFit="0" vertical="bottom" wrapText="1"/>
    </xf>
    <xf borderId="26" fillId="4" fontId="1" numFmtId="0" xfId="0" applyAlignment="1" applyBorder="1" applyFont="1">
      <alignment horizontal="left" shrinkToFit="0" vertical="bottom" wrapText="1"/>
    </xf>
    <xf borderId="27" fillId="3" fontId="12" numFmtId="14" xfId="0" applyAlignment="1" applyBorder="1" applyFont="1" applyNumberFormat="1">
      <alignment horizontal="left" readingOrder="0" shrinkToFit="0" vertical="bottom" wrapText="1"/>
    </xf>
    <xf borderId="27" fillId="3" fontId="1" numFmtId="0" xfId="0" applyAlignment="1" applyBorder="1" applyFont="1">
      <alignment horizontal="center" readingOrder="0" shrinkToFit="0" vertical="bottom" wrapText="1"/>
    </xf>
    <xf borderId="27" fillId="3" fontId="1" numFmtId="0" xfId="0" applyAlignment="1" applyBorder="1" applyFont="1">
      <alignment horizontal="left" readingOrder="0" shrinkToFit="0" vertical="bottom" wrapText="1"/>
    </xf>
    <xf borderId="27" fillId="3" fontId="1" numFmtId="0" xfId="0" applyAlignment="1" applyBorder="1" applyFont="1">
      <alignment horizontal="left" readingOrder="0" shrinkToFit="0" vertical="bottom" wrapText="1"/>
    </xf>
    <xf borderId="27" fillId="3" fontId="1" numFmtId="0" xfId="0" applyAlignment="1" applyBorder="1" applyFont="1">
      <alignment horizontal="left" shrinkToFit="0" vertical="bottom" wrapText="1"/>
    </xf>
    <xf borderId="0" fillId="4" fontId="13" numFmtId="0" xfId="0" applyAlignment="1" applyFont="1">
      <alignment horizontal="center" readingOrder="0" shrinkToFit="0" vertical="bottom" wrapText="1"/>
    </xf>
    <xf borderId="0" fillId="3" fontId="13" numFmtId="0" xfId="0" applyAlignment="1" applyFont="1">
      <alignment horizontal="center" readingOrder="0" shrinkToFit="0" vertical="bottom" wrapText="1"/>
    </xf>
    <xf borderId="0" fillId="3" fontId="12" numFmtId="0" xfId="0" applyAlignment="1" applyFont="1">
      <alignment horizontal="center" shrinkToFit="0" vertical="bottom" wrapText="1"/>
    </xf>
    <xf borderId="26" fillId="3" fontId="16" numFmtId="14" xfId="0" applyAlignment="1" applyBorder="1" applyFont="1" applyNumberFormat="1">
      <alignment horizontal="left" readingOrder="0" shrinkToFit="0" vertical="bottom" wrapText="1"/>
    </xf>
    <xf borderId="26" fillId="3" fontId="13" numFmtId="0" xfId="0" applyAlignment="1" applyBorder="1" applyFont="1">
      <alignment horizontal="center" shrinkToFit="0" vertical="bottom" wrapText="1"/>
    </xf>
    <xf borderId="26" fillId="3" fontId="13" numFmtId="0" xfId="0" applyAlignment="1" applyBorder="1" applyFont="1">
      <alignment horizontal="left" readingOrder="0" shrinkToFit="0" vertical="bottom" wrapText="1"/>
    </xf>
    <xf borderId="26" fillId="3" fontId="13" numFmtId="0" xfId="0" applyAlignment="1" applyBorder="1" applyFont="1">
      <alignment horizontal="center" readingOrder="0" shrinkToFit="0" vertical="bottom" wrapText="1"/>
    </xf>
    <xf borderId="26" fillId="0" fontId="12" numFmtId="14" xfId="0" applyAlignment="1" applyBorder="1" applyFont="1" applyNumberFormat="1">
      <alignment horizontal="left" readingOrder="0" shrinkToFit="0" vertical="bottom" wrapText="1"/>
    </xf>
    <xf borderId="26" fillId="0" fontId="26" numFmtId="0" xfId="0" applyAlignment="1" applyBorder="1" applyFont="1">
      <alignment horizontal="center" shrinkToFit="0" vertical="bottom" wrapText="1"/>
    </xf>
    <xf borderId="26" fillId="0" fontId="1" numFmtId="0" xfId="0" applyAlignment="1" applyBorder="1" applyFont="1">
      <alignment horizontal="left" readingOrder="0" shrinkToFit="0" vertical="bottom" wrapText="1"/>
    </xf>
    <xf borderId="26" fillId="0" fontId="1" numFmtId="0" xfId="0" applyAlignment="1" applyBorder="1" applyFont="1">
      <alignment horizontal="center" readingOrder="0" shrinkToFit="0" vertical="bottom" wrapText="1"/>
    </xf>
    <xf borderId="26" fillId="0" fontId="1" numFmtId="0" xfId="0" applyAlignment="1" applyBorder="1" applyFont="1">
      <alignment horizontal="left" readingOrder="0" shrinkToFit="0" vertical="bottom" wrapText="1"/>
    </xf>
    <xf borderId="27" fillId="0" fontId="13" numFmtId="0" xfId="0" applyAlignment="1" applyBorder="1" applyFont="1">
      <alignment horizontal="center" shrinkToFit="0" vertical="bottom" wrapText="1"/>
    </xf>
    <xf borderId="0" fillId="0" fontId="1" numFmtId="0" xfId="0" applyAlignment="1" applyFont="1">
      <alignment horizontal="left" shrinkToFit="0" wrapText="1"/>
    </xf>
    <xf borderId="26" fillId="4" fontId="16" numFmtId="14" xfId="0" applyAlignment="1" applyBorder="1" applyFont="1" applyNumberFormat="1">
      <alignment horizontal="left" readingOrder="0" shrinkToFit="0" vertical="bottom" wrapText="1"/>
    </xf>
    <xf borderId="26" fillId="4" fontId="13" numFmtId="0" xfId="0" applyAlignment="1" applyBorder="1" applyFont="1">
      <alignment horizontal="center" readingOrder="0" shrinkToFit="0" vertical="bottom" wrapText="1"/>
    </xf>
    <xf borderId="26" fillId="4" fontId="13" numFmtId="0" xfId="0" applyAlignment="1" applyBorder="1" applyFont="1">
      <alignment horizontal="left" readingOrder="0" shrinkToFit="0" vertical="bottom" wrapText="1"/>
    </xf>
    <xf borderId="26" fillId="0" fontId="13" numFmtId="0" xfId="0" applyAlignment="1" applyBorder="1" applyFont="1">
      <alignment horizontal="center" shrinkToFit="0" vertical="bottom" wrapText="1"/>
    </xf>
    <xf borderId="3" fillId="0" fontId="16" numFmtId="0" xfId="0" applyAlignment="1" applyBorder="1" applyFont="1">
      <alignment horizontal="left" shrinkToFit="0" vertical="bottom" wrapText="1"/>
    </xf>
    <xf borderId="3" fillId="0" fontId="13" numFmtId="0" xfId="0" applyAlignment="1" applyBorder="1" applyFont="1">
      <alignment horizontal="left" shrinkToFit="0" vertical="bottom" wrapText="1"/>
    </xf>
    <xf borderId="3" fillId="0" fontId="13" numFmtId="0" xfId="0" applyAlignment="1" applyBorder="1" applyFont="1">
      <alignment horizontal="center" shrinkToFit="0" vertical="bottom" wrapText="1"/>
    </xf>
    <xf borderId="3" fillId="0" fontId="16" numFmtId="14" xfId="0" applyAlignment="1" applyBorder="1" applyFont="1" applyNumberFormat="1">
      <alignment horizontal="left" readingOrder="0" shrinkToFit="0" vertical="bottom" wrapText="1"/>
    </xf>
    <xf borderId="3" fillId="0" fontId="27" numFmtId="0" xfId="0" applyAlignment="1" applyBorder="1" applyFont="1">
      <alignment horizontal="center" shrinkToFit="0" vertical="bottom" wrapText="1"/>
    </xf>
    <xf borderId="3" fillId="0" fontId="13" numFmtId="0" xfId="0" applyAlignment="1" applyBorder="1" applyFont="1">
      <alignment horizontal="left" readingOrder="0" shrinkToFit="0" vertical="bottom" wrapText="1"/>
    </xf>
    <xf borderId="3" fillId="0" fontId="13" numFmtId="0" xfId="0" applyAlignment="1" applyBorder="1" applyFont="1">
      <alignment horizontal="center" readingOrder="0" shrinkToFit="0" vertical="bottom" wrapText="1"/>
    </xf>
    <xf borderId="3" fillId="0" fontId="1"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bottom" wrapText="1"/>
    </xf>
    <xf borderId="0" fillId="3" fontId="28" numFmtId="0" xfId="0" applyAlignment="1" applyFont="1">
      <alignment horizontal="center" shrinkToFit="0" vertical="bottom" wrapText="1"/>
    </xf>
    <xf borderId="26" fillId="4" fontId="13" numFmtId="0" xfId="0" applyAlignment="1" applyBorder="1" applyFont="1">
      <alignment horizontal="center" shrinkToFit="0" vertical="bottom" wrapText="1"/>
    </xf>
    <xf borderId="24" fillId="2" fontId="15" numFmtId="0" xfId="0" applyAlignment="1" applyBorder="1" applyFont="1">
      <alignment horizontal="center" shrinkToFit="0" vertical="bottom" wrapText="1"/>
    </xf>
    <xf borderId="0" fillId="0" fontId="29" numFmtId="0" xfId="0" applyAlignment="1" applyFont="1">
      <alignment horizontal="center" shrinkToFit="0" vertical="bottom" wrapText="1"/>
    </xf>
    <xf borderId="0" fillId="4" fontId="29" numFmtId="0" xfId="0" applyAlignment="1" applyFont="1">
      <alignment horizontal="center" shrinkToFit="0" vertical="bottom" wrapText="1"/>
    </xf>
    <xf borderId="0" fillId="3" fontId="30" numFmtId="0" xfId="0" applyAlignment="1" applyFont="1">
      <alignment horizontal="center" shrinkToFit="0" vertical="bottom" wrapText="1"/>
    </xf>
    <xf borderId="0" fillId="4" fontId="30" numFmtId="0" xfId="0" applyAlignment="1" applyFont="1">
      <alignment horizontal="center" shrinkToFit="0" vertical="bottom" wrapText="1"/>
    </xf>
    <xf borderId="0" fillId="0" fontId="30" numFmtId="0" xfId="0" applyAlignment="1" applyFont="1">
      <alignment horizontal="center" shrinkToFit="0" vertical="bottom" wrapText="1"/>
    </xf>
    <xf borderId="26" fillId="0" fontId="16" numFmtId="14" xfId="0" applyAlignment="1" applyBorder="1" applyFont="1" applyNumberFormat="1">
      <alignment horizontal="left" readingOrder="0" shrinkToFit="0" vertical="bottom" wrapText="1"/>
    </xf>
    <xf borderId="26" fillId="0" fontId="13" numFmtId="0" xfId="0" applyAlignment="1" applyBorder="1" applyFont="1">
      <alignment horizontal="left" readingOrder="0" shrinkToFit="0" vertical="bottom" wrapText="1"/>
    </xf>
    <xf borderId="26" fillId="0" fontId="13" numFmtId="0" xfId="0" applyAlignment="1" applyBorder="1" applyFont="1">
      <alignment horizontal="center" readingOrder="0" shrinkToFit="0" vertical="bottom" wrapText="1"/>
    </xf>
    <xf borderId="2" fillId="2" fontId="15" numFmtId="0" xfId="0" applyAlignment="1" applyBorder="1" applyFont="1">
      <alignment horizontal="center" shrinkToFit="0" vertical="bottom" wrapText="1"/>
    </xf>
    <xf borderId="4" fillId="2" fontId="15" numFmtId="0" xfId="0" applyAlignment="1" applyBorder="1" applyFont="1">
      <alignment horizontal="left" shrinkToFit="0" vertical="bottom" wrapText="1"/>
    </xf>
    <xf borderId="0" fillId="4" fontId="31" numFmtId="14" xfId="0" applyAlignment="1" applyFont="1" applyNumberFormat="1">
      <alignment horizontal="left" readingOrder="0" shrinkToFit="0" wrapText="1"/>
    </xf>
    <xf borderId="0" fillId="4" fontId="21" numFmtId="0" xfId="0" applyAlignment="1" applyFont="1">
      <alignment horizontal="center" readingOrder="0" shrinkToFit="0" wrapText="1"/>
    </xf>
    <xf borderId="26" fillId="0" fontId="1" numFmtId="0" xfId="0" applyAlignment="1" applyBorder="1" applyFont="1">
      <alignment shrinkToFit="0" wrapText="1"/>
    </xf>
    <xf borderId="1" fillId="2" fontId="15" numFmtId="0" xfId="0" applyAlignment="1" applyBorder="1" applyFont="1">
      <alignment shrinkToFit="0" wrapText="1"/>
    </xf>
    <xf borderId="1" fillId="2" fontId="3" numFmtId="0" xfId="0" applyAlignment="1" applyBorder="1" applyFont="1">
      <alignment horizontal="right" shrinkToFit="0" vertical="bottom" wrapText="1"/>
    </xf>
    <xf borderId="3" fillId="3" fontId="3" numFmtId="0" xfId="0" applyAlignment="1" applyBorder="1" applyFont="1">
      <alignment horizontal="center" shrinkToFit="0" vertical="bottom" wrapText="1"/>
    </xf>
    <xf borderId="27" fillId="3" fontId="1" numFmtId="0" xfId="0" applyAlignment="1" applyBorder="1" applyFont="1">
      <alignment horizontal="center" shrinkToFit="0" vertical="bottom" wrapText="1"/>
    </xf>
    <xf borderId="27" fillId="0" fontId="29" numFmtId="0" xfId="0" applyAlignment="1" applyBorder="1" applyFont="1">
      <alignment horizontal="center" shrinkToFit="0" vertical="bottom" wrapText="1"/>
    </xf>
    <xf borderId="24" fillId="2" fontId="3" numFmtId="0" xfId="0" applyAlignment="1" applyBorder="1" applyFont="1">
      <alignment horizontal="center" shrinkToFit="0" vertical="bottom" wrapText="1"/>
    </xf>
    <xf borderId="27" fillId="0" fontId="16" numFmtId="0" xfId="0" applyAlignment="1" applyBorder="1" applyFont="1">
      <alignment horizontal="center" readingOrder="0" shrinkToFit="0" vertical="bottom" wrapText="1"/>
    </xf>
    <xf borderId="24" fillId="2" fontId="3" numFmtId="0" xfId="0" applyAlignment="1" applyBorder="1" applyFont="1">
      <alignment horizontal="left" shrinkToFit="0" vertical="bottom" wrapText="1"/>
    </xf>
    <xf borderId="24" fillId="2" fontId="14" numFmtId="0" xfId="0" applyAlignment="1" applyBorder="1" applyFont="1">
      <alignment horizontal="center" shrinkToFit="0" vertical="bottom" wrapText="1"/>
    </xf>
    <xf borderId="24" fillId="2" fontId="15" numFmtId="0" xfId="0" applyAlignment="1" applyBorder="1" applyFont="1">
      <alignment horizontal="left" shrinkToFit="0" vertical="bottom" wrapText="1"/>
    </xf>
    <xf borderId="3" fillId="0" fontId="12" numFmtId="0" xfId="0" applyAlignment="1" applyBorder="1" applyFont="1">
      <alignment horizontal="center" shrinkToFit="0" vertical="bottom" wrapText="1"/>
    </xf>
    <xf borderId="27" fillId="3" fontId="14" numFmtId="0" xfId="0" applyAlignment="1" applyBorder="1" applyFont="1">
      <alignment horizontal="center" shrinkToFit="0" vertical="bottom" wrapText="1"/>
    </xf>
    <xf borderId="0" fillId="3" fontId="29" numFmtId="0" xfId="0" applyAlignment="1" applyFont="1">
      <alignment horizontal="center" shrinkToFit="0" vertical="bottom" wrapText="1"/>
    </xf>
    <xf borderId="1" fillId="2" fontId="13" numFmtId="0" xfId="0" applyAlignment="1" applyBorder="1" applyFont="1">
      <alignment horizontal="center" shrinkToFit="0" vertical="bottom" wrapText="1"/>
    </xf>
    <xf borderId="27" fillId="3" fontId="13" numFmtId="0" xfId="0" applyAlignment="1" applyBorder="1" applyFont="1">
      <alignment horizontal="center" readingOrder="0" shrinkToFit="0" vertical="bottom" wrapText="1"/>
    </xf>
    <xf borderId="27" fillId="3" fontId="13" numFmtId="0" xfId="0" applyAlignment="1" applyBorder="1" applyFont="1">
      <alignment horizontal="center" shrinkToFit="0" vertical="bottom" wrapText="1"/>
    </xf>
    <xf borderId="1" fillId="2" fontId="3" numFmtId="0" xfId="0" applyAlignment="1" applyBorder="1" applyFont="1">
      <alignment readingOrder="0" shrinkToFit="0" wrapText="1"/>
    </xf>
    <xf borderId="27" fillId="0" fontId="1" numFmtId="0" xfId="0" applyAlignment="1" applyBorder="1" applyFont="1">
      <alignment readingOrder="0" shrinkToFit="0" wrapText="1"/>
    </xf>
    <xf borderId="26" fillId="0" fontId="16" numFmtId="0" xfId="0" applyAlignment="1" applyBorder="1" applyFont="1">
      <alignment horizontal="center" readingOrder="0" shrinkToFit="0" vertical="bottom" wrapText="1"/>
    </xf>
    <xf borderId="26" fillId="0" fontId="1" numFmtId="0" xfId="0" applyAlignment="1" applyBorder="1" applyFont="1">
      <alignment readingOrder="0" shrinkToFit="0" wrapText="1"/>
    </xf>
    <xf borderId="0" fillId="0" fontId="1" numFmtId="0" xfId="0" applyAlignment="1" applyFont="1">
      <alignment horizontal="left" readingOrder="0" shrinkToFit="0" wrapText="1"/>
    </xf>
    <xf borderId="0" fillId="4" fontId="1" numFmtId="0" xfId="0" applyAlignment="1" applyFont="1">
      <alignment horizontal="left" readingOrder="0" shrinkToFit="0" wrapText="1"/>
    </xf>
    <xf borderId="0" fillId="4" fontId="1" numFmtId="0" xfId="0" applyAlignment="1" applyFont="1">
      <alignment shrinkToFit="0" wrapText="1"/>
    </xf>
    <xf borderId="2" fillId="2" fontId="3" numFmtId="0" xfId="0" applyAlignment="1" applyBorder="1" applyFont="1">
      <alignment horizontal="center" readingOrder="0" shrinkToFit="0" vertical="bottom" wrapText="1"/>
    </xf>
    <xf borderId="27" fillId="2" fontId="3" numFmtId="0" xfId="0" applyAlignment="1" applyBorder="1" applyFont="1">
      <alignment horizontal="center" readingOrder="0" shrinkToFit="0" vertical="bottom" wrapText="1"/>
    </xf>
    <xf borderId="17" fillId="2" fontId="3" numFmtId="0" xfId="0" applyAlignment="1" applyBorder="1" applyFont="1">
      <alignment horizontal="center" readingOrder="0" shrinkToFit="0" vertical="bottom" wrapText="1"/>
    </xf>
    <xf borderId="1" fillId="2" fontId="3" numFmtId="0" xfId="0" applyAlignment="1" applyBorder="1" applyFont="1">
      <alignment readingOrder="0" shrinkToFit="0" wrapText="1"/>
    </xf>
    <xf borderId="27" fillId="0" fontId="1" numFmtId="0" xfId="0" applyAlignment="1" applyBorder="1" applyFont="1">
      <alignment shrinkToFit="0" wrapText="1"/>
    </xf>
    <xf borderId="0" fillId="4" fontId="1" numFmtId="0" xfId="0" applyAlignment="1" applyFont="1">
      <alignment readingOrder="0" shrinkToFit="0" wrapText="1"/>
    </xf>
    <xf borderId="26" fillId="0" fontId="1" numFmtId="0" xfId="0" applyAlignment="1" applyBorder="1" applyFont="1">
      <alignment readingOrder="0" shrinkToFit="0" wrapText="1"/>
    </xf>
    <xf borderId="1" fillId="2" fontId="3" numFmtId="0" xfId="0" applyAlignment="1" applyBorder="1" applyFont="1">
      <alignment shrinkToFit="0" wrapText="1"/>
    </xf>
    <xf borderId="0" fillId="0" fontId="1" numFmtId="0" xfId="0" applyAlignment="1" applyFont="1">
      <alignment readingOrder="0" shrinkToFit="0" wrapText="1"/>
    </xf>
    <xf borderId="0" fillId="0" fontId="12" numFmtId="0" xfId="0" applyAlignment="1" applyFont="1">
      <alignment horizontal="center" shrinkToFit="0" vertical="bottom" wrapText="1"/>
    </xf>
    <xf borderId="0" fillId="3" fontId="1" numFmtId="0" xfId="0" applyAlignment="1" applyFont="1">
      <alignment readingOrder="0" shrinkToFit="0" wrapText="1"/>
    </xf>
    <xf borderId="0" fillId="3" fontId="1" numFmtId="0" xfId="0" applyAlignment="1" applyFont="1">
      <alignment readingOrder="0" shrinkToFit="0" wrapText="1"/>
    </xf>
    <xf borderId="0" fillId="3" fontId="1" numFmtId="0" xfId="0" applyAlignment="1" applyFont="1">
      <alignment shrinkToFit="0" wrapText="1"/>
    </xf>
    <xf borderId="26" fillId="4" fontId="1" numFmtId="0" xfId="0" applyAlignment="1" applyBorder="1" applyFont="1">
      <alignment readingOrder="0" shrinkToFit="0" wrapText="1"/>
    </xf>
    <xf borderId="26" fillId="4" fontId="1" numFmtId="0" xfId="0" applyAlignment="1" applyBorder="1" applyFont="1">
      <alignment shrinkToFit="0" wrapText="1"/>
    </xf>
    <xf borderId="6" fillId="2" fontId="3" numFmtId="0" xfId="0" applyAlignment="1" applyBorder="1" applyFont="1">
      <alignment horizontal="left" shrinkToFit="0" vertical="bottom" wrapText="1"/>
    </xf>
    <xf borderId="6" fillId="2" fontId="15" numFmtId="0" xfId="0" applyAlignment="1" applyBorder="1" applyFont="1">
      <alignment horizontal="center" shrinkToFit="0" vertical="bottom" wrapText="1"/>
    </xf>
    <xf borderId="6" fillId="2" fontId="14" numFmtId="0" xfId="0" applyAlignment="1" applyBorder="1" applyFont="1">
      <alignment horizontal="center" shrinkToFit="0" vertical="bottom" wrapText="1"/>
    </xf>
    <xf borderId="6" fillId="2" fontId="3" numFmtId="0" xfId="0" applyAlignment="1" applyBorder="1" applyFont="1">
      <alignment readingOrder="0" shrinkToFit="0" wrapText="1"/>
    </xf>
    <xf borderId="6" fillId="2" fontId="15" numFmtId="0" xfId="0" applyAlignment="1" applyBorder="1" applyFont="1">
      <alignment shrinkToFit="0" wrapText="1"/>
    </xf>
    <xf borderId="6" fillId="2" fontId="3" numFmtId="0" xfId="0" applyAlignment="1" applyBorder="1" applyFont="1">
      <alignment horizontal="center" shrinkToFit="0" vertical="bottom" wrapText="1"/>
    </xf>
    <xf borderId="26" fillId="4" fontId="1" numFmtId="0" xfId="0" applyAlignment="1" applyBorder="1" applyFont="1">
      <alignment readingOrder="0" shrinkToFit="0" wrapText="1"/>
    </xf>
    <xf borderId="27" fillId="3" fontId="16" numFmtId="14" xfId="0" applyAlignment="1" applyBorder="1" applyFont="1" applyNumberFormat="1">
      <alignment horizontal="left" readingOrder="0" shrinkToFit="0" vertical="bottom" wrapText="1"/>
    </xf>
    <xf borderId="27" fillId="3" fontId="13" numFmtId="0" xfId="0" applyAlignment="1" applyBorder="1" applyFont="1">
      <alignment readingOrder="0" shrinkToFit="0" wrapText="1"/>
    </xf>
    <xf borderId="27" fillId="3" fontId="13" numFmtId="0" xfId="0" applyAlignment="1" applyBorder="1" applyFont="1">
      <alignment readingOrder="0" shrinkToFit="0" wrapText="1"/>
    </xf>
    <xf borderId="27" fillId="3" fontId="13" numFmtId="0" xfId="0" applyAlignment="1" applyBorder="1" applyFont="1">
      <alignment shrinkToFit="0" wrapText="1"/>
    </xf>
    <xf borderId="0" fillId="4" fontId="13" numFmtId="0" xfId="0" applyAlignment="1" applyFont="1">
      <alignment readingOrder="0" shrinkToFit="0" wrapText="1"/>
    </xf>
    <xf borderId="0" fillId="4" fontId="13" numFmtId="0" xfId="0" applyAlignment="1" applyFont="1">
      <alignment readingOrder="0" shrinkToFit="0" wrapText="1"/>
    </xf>
    <xf borderId="0" fillId="4" fontId="13" numFmtId="0" xfId="0" applyAlignment="1" applyFont="1">
      <alignment shrinkToFit="0" wrapText="1"/>
    </xf>
    <xf borderId="0" fillId="3" fontId="13" numFmtId="0" xfId="0" applyAlignment="1" applyFont="1">
      <alignment readingOrder="0" shrinkToFit="0" wrapText="1"/>
    </xf>
    <xf borderId="0" fillId="3" fontId="13" numFmtId="0" xfId="0" applyAlignment="1" applyFont="1">
      <alignment readingOrder="0" shrinkToFit="0" wrapText="1"/>
    </xf>
    <xf borderId="0" fillId="3" fontId="13" numFmtId="0" xfId="0" applyAlignment="1" applyFont="1">
      <alignment shrinkToFit="0" wrapText="1"/>
    </xf>
    <xf borderId="26" fillId="0" fontId="14" numFmtId="0" xfId="0" applyAlignment="1" applyBorder="1" applyFont="1">
      <alignment horizontal="center" shrinkToFit="0" vertical="bottom" wrapText="1"/>
    </xf>
    <xf borderId="3" fillId="0" fontId="23" numFmtId="0" xfId="0" applyAlignment="1" applyBorder="1" applyFont="1">
      <alignment horizontal="center" shrinkToFit="0" vertical="bottom" wrapText="1"/>
    </xf>
    <xf borderId="0" fillId="4" fontId="15" numFmtId="0" xfId="0" applyAlignment="1" applyFont="1">
      <alignment shrinkToFit="0" wrapText="1"/>
    </xf>
    <xf borderId="1" fillId="2" fontId="16" numFmtId="0" xfId="0" applyAlignment="1" applyBorder="1" applyFont="1">
      <alignment horizontal="center" shrinkToFit="0" vertical="bottom" wrapText="1"/>
    </xf>
    <xf borderId="3" fillId="0" fontId="12" numFmtId="14" xfId="0" applyAlignment="1" applyBorder="1" applyFont="1" applyNumberFormat="1">
      <alignment horizontal="left" readingOrder="0" shrinkToFit="0" vertical="bottom" wrapText="1"/>
    </xf>
    <xf borderId="3" fillId="0" fontId="1" numFmtId="0" xfId="0" applyAlignment="1" applyBorder="1" applyFont="1">
      <alignment readingOrder="0" shrinkToFit="0" wrapText="1"/>
    </xf>
    <xf borderId="3" fillId="0" fontId="1" numFmtId="0" xfId="0" applyAlignment="1" applyBorder="1" applyFont="1">
      <alignment horizontal="center" readingOrder="0" shrinkToFit="0" vertical="bottom" wrapText="1"/>
    </xf>
    <xf borderId="3" fillId="0" fontId="1" numFmtId="0" xfId="0" applyAlignment="1" applyBorder="1" applyFont="1">
      <alignment readingOrder="0" shrinkToFit="0" wrapText="1"/>
    </xf>
    <xf borderId="3" fillId="3" fontId="12" numFmtId="14" xfId="0" applyAlignment="1" applyBorder="1" applyFont="1" applyNumberFormat="1">
      <alignment horizontal="left" readingOrder="0" shrinkToFit="0" vertical="bottom" wrapText="1"/>
    </xf>
    <xf borderId="3" fillId="3" fontId="32" numFmtId="0" xfId="0" applyAlignment="1" applyBorder="1" applyFont="1">
      <alignment horizontal="center" shrinkToFit="0" vertical="bottom" wrapText="1"/>
    </xf>
    <xf borderId="3" fillId="3" fontId="1" numFmtId="0" xfId="0" applyAlignment="1" applyBorder="1" applyFont="1">
      <alignment readingOrder="0" shrinkToFit="0" wrapText="1"/>
    </xf>
    <xf borderId="3" fillId="3" fontId="1" numFmtId="0" xfId="0" applyAlignment="1" applyBorder="1" applyFont="1">
      <alignment horizontal="center" readingOrder="0" shrinkToFit="0" vertical="bottom" wrapText="1"/>
    </xf>
    <xf borderId="3" fillId="3" fontId="1" numFmtId="0" xfId="0" applyAlignment="1" applyBorder="1" applyFont="1">
      <alignment readingOrder="0" shrinkToFit="0" wrapText="1"/>
    </xf>
    <xf borderId="27" fillId="3" fontId="1" numFmtId="0" xfId="0" applyAlignment="1" applyBorder="1" applyFont="1">
      <alignment readingOrder="0" shrinkToFit="0" wrapText="1"/>
    </xf>
    <xf borderId="27" fillId="3" fontId="1" numFmtId="0" xfId="0" applyAlignment="1" applyBorder="1" applyFont="1">
      <alignment readingOrder="0" shrinkToFit="0" wrapText="1"/>
    </xf>
    <xf borderId="27" fillId="3" fontId="1" numFmtId="0" xfId="0" applyAlignment="1" applyBorder="1" applyFont="1">
      <alignment shrinkToFit="0" wrapText="1"/>
    </xf>
    <xf borderId="26" fillId="0" fontId="12" numFmtId="0" xfId="0" applyAlignment="1" applyBorder="1" applyFont="1">
      <alignment horizontal="left" readingOrder="0" shrinkToFit="0" vertical="bottom" wrapText="1"/>
    </xf>
    <xf borderId="0" fillId="4" fontId="15" numFmtId="0" xfId="0" applyAlignment="1" applyFont="1">
      <alignment horizontal="center" shrinkToFit="0" vertical="bottom" wrapText="1"/>
    </xf>
    <xf borderId="0" fillId="3" fontId="33" numFmtId="0" xfId="0" applyAlignment="1" applyFont="1">
      <alignment readingOrder="0" shrinkToFit="0" wrapText="1"/>
    </xf>
    <xf borderId="0" fillId="4" fontId="33" numFmtId="0" xfId="0" applyAlignment="1" applyFont="1">
      <alignment readingOrder="0" shrinkToFit="0" wrapText="1"/>
    </xf>
    <xf borderId="0" fillId="3" fontId="33" numFmtId="0" xfId="0" applyAlignment="1" applyFont="1">
      <alignment shrinkToFit="0" wrapText="1"/>
    </xf>
    <xf borderId="0" fillId="4" fontId="33" numFmtId="0" xfId="0" applyAlignment="1" applyFont="1">
      <alignment shrinkToFit="0" wrapText="1"/>
    </xf>
    <xf borderId="26" fillId="3" fontId="1" numFmtId="0" xfId="0" applyAlignment="1" applyBorder="1" applyFont="1">
      <alignment readingOrder="0" shrinkToFit="0" wrapText="1"/>
    </xf>
    <xf borderId="26" fillId="3" fontId="33" numFmtId="0" xfId="0" applyAlignment="1" applyBorder="1" applyFont="1">
      <alignment readingOrder="0" shrinkToFit="0" wrapText="1"/>
    </xf>
    <xf borderId="26" fillId="3" fontId="33" numFmtId="0" xfId="0" applyAlignment="1" applyBorder="1" applyFont="1">
      <alignment shrinkToFit="0" wrapText="1"/>
    </xf>
    <xf borderId="1" fillId="2" fontId="13" numFmtId="0" xfId="0" applyAlignment="1" applyBorder="1" applyFont="1">
      <alignment shrinkToFit="0" wrapText="1"/>
    </xf>
    <xf borderId="27" fillId="3" fontId="33" numFmtId="0" xfId="0" applyAlignment="1" applyBorder="1" applyFont="1">
      <alignment readingOrder="0" shrinkToFit="0" wrapText="1"/>
    </xf>
    <xf borderId="27" fillId="3" fontId="33" numFmtId="0" xfId="0" applyAlignment="1" applyBorder="1" applyFont="1">
      <alignment shrinkToFit="0" wrapText="1"/>
    </xf>
    <xf borderId="26" fillId="3" fontId="1" numFmtId="0" xfId="0" applyAlignment="1" applyBorder="1" applyFont="1">
      <alignment readingOrder="0" shrinkToFit="0" wrapText="1"/>
    </xf>
    <xf borderId="26" fillId="4" fontId="33" numFmtId="0" xfId="0" applyAlignment="1" applyBorder="1" applyFont="1">
      <alignment readingOrder="0" shrinkToFit="0" wrapText="1"/>
    </xf>
    <xf borderId="3" fillId="3" fontId="1" numFmtId="0" xfId="0" applyAlignment="1" applyBorder="1" applyFont="1">
      <alignment shrinkToFit="0" wrapText="1"/>
    </xf>
    <xf borderId="27" fillId="0" fontId="12" numFmtId="0" xfId="0" applyAlignment="1" applyBorder="1" applyFont="1">
      <alignment horizontal="left" shrinkToFit="0" vertical="bottom" wrapText="1"/>
    </xf>
    <xf borderId="0" fillId="3" fontId="12" numFmtId="14" xfId="0" applyAlignment="1" applyFont="1" applyNumberFormat="1">
      <alignment horizontal="left" shrinkToFit="0" wrapText="1"/>
    </xf>
    <xf borderId="0" fillId="0" fontId="34" numFmtId="0" xfId="0" applyAlignment="1" applyFont="1">
      <alignment readingOrder="0" shrinkToFit="0" wrapText="1"/>
    </xf>
    <xf borderId="0" fillId="4" fontId="12" numFmtId="14" xfId="0" applyAlignment="1" applyFont="1" applyNumberFormat="1">
      <alignment horizontal="left" shrinkToFit="0" wrapText="1"/>
    </xf>
    <xf borderId="0" fillId="4" fontId="34" numFmtId="0" xfId="0" applyAlignment="1" applyFont="1">
      <alignment readingOrder="0" shrinkToFit="0" wrapText="1"/>
    </xf>
    <xf borderId="0" fillId="0" fontId="12" numFmtId="14" xfId="0" applyAlignment="1" applyFont="1" applyNumberFormat="1">
      <alignment horizontal="left" shrinkToFit="0" wrapText="1"/>
    </xf>
    <xf borderId="0" fillId="4" fontId="12" numFmtId="14" xfId="0" applyAlignment="1" applyFont="1" applyNumberFormat="1">
      <alignment horizontal="left" readingOrder="0" shrinkToFit="0" wrapText="1"/>
    </xf>
    <xf borderId="0" fillId="3" fontId="34" numFmtId="0" xfId="0" applyAlignment="1" applyFont="1">
      <alignment readingOrder="0" shrinkToFit="0" wrapText="1"/>
    </xf>
    <xf borderId="0" fillId="3" fontId="12" numFmtId="14" xfId="0" applyAlignment="1" applyFont="1" applyNumberFormat="1">
      <alignment horizontal="left" readingOrder="0" shrinkToFit="0" wrapText="1"/>
    </xf>
    <xf borderId="0" fillId="3" fontId="15" numFmtId="0" xfId="0" applyAlignment="1" applyFont="1">
      <alignment horizontal="center" shrinkToFit="0" vertical="bottom" wrapText="1"/>
    </xf>
    <xf borderId="0" fillId="3" fontId="15" numFmtId="0" xfId="0" applyAlignment="1" applyFont="1">
      <alignment shrinkToFit="0" wrapText="1"/>
    </xf>
    <xf borderId="0" fillId="4" fontId="16" numFmtId="14" xfId="0" applyAlignment="1" applyFont="1" applyNumberFormat="1">
      <alignment horizontal="left" readingOrder="0" shrinkToFit="0" wrapText="1"/>
    </xf>
    <xf borderId="0" fillId="3" fontId="16" numFmtId="14" xfId="0" applyAlignment="1" applyFont="1" applyNumberFormat="1">
      <alignment horizontal="left" readingOrder="0" shrinkToFit="0" wrapText="1"/>
    </xf>
    <xf borderId="1" fillId="2" fontId="12" numFmtId="0" xfId="0" applyAlignment="1" applyBorder="1" applyFont="1">
      <alignment horizontal="center" shrinkToFit="0" vertical="bottom" wrapText="1"/>
    </xf>
    <xf borderId="0" fillId="5" fontId="16" numFmtId="14" xfId="0" applyAlignment="1" applyFill="1" applyFont="1" applyNumberFormat="1">
      <alignment horizontal="left" readingOrder="0" shrinkToFit="0" wrapText="1"/>
    </xf>
    <xf borderId="0" fillId="5" fontId="13" numFmtId="0" xfId="0" applyAlignment="1" applyFont="1">
      <alignment horizontal="center" shrinkToFit="0" vertical="bottom" wrapText="1"/>
    </xf>
    <xf borderId="0" fillId="5" fontId="35" numFmtId="0" xfId="0" applyAlignment="1" applyFont="1">
      <alignment horizontal="center" shrinkToFit="0" vertical="bottom" wrapText="1"/>
    </xf>
    <xf borderId="0" fillId="5" fontId="13" numFmtId="0" xfId="0" applyAlignment="1" applyFont="1">
      <alignment readingOrder="0" shrinkToFit="0" wrapText="1"/>
    </xf>
    <xf borderId="0" fillId="5" fontId="13" numFmtId="0" xfId="0" applyAlignment="1" applyFont="1">
      <alignment horizontal="center" readingOrder="0" shrinkToFit="0" vertical="bottom" wrapText="1"/>
    </xf>
    <xf borderId="0" fillId="5" fontId="13" numFmtId="0" xfId="0" applyAlignment="1" applyFont="1">
      <alignment shrinkToFit="0" wrapText="1"/>
    </xf>
    <xf borderId="26" fillId="0" fontId="13" numFmtId="0" xfId="0" applyAlignment="1" applyBorder="1" applyFont="1">
      <alignment horizontal="left" shrinkToFit="0" vertical="bottom" wrapText="1"/>
    </xf>
    <xf borderId="26" fillId="0" fontId="36" numFmtId="0" xfId="0" applyAlignment="1" applyBorder="1" applyFont="1">
      <alignment horizontal="center" shrinkToFit="0" vertical="bottom" wrapText="1"/>
    </xf>
    <xf borderId="26" fillId="0" fontId="14" numFmtId="0" xfId="0" applyAlignment="1" applyBorder="1" applyFont="1">
      <alignment shrinkToFit="0" wrapText="1"/>
    </xf>
    <xf borderId="27" fillId="0" fontId="13" numFmtId="0" xfId="0" applyAlignment="1" applyBorder="1" applyFont="1">
      <alignment horizontal="left" shrinkToFit="0" vertical="bottom" wrapText="1"/>
    </xf>
    <xf borderId="27" fillId="0" fontId="37" numFmtId="0" xfId="0" applyAlignment="1" applyBorder="1" applyFont="1">
      <alignment horizontal="center" shrinkToFit="0" vertical="bottom" wrapText="1"/>
    </xf>
    <xf borderId="27" fillId="0" fontId="14" numFmtId="0" xfId="0" applyAlignment="1" applyBorder="1" applyFont="1">
      <alignment shrinkToFit="0" wrapText="1"/>
    </xf>
    <xf borderId="0" fillId="6" fontId="3" numFmtId="0" xfId="0" applyAlignment="1" applyFill="1" applyFont="1">
      <alignment horizontal="left" shrinkToFit="0" vertical="bottom" wrapText="1"/>
    </xf>
    <xf borderId="0" fillId="6" fontId="3" numFmtId="0" xfId="0" applyAlignment="1" applyFont="1">
      <alignment horizontal="center" shrinkToFit="0" vertical="bottom" wrapText="1"/>
    </xf>
    <xf borderId="0" fillId="6" fontId="38" numFmtId="0" xfId="0" applyAlignment="1" applyFont="1">
      <alignment horizontal="center" shrinkToFit="0" vertical="bottom" wrapText="1"/>
    </xf>
    <xf borderId="0" fillId="6" fontId="3" numFmtId="0" xfId="0" applyAlignment="1" applyFont="1">
      <alignment horizontal="left" readingOrder="0" shrinkToFit="0" vertical="bottom" wrapText="1"/>
    </xf>
    <xf borderId="0" fillId="6" fontId="15" numFmtId="0" xfId="0" applyAlignment="1" applyFont="1">
      <alignment horizontal="center" shrinkToFit="0" vertical="bottom" wrapText="1"/>
    </xf>
    <xf borderId="0" fillId="6" fontId="15" numFmtId="0" xfId="0" applyAlignment="1" applyFont="1">
      <alignment horizontal="left" shrinkToFit="0" vertical="bottom" wrapText="1"/>
    </xf>
    <xf borderId="0" fillId="6" fontId="3" numFmtId="0" xfId="0" applyAlignment="1" applyFont="1">
      <alignment readingOrder="0" shrinkToFit="0" wrapText="1"/>
    </xf>
    <xf borderId="0" fillId="6" fontId="3" numFmtId="0" xfId="0" applyAlignment="1" applyFont="1">
      <alignment shrinkToFit="0" wrapText="1"/>
    </xf>
    <xf borderId="0" fillId="6" fontId="14" numFmtId="0" xfId="0" applyAlignment="1" applyFont="1">
      <alignment horizontal="center" shrinkToFit="0" vertical="bottom" wrapText="1"/>
    </xf>
    <xf borderId="0" fillId="0" fontId="12" numFmtId="0" xfId="0" applyAlignment="1" applyFont="1">
      <alignment horizontal="center" shrinkToFit="0" vertical="bottom" wrapText="1"/>
    </xf>
    <xf borderId="0" fillId="4" fontId="12" numFmtId="0" xfId="0" applyAlignment="1" applyFont="1">
      <alignment horizontal="center" shrinkToFit="0" vertical="bottom" wrapText="1"/>
    </xf>
    <xf borderId="0" fillId="0" fontId="39" numFmtId="0" xfId="0" applyAlignment="1" applyFont="1">
      <alignment horizontal="center" readingOrder="0" shrinkToFit="0" vertical="bottom" wrapText="1"/>
    </xf>
    <xf borderId="0" fillId="6" fontId="40"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6" fontId="16" numFmtId="0" xfId="0" applyAlignment="1" applyFont="1">
      <alignment horizontal="left" shrinkToFit="0" vertical="bottom" wrapText="1"/>
    </xf>
    <xf borderId="0" fillId="6" fontId="13" numFmtId="0" xfId="0" applyAlignment="1" applyFont="1">
      <alignment horizontal="center" shrinkToFit="0" vertical="bottom" wrapText="1"/>
    </xf>
    <xf borderId="0" fillId="6" fontId="41" numFmtId="0" xfId="0" applyAlignment="1" applyFont="1">
      <alignment horizontal="center" shrinkToFit="0" vertical="bottom" wrapText="1"/>
    </xf>
    <xf borderId="0" fillId="6" fontId="13" numFmtId="0" xfId="0" applyAlignment="1" applyFont="1">
      <alignment horizontal="left" shrinkToFit="0" vertical="bottom" wrapText="1"/>
    </xf>
    <xf borderId="0" fillId="3" fontId="16" numFmtId="164" xfId="0" applyAlignment="1" applyFont="1" applyNumberFormat="1">
      <alignment horizontal="left" readingOrder="0" shrinkToFit="0" vertical="bottom" wrapText="1"/>
    </xf>
    <xf borderId="0" fillId="3" fontId="14" numFmtId="0" xfId="0" applyAlignment="1" applyFont="1">
      <alignment horizontal="center" readingOrder="0" shrinkToFit="0" vertical="bottom" wrapText="1"/>
    </xf>
    <xf borderId="0" fillId="6" fontId="3" numFmtId="0" xfId="0" applyAlignment="1" applyFont="1">
      <alignment horizontal="left" readingOrder="0" shrinkToFit="0" vertical="bottom" wrapText="1"/>
    </xf>
    <xf borderId="0" fillId="6" fontId="15" numFmtId="0" xfId="0" applyAlignment="1" applyFont="1">
      <alignment horizontal="center" readingOrder="0" shrinkToFit="0" vertical="bottom" wrapText="1"/>
    </xf>
    <xf borderId="0" fillId="4" fontId="42" numFmtId="0" xfId="0" applyAlignment="1" applyFont="1">
      <alignment horizontal="left" readingOrder="0" shrinkToFit="0" vertical="bottom" wrapText="1"/>
    </xf>
    <xf borderId="0" fillId="0" fontId="12" numFmtId="0" xfId="0" applyAlignment="1" applyFont="1">
      <alignment horizontal="left" shrinkToFit="0" vertical="bottom" wrapText="1"/>
    </xf>
    <xf borderId="0" fillId="2" fontId="3" numFmtId="0" xfId="0" applyAlignment="1" applyFont="1">
      <alignment horizontal="left" readingOrder="0" shrinkToFit="0" vertical="bottom" wrapText="1"/>
    </xf>
    <xf borderId="0" fillId="2" fontId="3" numFmtId="0" xfId="0" applyAlignment="1" applyFont="1">
      <alignment horizontal="center" readingOrder="0" shrinkToFit="0" vertical="bottom" wrapText="1"/>
    </xf>
    <xf borderId="0" fillId="2" fontId="3" numFmtId="0" xfId="0" applyAlignment="1" applyFont="1">
      <alignment readingOrder="0" shrinkToFit="0" wrapText="1"/>
    </xf>
    <xf borderId="0" fillId="0" fontId="12" numFmtId="0" xfId="0" applyAlignment="1" applyFont="1">
      <alignment horizontal="left" readingOrder="0" shrinkToFit="0" vertical="bottom" wrapText="1"/>
    </xf>
    <xf borderId="0" fillId="4" fontId="43" numFmtId="0" xfId="0" applyAlignment="1" applyFont="1">
      <alignment horizontal="center" readingOrder="0" shrinkToFit="0" vertical="bottom" wrapText="1"/>
    </xf>
    <xf borderId="0" fillId="3" fontId="12" numFmtId="0" xfId="0" applyAlignment="1" applyFont="1">
      <alignment horizontal="center" shrinkToFit="0" vertical="bottom" wrapText="1"/>
    </xf>
    <xf borderId="0" fillId="6" fontId="12" numFmtId="0" xfId="0" applyAlignment="1" applyFont="1">
      <alignment horizontal="left" shrinkToFit="0" vertical="bottom" wrapText="1"/>
    </xf>
    <xf borderId="0" fillId="6" fontId="1" numFmtId="0" xfId="0" applyAlignment="1" applyFont="1">
      <alignment horizontal="center" shrinkToFit="0" vertical="bottom" wrapText="1"/>
    </xf>
    <xf borderId="0" fillId="6" fontId="1" numFmtId="0" xfId="0" applyAlignment="1" applyFont="1">
      <alignment horizontal="left" shrinkToFit="0" vertical="bottom" wrapText="1"/>
    </xf>
    <xf borderId="0" fillId="6" fontId="3" numFmtId="0" xfId="0" applyAlignment="1" applyFont="1">
      <alignment readingOrder="0" shrinkToFit="0" wrapText="1"/>
    </xf>
    <xf borderId="0" fillId="0" fontId="44" numFmtId="0" xfId="0" applyAlignment="1" applyFont="1">
      <alignment horizontal="center" shrinkToFit="0" vertical="bottom" wrapText="1"/>
    </xf>
    <xf borderId="0" fillId="5" fontId="12" numFmtId="14" xfId="0" applyAlignment="1" applyFont="1" applyNumberFormat="1">
      <alignment horizontal="left" readingOrder="0" shrinkToFit="0" vertical="bottom" wrapText="1"/>
    </xf>
    <xf borderId="0" fillId="5" fontId="1" numFmtId="0" xfId="0" applyAlignment="1" applyFont="1">
      <alignment horizontal="center" shrinkToFit="0" vertical="bottom" wrapText="1"/>
    </xf>
    <xf borderId="0" fillId="5" fontId="1" numFmtId="0" xfId="0" applyAlignment="1" applyFont="1">
      <alignment readingOrder="0" shrinkToFit="0" wrapText="1"/>
    </xf>
    <xf borderId="0" fillId="5" fontId="1" numFmtId="0" xfId="0" applyAlignment="1" applyFont="1">
      <alignment horizontal="center" readingOrder="0" shrinkToFit="0" vertical="bottom" wrapText="1"/>
    </xf>
    <xf borderId="0" fillId="5" fontId="14" numFmtId="0" xfId="0" applyAlignment="1" applyFont="1">
      <alignment horizontal="center" shrinkToFit="0" vertical="bottom" wrapText="1"/>
    </xf>
    <xf borderId="0" fillId="5" fontId="1" numFmtId="0" xfId="0" applyAlignment="1" applyFont="1">
      <alignment shrinkToFit="0" wrapText="1"/>
    </xf>
    <xf borderId="0" fillId="6" fontId="1" numFmtId="0" xfId="0" applyAlignment="1" applyFont="1">
      <alignment shrinkToFit="0" wrapText="1"/>
    </xf>
    <xf borderId="0" fillId="0" fontId="45" numFmtId="0" xfId="0" applyAlignment="1" applyFont="1">
      <alignment horizontal="center" readingOrder="0" shrinkToFit="0" vertical="bottom" wrapText="1"/>
    </xf>
    <xf borderId="0" fillId="4" fontId="46" numFmtId="0" xfId="0" applyAlignment="1" applyFont="1">
      <alignment horizontal="center" shrinkToFit="0" vertical="bottom" wrapText="1"/>
    </xf>
    <xf borderId="0" fillId="3" fontId="16" numFmtId="0" xfId="0" applyAlignment="1" applyFont="1">
      <alignment horizontal="center" readingOrder="0" shrinkToFit="0" vertical="bottom" wrapText="1"/>
    </xf>
    <xf borderId="0" fillId="4" fontId="47" numFmtId="0" xfId="0" applyAlignment="1" applyFont="1">
      <alignment horizontal="center" shrinkToFit="0" vertical="bottom" wrapText="1"/>
    </xf>
    <xf borderId="0" fillId="6" fontId="16" numFmtId="0" xfId="0" applyAlignment="1" applyFont="1">
      <alignment horizontal="center" shrinkToFit="0" vertical="bottom" wrapText="1"/>
    </xf>
    <xf borderId="0" fillId="0" fontId="12" numFmtId="0" xfId="0" applyAlignment="1" applyFont="1">
      <alignment horizontal="center" readingOrder="0" shrinkToFit="0" vertical="bottom" wrapText="1"/>
    </xf>
    <xf borderId="0" fillId="7" fontId="48" numFmtId="0" xfId="0" applyAlignment="1" applyFill="1" applyFont="1">
      <alignment horizontal="center" shrinkToFit="0" vertical="bottom" wrapText="1"/>
    </xf>
    <xf borderId="0" fillId="0" fontId="49" numFmtId="0" xfId="0" applyAlignment="1" applyFont="1">
      <alignment horizontal="center" readingOrder="0" shrinkToFit="0" vertical="bottom" wrapText="1"/>
    </xf>
    <xf borderId="0" fillId="0" fontId="13" numFmtId="0" xfId="0" applyAlignment="1" applyFont="1">
      <alignment readingOrder="0" shrinkToFit="0" wrapText="1"/>
    </xf>
    <xf borderId="0" fillId="3" fontId="16" numFmtId="0" xfId="0" applyAlignment="1" applyFont="1">
      <alignment horizontal="center" shrinkToFit="0" vertical="bottom" wrapText="1"/>
    </xf>
    <xf borderId="0" fillId="0" fontId="16" numFmtId="0" xfId="0" applyAlignment="1" applyFont="1">
      <alignment horizontal="center" readingOrder="0" shrinkToFit="0" vertical="bottom" wrapText="1"/>
    </xf>
    <xf borderId="0" fillId="4" fontId="12" numFmtId="0" xfId="0" applyAlignment="1" applyFont="1">
      <alignment horizontal="center" readingOrder="0" shrinkToFit="0" vertical="bottom" wrapText="1"/>
    </xf>
    <xf borderId="0" fillId="6" fontId="15" numFmtId="0" xfId="0" applyAlignment="1" applyFont="1">
      <alignment shrinkToFit="0" wrapText="1"/>
    </xf>
    <xf borderId="0" fillId="3" fontId="12" numFmtId="0" xfId="0" applyAlignment="1" applyFont="1">
      <alignment horizontal="center" readingOrder="0" shrinkToFit="0" vertical="bottom" wrapText="1"/>
    </xf>
    <xf borderId="0" fillId="4" fontId="16" numFmtId="0" xfId="0" applyAlignment="1" applyFont="1">
      <alignment horizontal="center" shrinkToFit="0" vertical="bottom" wrapText="1"/>
    </xf>
    <xf borderId="1" fillId="2" fontId="12" numFmtId="0" xfId="0" applyAlignment="1" applyBorder="1" applyFont="1">
      <alignment horizontal="left" shrinkToFit="0" vertical="bottom" wrapText="1"/>
    </xf>
    <xf borderId="1" fillId="2" fontId="1" numFmtId="0" xfId="0" applyAlignment="1" applyBorder="1" applyFont="1">
      <alignment horizontal="center" shrinkToFit="0" vertical="bottom" wrapText="1"/>
    </xf>
    <xf borderId="1" fillId="2" fontId="50" numFmtId="0" xfId="0" applyAlignment="1" applyBorder="1" applyFont="1">
      <alignment shrinkToFit="0" wrapText="1"/>
    </xf>
    <xf borderId="0" fillId="4" fontId="12" numFmtId="0" xfId="0" applyAlignment="1" applyFont="1">
      <alignment shrinkToFit="0" wrapText="1"/>
    </xf>
    <xf borderId="0" fillId="4" fontId="51" numFmtId="0" xfId="0" applyAlignment="1" applyFont="1">
      <alignment horizontal="center" shrinkToFit="0" vertical="bottom" wrapText="1"/>
    </xf>
    <xf borderId="0" fillId="3" fontId="52" numFmtId="0" xfId="0" applyAlignment="1" applyFont="1">
      <alignment horizontal="center" shrinkToFit="0" vertical="bottom" wrapText="1"/>
    </xf>
    <xf borderId="0" fillId="3" fontId="34" numFmtId="0" xfId="0" applyAlignment="1" applyFont="1">
      <alignment horizontal="left" readingOrder="0" shrinkToFit="0" wrapText="1"/>
    </xf>
    <xf borderId="0" fillId="4" fontId="34" numFmtId="0" xfId="0" applyAlignment="1" applyFont="1">
      <alignment horizontal="left" readingOrder="0" shrinkToFit="0" wrapText="1"/>
    </xf>
    <xf borderId="0" fillId="4" fontId="53" numFmtId="0" xfId="0" applyAlignment="1" applyFont="1">
      <alignment horizontal="center" readingOrder="0" shrinkToFit="0" vertical="bottom" wrapText="1"/>
    </xf>
    <xf borderId="26" fillId="0" fontId="54" numFmtId="0" xfId="0" applyAlignment="1" applyBorder="1" applyFont="1">
      <alignment horizontal="center" readingOrder="0" shrinkToFit="0" vertical="bottom" wrapText="1"/>
    </xf>
    <xf borderId="27" fillId="0" fontId="12" numFmtId="0" xfId="0" applyAlignment="1" applyBorder="1" applyFont="1">
      <alignment horizontal="left" readingOrder="0" shrinkToFit="0" vertical="bottom" wrapText="1"/>
    </xf>
    <xf borderId="0" fillId="3" fontId="55" numFmtId="0" xfId="0" applyAlignment="1" applyFont="1">
      <alignment horizontal="center" readingOrder="0" shrinkToFit="0" vertical="bottom" wrapText="1"/>
    </xf>
    <xf borderId="0" fillId="3" fontId="12" numFmtId="164" xfId="0" applyAlignment="1" applyFont="1" applyNumberFormat="1">
      <alignment horizontal="left" readingOrder="0" shrinkToFit="0" vertical="bottom" wrapText="1"/>
    </xf>
    <xf borderId="26" fillId="0" fontId="1" numFmtId="0" xfId="0" applyAlignment="1" applyBorder="1" applyFont="1">
      <alignment horizontal="center" shrinkToFit="0" wrapText="1"/>
    </xf>
    <xf borderId="1" fillId="2" fontId="3" numFmtId="0" xfId="0" applyAlignment="1" applyBorder="1" applyFont="1">
      <alignment horizontal="center" readingOrder="0" shrinkToFit="0" wrapText="1"/>
    </xf>
    <xf borderId="3" fillId="0" fontId="1" numFmtId="0" xfId="0" applyAlignment="1" applyBorder="1" applyFont="1">
      <alignment horizontal="center" shrinkToFit="0" wrapText="1"/>
    </xf>
    <xf borderId="1" fillId="2" fontId="1" numFmtId="0" xfId="0" applyAlignment="1" applyBorder="1" applyFont="1">
      <alignment horizontal="center" shrinkToFit="0" wrapText="1"/>
    </xf>
    <xf borderId="0" fillId="0" fontId="1" numFmtId="0" xfId="0" applyAlignment="1" applyFont="1">
      <alignment horizontal="center" readingOrder="0" shrinkToFit="0" wrapText="1"/>
    </xf>
    <xf borderId="0" fillId="3" fontId="1" numFmtId="0" xfId="0" applyAlignment="1" applyFont="1">
      <alignment horizontal="center" readingOrder="0" shrinkToFit="0" wrapText="1"/>
    </xf>
    <xf borderId="0" fillId="3" fontId="21" numFmtId="0" xfId="0" applyAlignment="1" applyFont="1">
      <alignment horizontal="center" readingOrder="0" shrinkToFit="0" wrapText="1"/>
    </xf>
    <xf borderId="0" fillId="3" fontId="33" numFmtId="0" xfId="0" applyAlignment="1" applyFont="1">
      <alignment horizontal="left" readingOrder="0" shrinkToFit="0" vertical="bottom" wrapText="1"/>
    </xf>
    <xf borderId="0" fillId="3" fontId="33" numFmtId="0" xfId="0" applyAlignment="1" applyFont="1">
      <alignment horizontal="left" shrinkToFit="0" vertical="bottom" wrapText="1"/>
    </xf>
    <xf borderId="0" fillId="0" fontId="12" numFmtId="0" xfId="0" applyAlignment="1" applyFont="1">
      <alignment shrinkToFit="0" wrapText="1"/>
    </xf>
    <xf borderId="26" fillId="0" fontId="12" numFmtId="0" xfId="0" applyAlignment="1" applyBorder="1" applyFont="1">
      <alignment shrinkToFit="0" wrapText="1"/>
    </xf>
    <xf borderId="27" fillId="0" fontId="12" numFmtId="14" xfId="0" applyAlignment="1" applyBorder="1" applyFont="1" applyNumberFormat="1">
      <alignment horizontal="center" readingOrder="0" shrinkToFit="0" vertical="bottom" wrapText="1"/>
    </xf>
    <xf borderId="0" fillId="4" fontId="12" numFmtId="14" xfId="0" applyAlignment="1" applyFont="1" applyNumberFormat="1">
      <alignment horizontal="center" readingOrder="0" shrinkToFit="0" vertical="bottom" wrapText="1"/>
    </xf>
    <xf borderId="0" fillId="0" fontId="12" numFmtId="14" xfId="0" applyAlignment="1" applyFont="1" applyNumberFormat="1">
      <alignment horizontal="center" readingOrder="0" shrinkToFit="0" vertical="bottom" wrapText="1"/>
    </xf>
    <xf borderId="0" fillId="3" fontId="12" numFmtId="14" xfId="0" applyAlignment="1" applyFont="1" applyNumberFormat="1">
      <alignment horizontal="center" readingOrder="0" shrinkToFit="0" vertical="bottom" wrapText="1"/>
    </xf>
    <xf borderId="26" fillId="3" fontId="12" numFmtId="0" xfId="0" applyAlignment="1" applyBorder="1" applyFont="1">
      <alignment horizontal="center" shrinkToFit="0" vertical="bottom" wrapText="1"/>
    </xf>
    <xf borderId="26" fillId="3" fontId="1" numFmtId="0" xfId="0" applyAlignment="1" applyBorder="1" applyFont="1">
      <alignment shrinkToFit="0" wrapText="1"/>
    </xf>
    <xf borderId="26" fillId="3" fontId="14" numFmtId="0" xfId="0" applyAlignment="1" applyBorder="1" applyFont="1">
      <alignment horizontal="center" shrinkToFit="0" vertical="bottom" wrapText="1"/>
    </xf>
    <xf borderId="27" fillId="3" fontId="14" numFmtId="0" xfId="0" applyAlignment="1" applyBorder="1" applyFont="1">
      <alignment horizontal="center" readingOrder="0" shrinkToFit="0" vertical="bottom" wrapText="1"/>
    </xf>
    <xf borderId="27" fillId="0"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46" Type="http://schemas.openxmlformats.org/officeDocument/2006/relationships/worksheet" Target="worksheets/sheet44.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1.0"/>
    <col customWidth="1" min="7" max="7" width="1.88"/>
    <col customWidth="1" min="13" max="15" width="15.13"/>
  </cols>
  <sheetData>
    <row r="1">
      <c r="A1" s="1"/>
      <c r="B1" s="2"/>
      <c r="C1" s="3"/>
      <c r="D1" s="3"/>
      <c r="E1" s="3"/>
      <c r="F1" s="3"/>
      <c r="G1" s="3"/>
      <c r="H1" s="3"/>
      <c r="I1" s="3"/>
      <c r="J1" s="3"/>
      <c r="K1" s="3"/>
      <c r="L1" s="4"/>
      <c r="M1" s="1"/>
      <c r="N1" s="1"/>
      <c r="O1" s="1"/>
    </row>
    <row r="2">
      <c r="A2" s="1"/>
      <c r="B2" s="5"/>
      <c r="C2" s="3"/>
      <c r="D2" s="3"/>
      <c r="E2" s="3"/>
      <c r="F2" s="3"/>
      <c r="G2" s="3"/>
      <c r="H2" s="3"/>
      <c r="I2" s="3"/>
      <c r="J2" s="3"/>
      <c r="K2" s="3"/>
      <c r="L2" s="4"/>
      <c r="M2" s="1"/>
      <c r="N2" s="1"/>
      <c r="O2" s="1"/>
    </row>
    <row r="3">
      <c r="A3" s="1"/>
      <c r="B3" s="6" t="s">
        <v>0</v>
      </c>
      <c r="C3" s="3"/>
      <c r="D3" s="3"/>
      <c r="E3" s="3"/>
      <c r="F3" s="3"/>
      <c r="G3" s="3"/>
      <c r="H3" s="3"/>
      <c r="I3" s="3"/>
      <c r="J3" s="3"/>
      <c r="K3" s="3"/>
      <c r="L3" s="4"/>
      <c r="M3" s="1"/>
      <c r="N3" s="1"/>
      <c r="O3" s="1"/>
    </row>
    <row r="4">
      <c r="A4" s="1"/>
      <c r="B4" s="5"/>
      <c r="C4" s="3"/>
      <c r="D4" s="3"/>
      <c r="E4" s="3"/>
      <c r="F4" s="3"/>
      <c r="G4" s="3"/>
      <c r="H4" s="3"/>
      <c r="I4" s="3"/>
      <c r="J4" s="3"/>
      <c r="K4" s="3"/>
      <c r="L4" s="4"/>
      <c r="M4" s="1"/>
      <c r="N4" s="1"/>
      <c r="O4" s="1"/>
    </row>
    <row r="5">
      <c r="A5" s="1"/>
      <c r="B5" s="1"/>
      <c r="C5" s="1"/>
      <c r="D5" s="1"/>
      <c r="E5" s="1"/>
      <c r="F5" s="1"/>
      <c r="G5" s="1"/>
      <c r="H5" s="1"/>
      <c r="I5" s="1"/>
      <c r="J5" s="1"/>
      <c r="K5" s="1"/>
      <c r="L5" s="1"/>
      <c r="M5" s="1"/>
      <c r="N5" s="1"/>
      <c r="O5" s="1"/>
    </row>
    <row r="6">
      <c r="A6" s="1"/>
      <c r="B6" s="7" t="s">
        <v>1</v>
      </c>
      <c r="C6" s="3"/>
      <c r="D6" s="3"/>
      <c r="E6" s="3"/>
      <c r="F6" s="3"/>
      <c r="G6" s="3"/>
      <c r="H6" s="3"/>
      <c r="I6" s="3"/>
      <c r="J6" s="3"/>
      <c r="K6" s="3"/>
      <c r="L6" s="4"/>
      <c r="M6" s="1"/>
      <c r="N6" s="1"/>
      <c r="O6" s="1"/>
    </row>
    <row r="7">
      <c r="A7" s="1"/>
      <c r="B7" s="8"/>
      <c r="C7" s="8"/>
      <c r="D7" s="8"/>
      <c r="E7" s="8"/>
      <c r="F7" s="8"/>
      <c r="G7" s="9"/>
      <c r="H7" s="10"/>
      <c r="I7" s="10"/>
      <c r="J7" s="10"/>
      <c r="K7" s="10"/>
      <c r="L7" s="10"/>
      <c r="M7" s="1"/>
      <c r="N7" s="1"/>
      <c r="O7" s="1"/>
    </row>
    <row r="8">
      <c r="A8" s="11"/>
      <c r="B8" s="12" t="s">
        <v>2</v>
      </c>
      <c r="C8" s="12" t="s">
        <v>3</v>
      </c>
      <c r="D8" s="12" t="s">
        <v>4</v>
      </c>
      <c r="E8" s="12" t="s">
        <v>5</v>
      </c>
      <c r="F8" s="12" t="s">
        <v>6</v>
      </c>
      <c r="G8" s="13"/>
      <c r="H8" s="14" t="s">
        <v>7</v>
      </c>
      <c r="I8" s="14" t="s">
        <v>3</v>
      </c>
      <c r="J8" s="14" t="s">
        <v>4</v>
      </c>
      <c r="K8" s="14" t="s">
        <v>5</v>
      </c>
      <c r="L8" s="14" t="s">
        <v>6</v>
      </c>
      <c r="M8" s="15"/>
      <c r="N8" s="1"/>
      <c r="O8" s="1"/>
    </row>
    <row r="9">
      <c r="A9" s="11"/>
      <c r="B9" s="16"/>
      <c r="C9" s="16"/>
      <c r="D9" s="16"/>
      <c r="E9" s="16"/>
      <c r="F9" s="16"/>
      <c r="G9" s="13"/>
      <c r="H9" s="17"/>
      <c r="I9" s="17"/>
      <c r="J9" s="17"/>
      <c r="K9" s="17"/>
      <c r="L9" s="17"/>
      <c r="M9" s="15"/>
      <c r="N9" s="1"/>
      <c r="O9" s="1"/>
    </row>
    <row r="10">
      <c r="A10" s="11"/>
      <c r="B10" s="18" t="s">
        <v>8</v>
      </c>
      <c r="C10" s="19">
        <v>42.0</v>
      </c>
      <c r="D10" s="19">
        <v>99.0</v>
      </c>
      <c r="E10" s="20">
        <f t="shared" ref="E10:E41" si="1">D10-C10</f>
        <v>57</v>
      </c>
      <c r="F10" s="21">
        <f t="shared" ref="F10:F41" si="2">C10/D10</f>
        <v>0.4242424242</v>
      </c>
      <c r="G10" s="13"/>
      <c r="H10" s="22" t="s">
        <v>9</v>
      </c>
      <c r="I10" s="23">
        <v>462.0</v>
      </c>
      <c r="J10" s="23">
        <v>632.0</v>
      </c>
      <c r="K10" s="24">
        <f t="shared" ref="K10:K14" si="3">J10-I10</f>
        <v>170</v>
      </c>
      <c r="L10" s="21">
        <f t="shared" ref="L10:L14" si="4">I10/J10</f>
        <v>0.7310126582</v>
      </c>
      <c r="M10" s="15"/>
      <c r="N10" s="1"/>
      <c r="O10" s="1"/>
    </row>
    <row r="11">
      <c r="A11" s="11"/>
      <c r="B11" s="18">
        <v>1988.0</v>
      </c>
      <c r="C11" s="19">
        <v>44.0</v>
      </c>
      <c r="D11" s="18">
        <v>95.0</v>
      </c>
      <c r="E11" s="20">
        <f t="shared" si="1"/>
        <v>51</v>
      </c>
      <c r="F11" s="21">
        <f t="shared" si="2"/>
        <v>0.4631578947</v>
      </c>
      <c r="G11" s="13"/>
      <c r="H11" s="22" t="s">
        <v>10</v>
      </c>
      <c r="I11" s="23">
        <v>270.0</v>
      </c>
      <c r="J11" s="23">
        <v>428.0</v>
      </c>
      <c r="K11" s="24">
        <f t="shared" si="3"/>
        <v>158</v>
      </c>
      <c r="L11" s="21">
        <f t="shared" si="4"/>
        <v>0.6308411215</v>
      </c>
      <c r="M11" s="15"/>
      <c r="N11" s="1"/>
      <c r="O11" s="1"/>
    </row>
    <row r="12">
      <c r="A12" s="11"/>
      <c r="B12" s="18">
        <v>1989.0</v>
      </c>
      <c r="C12" s="19">
        <v>65.0</v>
      </c>
      <c r="D12" s="19">
        <v>125.0</v>
      </c>
      <c r="E12" s="20">
        <f t="shared" si="1"/>
        <v>60</v>
      </c>
      <c r="F12" s="21">
        <f t="shared" si="2"/>
        <v>0.52</v>
      </c>
      <c r="G12" s="13"/>
      <c r="H12" s="22" t="s">
        <v>11</v>
      </c>
      <c r="I12" s="23">
        <v>48.0</v>
      </c>
      <c r="J12" s="23">
        <v>106.0</v>
      </c>
      <c r="K12" s="24">
        <f t="shared" si="3"/>
        <v>58</v>
      </c>
      <c r="L12" s="21">
        <f t="shared" si="4"/>
        <v>0.4528301887</v>
      </c>
      <c r="M12" s="15"/>
      <c r="N12" s="1"/>
      <c r="O12" s="1"/>
    </row>
    <row r="13">
      <c r="A13" s="11"/>
      <c r="B13" s="18">
        <v>1990.0</v>
      </c>
      <c r="C13" s="19">
        <v>94.0</v>
      </c>
      <c r="D13" s="18">
        <v>149.0</v>
      </c>
      <c r="E13" s="20">
        <f t="shared" si="1"/>
        <v>55</v>
      </c>
      <c r="F13" s="21">
        <f t="shared" si="2"/>
        <v>0.6308724832</v>
      </c>
      <c r="G13" s="13"/>
      <c r="H13" s="22" t="s">
        <v>12</v>
      </c>
      <c r="I13" s="23">
        <v>76.0</v>
      </c>
      <c r="J13" s="23">
        <v>314.0</v>
      </c>
      <c r="K13" s="24">
        <f t="shared" si="3"/>
        <v>238</v>
      </c>
      <c r="L13" s="21">
        <f t="shared" si="4"/>
        <v>0.2420382166</v>
      </c>
      <c r="M13" s="15"/>
      <c r="N13" s="1"/>
      <c r="O13" s="1"/>
    </row>
    <row r="14">
      <c r="A14" s="11"/>
      <c r="B14" s="18">
        <v>1991.0</v>
      </c>
      <c r="C14" s="19">
        <v>116.0</v>
      </c>
      <c r="D14" s="18">
        <v>129.0</v>
      </c>
      <c r="E14" s="20">
        <f t="shared" si="1"/>
        <v>13</v>
      </c>
      <c r="F14" s="21">
        <f t="shared" si="2"/>
        <v>0.8992248062</v>
      </c>
      <c r="G14" s="13"/>
      <c r="H14" s="22" t="s">
        <v>13</v>
      </c>
      <c r="I14" s="23">
        <v>180.0</v>
      </c>
      <c r="J14" s="23">
        <v>385.0</v>
      </c>
      <c r="K14" s="24">
        <f t="shared" si="3"/>
        <v>205</v>
      </c>
      <c r="L14" s="21">
        <f t="shared" si="4"/>
        <v>0.4675324675</v>
      </c>
      <c r="M14" s="15"/>
      <c r="N14" s="1"/>
      <c r="O14" s="1"/>
    </row>
    <row r="15">
      <c r="A15" s="11"/>
      <c r="B15" s="18">
        <v>1992.0</v>
      </c>
      <c r="C15" s="19">
        <v>110.0</v>
      </c>
      <c r="D15" s="18">
        <v>124.0</v>
      </c>
      <c r="E15" s="20">
        <f t="shared" si="1"/>
        <v>14</v>
      </c>
      <c r="F15" s="21">
        <f t="shared" si="2"/>
        <v>0.8870967742</v>
      </c>
      <c r="G15" s="13"/>
      <c r="H15" s="25"/>
      <c r="I15" s="25"/>
      <c r="J15" s="25"/>
      <c r="K15" s="25"/>
      <c r="L15" s="21"/>
      <c r="M15" s="15"/>
      <c r="N15" s="1"/>
      <c r="O15" s="1"/>
    </row>
    <row r="16">
      <c r="A16" s="11"/>
      <c r="B16" s="18">
        <v>1993.0</v>
      </c>
      <c r="C16" s="18">
        <v>110.0</v>
      </c>
      <c r="D16" s="18">
        <v>111.0</v>
      </c>
      <c r="E16" s="20">
        <f t="shared" si="1"/>
        <v>1</v>
      </c>
      <c r="F16" s="21">
        <f t="shared" si="2"/>
        <v>0.990990991</v>
      </c>
      <c r="G16" s="13"/>
      <c r="H16" s="26" t="s">
        <v>4</v>
      </c>
      <c r="I16" s="27">
        <f t="shared" ref="I16:J16" si="5">I10+I11+I12+I13+I14</f>
        <v>1036</v>
      </c>
      <c r="J16" s="27">
        <f t="shared" si="5"/>
        <v>1865</v>
      </c>
      <c r="K16" s="27">
        <f>J16-I16</f>
        <v>829</v>
      </c>
      <c r="L16" s="28">
        <f>I16/J16</f>
        <v>0.5554959786</v>
      </c>
      <c r="M16" s="15"/>
      <c r="N16" s="1"/>
      <c r="O16" s="1"/>
    </row>
    <row r="17">
      <c r="A17" s="11"/>
      <c r="B17" s="18">
        <v>1994.0</v>
      </c>
      <c r="C17" s="18">
        <v>128.0</v>
      </c>
      <c r="D17" s="18">
        <v>128.0</v>
      </c>
      <c r="E17" s="20">
        <f t="shared" si="1"/>
        <v>0</v>
      </c>
      <c r="F17" s="21">
        <f t="shared" si="2"/>
        <v>1</v>
      </c>
      <c r="G17" s="13"/>
      <c r="H17" s="29"/>
      <c r="I17" s="29"/>
      <c r="J17" s="29"/>
      <c r="K17" s="29"/>
      <c r="L17" s="30"/>
      <c r="M17" s="15"/>
      <c r="N17" s="1"/>
      <c r="O17" s="1"/>
    </row>
    <row r="18">
      <c r="A18" s="11"/>
      <c r="B18" s="18">
        <v>1995.0</v>
      </c>
      <c r="C18" s="18">
        <v>82.0</v>
      </c>
      <c r="D18" s="18">
        <v>83.0</v>
      </c>
      <c r="E18" s="20">
        <f t="shared" si="1"/>
        <v>1</v>
      </c>
      <c r="F18" s="21">
        <f t="shared" si="2"/>
        <v>0.9879518072</v>
      </c>
      <c r="G18" s="13"/>
      <c r="H18" s="29"/>
      <c r="I18" s="29"/>
      <c r="J18" s="29"/>
      <c r="K18" s="29"/>
      <c r="L18" s="30"/>
      <c r="M18" s="15"/>
      <c r="N18" s="1"/>
      <c r="O18" s="1"/>
    </row>
    <row r="19">
      <c r="A19" s="11"/>
      <c r="B19" s="18">
        <v>1996.0</v>
      </c>
      <c r="C19" s="18">
        <v>72.0</v>
      </c>
      <c r="D19" s="18">
        <v>72.0</v>
      </c>
      <c r="E19" s="20">
        <f t="shared" si="1"/>
        <v>0</v>
      </c>
      <c r="F19" s="21">
        <f t="shared" si="2"/>
        <v>1</v>
      </c>
      <c r="G19" s="13"/>
      <c r="H19" s="31"/>
      <c r="I19" s="32" t="s">
        <v>14</v>
      </c>
      <c r="J19" s="33"/>
      <c r="K19" s="34">
        <v>29.0</v>
      </c>
      <c r="L19" s="35"/>
      <c r="M19" s="15"/>
      <c r="N19" s="1"/>
      <c r="O19" s="1"/>
    </row>
    <row r="20">
      <c r="A20" s="11"/>
      <c r="B20" s="18">
        <v>1997.0</v>
      </c>
      <c r="C20" s="18">
        <v>83.0</v>
      </c>
      <c r="D20" s="18">
        <v>83.0</v>
      </c>
      <c r="E20" s="20">
        <f t="shared" si="1"/>
        <v>0</v>
      </c>
      <c r="F20" s="21">
        <f t="shared" si="2"/>
        <v>1</v>
      </c>
      <c r="G20" s="13"/>
      <c r="H20" s="31"/>
      <c r="I20" s="36"/>
      <c r="J20" s="37"/>
      <c r="K20" s="38"/>
      <c r="L20" s="39"/>
      <c r="M20" s="1"/>
      <c r="N20" s="1"/>
      <c r="O20" s="1"/>
    </row>
    <row r="21">
      <c r="A21" s="11"/>
      <c r="B21" s="18">
        <v>1998.0</v>
      </c>
      <c r="C21" s="18">
        <v>71.0</v>
      </c>
      <c r="D21" s="18">
        <v>71.0</v>
      </c>
      <c r="E21" s="20">
        <f t="shared" si="1"/>
        <v>0</v>
      </c>
      <c r="F21" s="21">
        <f t="shared" si="2"/>
        <v>1</v>
      </c>
      <c r="G21" s="13"/>
      <c r="H21" s="31"/>
      <c r="I21" s="40" t="s">
        <v>15</v>
      </c>
      <c r="J21" s="37"/>
      <c r="K21" s="41">
        <v>151.0</v>
      </c>
      <c r="L21" s="42"/>
      <c r="M21" s="1"/>
      <c r="N21" s="1"/>
      <c r="O21" s="1"/>
    </row>
    <row r="22">
      <c r="A22" s="11"/>
      <c r="B22" s="18">
        <v>1999.0</v>
      </c>
      <c r="C22" s="18">
        <v>65.0</v>
      </c>
      <c r="D22" s="18">
        <v>67.0</v>
      </c>
      <c r="E22" s="20">
        <f t="shared" si="1"/>
        <v>2</v>
      </c>
      <c r="F22" s="21">
        <f t="shared" si="2"/>
        <v>0.9701492537</v>
      </c>
      <c r="G22" s="13"/>
      <c r="H22" s="31"/>
      <c r="I22" s="36"/>
      <c r="J22" s="37"/>
      <c r="K22" s="38"/>
      <c r="L22" s="42"/>
      <c r="M22" s="1"/>
      <c r="N22" s="1"/>
      <c r="O22" s="1"/>
    </row>
    <row r="23">
      <c r="A23" s="11"/>
      <c r="B23" s="18">
        <v>2000.0</v>
      </c>
      <c r="C23" s="19">
        <v>58.0</v>
      </c>
      <c r="D23" s="19">
        <v>58.0</v>
      </c>
      <c r="E23" s="20">
        <f t="shared" si="1"/>
        <v>0</v>
      </c>
      <c r="F23" s="21">
        <f t="shared" si="2"/>
        <v>1</v>
      </c>
      <c r="G23" s="13"/>
      <c r="H23" s="31"/>
      <c r="I23" s="43" t="s">
        <v>16</v>
      </c>
      <c r="J23" s="37"/>
      <c r="K23" s="41">
        <v>30.0</v>
      </c>
      <c r="L23" s="42"/>
      <c r="M23" s="1"/>
      <c r="N23" s="1"/>
      <c r="O23" s="1"/>
    </row>
    <row r="24">
      <c r="A24" s="11"/>
      <c r="B24" s="18">
        <v>2002.0</v>
      </c>
      <c r="C24" s="18">
        <v>4.0</v>
      </c>
      <c r="D24" s="18">
        <v>4.0</v>
      </c>
      <c r="E24" s="20">
        <f t="shared" si="1"/>
        <v>0</v>
      </c>
      <c r="F24" s="21">
        <f t="shared" si="2"/>
        <v>1</v>
      </c>
      <c r="G24" s="13"/>
      <c r="H24" s="31"/>
      <c r="I24" s="36"/>
      <c r="J24" s="37"/>
      <c r="K24" s="38"/>
      <c r="L24" s="44"/>
      <c r="M24" s="1"/>
      <c r="N24" s="1"/>
      <c r="O24" s="1"/>
    </row>
    <row r="25">
      <c r="A25" s="11"/>
      <c r="B25" s="18">
        <v>2003.0</v>
      </c>
      <c r="C25" s="18">
        <v>46.0</v>
      </c>
      <c r="D25" s="18">
        <v>46.0</v>
      </c>
      <c r="E25" s="20">
        <f t="shared" si="1"/>
        <v>0</v>
      </c>
      <c r="F25" s="21">
        <f t="shared" si="2"/>
        <v>1</v>
      </c>
      <c r="G25" s="13"/>
      <c r="H25" s="31"/>
      <c r="I25" s="45" t="s">
        <v>17</v>
      </c>
      <c r="J25" s="46"/>
      <c r="K25" s="47">
        <v>4.0</v>
      </c>
      <c r="L25" s="15"/>
      <c r="M25" s="15"/>
      <c r="N25" s="1"/>
      <c r="O25" s="1"/>
    </row>
    <row r="26">
      <c r="A26" s="11"/>
      <c r="B26" s="18">
        <v>2004.0</v>
      </c>
      <c r="C26" s="18">
        <v>19.0</v>
      </c>
      <c r="D26" s="18">
        <v>19.0</v>
      </c>
      <c r="E26" s="20">
        <f t="shared" si="1"/>
        <v>0</v>
      </c>
      <c r="F26" s="21">
        <f t="shared" si="2"/>
        <v>1</v>
      </c>
      <c r="G26" s="13"/>
      <c r="H26" s="31"/>
      <c r="I26" s="48"/>
      <c r="J26" s="49"/>
      <c r="K26" s="50"/>
      <c r="L26" s="51"/>
      <c r="M26" s="15"/>
      <c r="N26" s="1"/>
      <c r="O26" s="1"/>
    </row>
    <row r="27">
      <c r="A27" s="11"/>
      <c r="B27" s="18">
        <v>2008.0</v>
      </c>
      <c r="C27" s="18">
        <v>0.0</v>
      </c>
      <c r="D27" s="18">
        <v>1.0</v>
      </c>
      <c r="E27" s="20">
        <f t="shared" si="1"/>
        <v>1</v>
      </c>
      <c r="F27" s="21">
        <f t="shared" si="2"/>
        <v>0</v>
      </c>
      <c r="G27" s="13"/>
      <c r="H27" s="31"/>
      <c r="I27" s="52" t="s">
        <v>18</v>
      </c>
      <c r="J27" s="53"/>
      <c r="K27" s="54">
        <v>25.0</v>
      </c>
      <c r="L27" s="55"/>
      <c r="M27" s="15"/>
      <c r="N27" s="1"/>
      <c r="O27" s="1"/>
    </row>
    <row r="28">
      <c r="A28" s="11"/>
      <c r="B28" s="18">
        <v>2009.0</v>
      </c>
      <c r="C28" s="18">
        <v>51.0</v>
      </c>
      <c r="D28" s="19">
        <v>52.0</v>
      </c>
      <c r="E28" s="20">
        <f t="shared" si="1"/>
        <v>1</v>
      </c>
      <c r="F28" s="21">
        <f t="shared" si="2"/>
        <v>0.9807692308</v>
      </c>
      <c r="G28" s="13"/>
      <c r="H28" s="56"/>
      <c r="I28" s="57"/>
      <c r="J28" s="57"/>
      <c r="K28" s="58"/>
      <c r="L28" s="59"/>
      <c r="M28" s="15"/>
      <c r="N28" s="1"/>
      <c r="O28" s="1"/>
    </row>
    <row r="29">
      <c r="A29" s="11"/>
      <c r="B29" s="18">
        <v>2010.0</v>
      </c>
      <c r="C29" s="18">
        <v>50.0</v>
      </c>
      <c r="D29" s="18">
        <v>50.0</v>
      </c>
      <c r="E29" s="20">
        <f t="shared" si="1"/>
        <v>0</v>
      </c>
      <c r="F29" s="21">
        <f t="shared" si="2"/>
        <v>1</v>
      </c>
      <c r="G29" s="13"/>
      <c r="H29" s="60"/>
      <c r="I29" s="61"/>
      <c r="J29" s="61"/>
      <c r="K29" s="62"/>
      <c r="L29" s="59"/>
      <c r="M29" s="15"/>
      <c r="N29" s="1"/>
      <c r="O29" s="1"/>
    </row>
    <row r="30">
      <c r="A30" s="11"/>
      <c r="B30" s="18">
        <v>2011.0</v>
      </c>
      <c r="C30" s="18">
        <v>42.0</v>
      </c>
      <c r="D30" s="18">
        <v>42.0</v>
      </c>
      <c r="E30" s="20">
        <f t="shared" si="1"/>
        <v>0</v>
      </c>
      <c r="F30" s="21">
        <f t="shared" si="2"/>
        <v>1</v>
      </c>
      <c r="G30" s="13"/>
      <c r="H30" s="60"/>
      <c r="I30" s="61"/>
      <c r="J30" s="61"/>
      <c r="K30" s="62"/>
      <c r="L30" s="59"/>
      <c r="M30" s="15"/>
      <c r="N30" s="1"/>
      <c r="O30" s="1"/>
    </row>
    <row r="31">
      <c r="A31" s="11"/>
      <c r="B31" s="18">
        <v>2012.0</v>
      </c>
      <c r="C31" s="18">
        <v>37.0</v>
      </c>
      <c r="D31" s="18">
        <v>37.0</v>
      </c>
      <c r="E31" s="20">
        <f t="shared" si="1"/>
        <v>0</v>
      </c>
      <c r="F31" s="21">
        <f t="shared" si="2"/>
        <v>1</v>
      </c>
      <c r="G31" s="13"/>
      <c r="H31" s="63" t="s">
        <v>19</v>
      </c>
      <c r="I31" s="3"/>
      <c r="J31" s="3"/>
      <c r="K31" s="3"/>
      <c r="L31" s="4"/>
      <c r="M31" s="15"/>
      <c r="N31" s="1"/>
      <c r="O31" s="1"/>
    </row>
    <row r="32">
      <c r="A32" s="11"/>
      <c r="B32" s="18">
        <v>2013.0</v>
      </c>
      <c r="C32" s="18">
        <v>41.0</v>
      </c>
      <c r="D32" s="18">
        <v>41.0</v>
      </c>
      <c r="E32" s="20">
        <f t="shared" si="1"/>
        <v>0</v>
      </c>
      <c r="F32" s="21">
        <f t="shared" si="2"/>
        <v>1</v>
      </c>
      <c r="G32" s="13"/>
      <c r="H32" s="64" t="s">
        <v>20</v>
      </c>
      <c r="M32" s="15"/>
      <c r="N32" s="1"/>
      <c r="O32" s="1"/>
    </row>
    <row r="33">
      <c r="A33" s="11"/>
      <c r="B33" s="18">
        <v>2014.0</v>
      </c>
      <c r="C33" s="18">
        <v>42.0</v>
      </c>
      <c r="D33" s="18">
        <v>42.0</v>
      </c>
      <c r="E33" s="20">
        <f t="shared" si="1"/>
        <v>0</v>
      </c>
      <c r="F33" s="21">
        <f t="shared" si="2"/>
        <v>1</v>
      </c>
      <c r="G33" s="13"/>
      <c r="H33" s="65"/>
      <c r="I33" s="65"/>
      <c r="J33" s="65"/>
      <c r="K33" s="65"/>
      <c r="L33" s="59"/>
      <c r="M33" s="15"/>
      <c r="N33" s="1"/>
      <c r="O33" s="1"/>
    </row>
    <row r="34">
      <c r="A34" s="11"/>
      <c r="B34" s="18">
        <v>2015.0</v>
      </c>
      <c r="C34" s="19">
        <v>32.0</v>
      </c>
      <c r="D34" s="19">
        <v>32.0</v>
      </c>
      <c r="E34" s="20">
        <f t="shared" si="1"/>
        <v>0</v>
      </c>
      <c r="F34" s="21">
        <f t="shared" si="2"/>
        <v>1</v>
      </c>
      <c r="G34" s="13"/>
      <c r="H34" s="65"/>
      <c r="I34" s="65"/>
      <c r="J34" s="65"/>
      <c r="K34" s="65"/>
      <c r="L34" s="59"/>
      <c r="M34" s="15"/>
      <c r="N34" s="1"/>
      <c r="O34" s="1"/>
    </row>
    <row r="35">
      <c r="A35" s="11"/>
      <c r="B35" s="19">
        <v>2016.0</v>
      </c>
      <c r="C35" s="19">
        <v>48.0</v>
      </c>
      <c r="D35" s="19">
        <v>48.0</v>
      </c>
      <c r="E35" s="20">
        <f t="shared" si="1"/>
        <v>0</v>
      </c>
      <c r="F35" s="21">
        <f t="shared" si="2"/>
        <v>1</v>
      </c>
      <c r="G35" s="13"/>
      <c r="H35" s="65"/>
      <c r="I35" s="65"/>
      <c r="J35" s="65"/>
      <c r="K35" s="65"/>
      <c r="L35" s="59"/>
      <c r="M35" s="15"/>
      <c r="N35" s="1"/>
      <c r="O35" s="1"/>
    </row>
    <row r="36">
      <c r="A36" s="11"/>
      <c r="B36" s="19">
        <v>2017.0</v>
      </c>
      <c r="C36" s="19">
        <v>28.0</v>
      </c>
      <c r="D36" s="19">
        <v>28.0</v>
      </c>
      <c r="E36" s="20">
        <f t="shared" si="1"/>
        <v>0</v>
      </c>
      <c r="F36" s="21">
        <f t="shared" si="2"/>
        <v>1</v>
      </c>
      <c r="G36" s="13"/>
      <c r="H36" s="65"/>
      <c r="I36" s="65"/>
      <c r="J36" s="65"/>
      <c r="K36" s="65"/>
      <c r="L36" s="59"/>
      <c r="M36" s="15"/>
      <c r="N36" s="1"/>
      <c r="O36" s="1"/>
    </row>
    <row r="37">
      <c r="A37" s="11"/>
      <c r="B37" s="19">
        <v>2018.0</v>
      </c>
      <c r="C37" s="19">
        <v>39.0</v>
      </c>
      <c r="D37" s="19">
        <v>39.0</v>
      </c>
      <c r="E37" s="20">
        <f t="shared" si="1"/>
        <v>0</v>
      </c>
      <c r="F37" s="21">
        <f t="shared" si="2"/>
        <v>1</v>
      </c>
      <c r="G37" s="13"/>
      <c r="H37" s="65"/>
      <c r="I37" s="65"/>
      <c r="J37" s="65"/>
      <c r="K37" s="65"/>
      <c r="L37" s="59"/>
      <c r="M37" s="15"/>
      <c r="N37" s="1"/>
      <c r="O37" s="1"/>
    </row>
    <row r="38">
      <c r="A38" s="11"/>
      <c r="B38" s="19">
        <v>2019.0</v>
      </c>
      <c r="C38" s="19">
        <v>39.0</v>
      </c>
      <c r="D38" s="19">
        <v>41.0</v>
      </c>
      <c r="E38" s="20">
        <f t="shared" si="1"/>
        <v>2</v>
      </c>
      <c r="F38" s="21">
        <f t="shared" si="2"/>
        <v>0.9512195122</v>
      </c>
      <c r="G38" s="13"/>
      <c r="H38" s="65"/>
      <c r="I38" s="65"/>
      <c r="J38" s="65"/>
      <c r="K38" s="65"/>
      <c r="L38" s="59"/>
      <c r="M38" s="15"/>
      <c r="N38" s="1"/>
      <c r="O38" s="1"/>
    </row>
    <row r="39">
      <c r="A39" s="11"/>
      <c r="B39" s="19">
        <v>2020.0</v>
      </c>
      <c r="C39" s="19">
        <v>4.0</v>
      </c>
      <c r="D39" s="19">
        <v>4.0</v>
      </c>
      <c r="E39" s="20">
        <f t="shared" si="1"/>
        <v>0</v>
      </c>
      <c r="F39" s="21">
        <f t="shared" si="2"/>
        <v>1</v>
      </c>
      <c r="G39" s="13"/>
      <c r="H39" s="65"/>
      <c r="I39" s="65"/>
      <c r="J39" s="65"/>
      <c r="K39" s="65"/>
      <c r="L39" s="59"/>
      <c r="M39" s="15"/>
      <c r="N39" s="1"/>
      <c r="O39" s="1"/>
    </row>
    <row r="40">
      <c r="A40" s="11"/>
      <c r="B40" s="19">
        <v>2021.0</v>
      </c>
      <c r="C40" s="19">
        <v>35.0</v>
      </c>
      <c r="D40" s="19">
        <v>36.0</v>
      </c>
      <c r="E40" s="20">
        <f t="shared" si="1"/>
        <v>1</v>
      </c>
      <c r="F40" s="21">
        <f t="shared" si="2"/>
        <v>0.9722222222</v>
      </c>
      <c r="G40" s="13"/>
      <c r="H40" s="65"/>
      <c r="I40" s="65"/>
      <c r="J40" s="65"/>
      <c r="K40" s="65"/>
      <c r="L40" s="59"/>
      <c r="M40" s="15"/>
      <c r="N40" s="1"/>
      <c r="O40" s="1"/>
    </row>
    <row r="41">
      <c r="A41" s="11"/>
      <c r="B41" s="19">
        <v>2022.0</v>
      </c>
      <c r="C41" s="19">
        <v>37.0</v>
      </c>
      <c r="D41" s="19">
        <v>43.0</v>
      </c>
      <c r="E41" s="20">
        <f t="shared" si="1"/>
        <v>6</v>
      </c>
      <c r="F41" s="21">
        <f t="shared" si="2"/>
        <v>0.8604651163</v>
      </c>
      <c r="G41" s="13"/>
      <c r="H41" s="65"/>
      <c r="I41" s="65"/>
      <c r="J41" s="65"/>
      <c r="K41" s="65"/>
      <c r="L41" s="59"/>
      <c r="M41" s="15"/>
      <c r="N41" s="1"/>
      <c r="O41" s="1"/>
    </row>
    <row r="42">
      <c r="A42" s="11"/>
      <c r="B42" s="66"/>
      <c r="C42" s="66"/>
      <c r="D42" s="66"/>
      <c r="E42" s="66"/>
      <c r="F42" s="66"/>
      <c r="G42" s="13"/>
      <c r="H42" s="65"/>
      <c r="I42" s="65"/>
      <c r="J42" s="65"/>
      <c r="K42" s="65"/>
      <c r="L42" s="59"/>
      <c r="M42" s="15"/>
      <c r="N42" s="1"/>
      <c r="O42" s="1"/>
    </row>
    <row r="43" ht="15.75" customHeight="1">
      <c r="A43" s="11"/>
      <c r="B43" s="26" t="s">
        <v>4</v>
      </c>
      <c r="C43" s="67">
        <f t="shared" ref="C43:D43" si="6">C10+C11+C12+C13+C14+C15+C16+C17+C18+C19+C20+C21+C22+C23+C24+C25+C26+C28+C29+C30+C31+C32+C33+C34+C35+C36+C37+C38+C39+C40</f>
        <v>1697</v>
      </c>
      <c r="D43" s="67">
        <f t="shared" si="6"/>
        <v>1955</v>
      </c>
      <c r="E43" s="67">
        <f>D43-C43</f>
        <v>258</v>
      </c>
      <c r="F43" s="28">
        <f>C43/D43</f>
        <v>0.8680306905</v>
      </c>
      <c r="G43" s="13"/>
      <c r="H43" s="68"/>
      <c r="I43" s="69"/>
      <c r="J43" s="69"/>
      <c r="K43" s="69"/>
      <c r="L43" s="70"/>
      <c r="M43" s="15"/>
      <c r="N43" s="1"/>
      <c r="O43" s="1"/>
    </row>
    <row r="44">
      <c r="A44" s="1"/>
      <c r="B44" s="71"/>
      <c r="C44" s="71"/>
      <c r="D44" s="71"/>
      <c r="E44" s="71"/>
      <c r="F44" s="71"/>
      <c r="G44" s="9"/>
      <c r="H44" s="72"/>
      <c r="I44" s="72"/>
      <c r="J44" s="72"/>
      <c r="K44" s="72"/>
      <c r="L44" s="72"/>
      <c r="M44" s="1"/>
      <c r="N44" s="1"/>
      <c r="O44" s="1"/>
    </row>
    <row r="45">
      <c r="A45" s="1"/>
      <c r="B45" s="73"/>
      <c r="C45" s="73"/>
      <c r="D45" s="73"/>
      <c r="E45" s="73"/>
      <c r="F45" s="73"/>
      <c r="G45" s="9"/>
      <c r="H45" s="9"/>
      <c r="I45" s="9"/>
      <c r="J45" s="9"/>
      <c r="K45" s="9"/>
      <c r="L45" s="9"/>
      <c r="M45" s="1"/>
      <c r="N45" s="1"/>
      <c r="O45" s="1"/>
    </row>
    <row r="46">
      <c r="A46" s="1"/>
      <c r="B46" s="73"/>
      <c r="C46" s="73"/>
      <c r="D46" s="7"/>
      <c r="E46" s="3"/>
      <c r="F46" s="3"/>
      <c r="G46" s="3"/>
      <c r="H46" s="3"/>
      <c r="I46" s="3"/>
      <c r="J46" s="4"/>
      <c r="K46" s="9"/>
      <c r="L46" s="9"/>
      <c r="M46" s="1"/>
      <c r="N46" s="1"/>
      <c r="O46" s="1"/>
    </row>
    <row r="47">
      <c r="A47" s="1"/>
      <c r="B47" s="74"/>
      <c r="C47" s="3"/>
      <c r="D47" s="3"/>
      <c r="E47" s="3"/>
      <c r="F47" s="3"/>
      <c r="G47" s="3"/>
      <c r="H47" s="3"/>
      <c r="I47" s="3"/>
      <c r="J47" s="3"/>
      <c r="K47" s="3"/>
      <c r="L47" s="4"/>
      <c r="M47" s="1"/>
      <c r="N47" s="1"/>
      <c r="O47" s="1"/>
    </row>
    <row r="48">
      <c r="A48" s="1"/>
      <c r="B48" s="2"/>
      <c r="C48" s="3"/>
      <c r="D48" s="3"/>
      <c r="E48" s="3"/>
      <c r="F48" s="3"/>
      <c r="G48" s="3"/>
      <c r="H48" s="3"/>
      <c r="I48" s="3"/>
      <c r="J48" s="3"/>
      <c r="K48" s="3"/>
      <c r="L48" s="4"/>
      <c r="M48" s="1"/>
      <c r="N48" s="1"/>
      <c r="O48" s="1"/>
    </row>
    <row r="49">
      <c r="A49" s="1"/>
      <c r="B49" s="5"/>
      <c r="C49" s="3"/>
      <c r="D49" s="3"/>
      <c r="E49" s="3"/>
      <c r="F49" s="3"/>
      <c r="G49" s="3"/>
      <c r="H49" s="3"/>
      <c r="I49" s="3"/>
      <c r="J49" s="3"/>
      <c r="K49" s="3"/>
      <c r="L49" s="4"/>
      <c r="M49" s="1"/>
      <c r="N49" s="1"/>
      <c r="O49" s="1"/>
    </row>
    <row r="50">
      <c r="A50" s="1"/>
      <c r="B50" s="5"/>
      <c r="C50" s="3"/>
      <c r="D50" s="3"/>
      <c r="E50" s="3"/>
      <c r="F50" s="3"/>
      <c r="G50" s="3"/>
      <c r="H50" s="3"/>
      <c r="I50" s="3"/>
      <c r="J50" s="3"/>
      <c r="K50" s="3"/>
      <c r="L50" s="4"/>
      <c r="M50" s="1"/>
      <c r="N50" s="1"/>
      <c r="O50" s="1"/>
    </row>
    <row r="51">
      <c r="A51" s="1"/>
      <c r="B51" s="5"/>
      <c r="C51" s="3"/>
      <c r="D51" s="3"/>
      <c r="E51" s="3"/>
      <c r="F51" s="3"/>
      <c r="G51" s="3"/>
      <c r="H51" s="3"/>
      <c r="I51" s="3"/>
      <c r="J51" s="3"/>
      <c r="K51" s="3"/>
      <c r="L51" s="4"/>
      <c r="M51" s="1"/>
      <c r="N51" s="1"/>
      <c r="O51" s="1"/>
    </row>
  </sheetData>
  <mergeCells count="22">
    <mergeCell ref="B1:L1"/>
    <mergeCell ref="B2:L2"/>
    <mergeCell ref="B3:L3"/>
    <mergeCell ref="B4:L4"/>
    <mergeCell ref="B6:L6"/>
    <mergeCell ref="I19:J19"/>
    <mergeCell ref="I20:J20"/>
    <mergeCell ref="H31:L31"/>
    <mergeCell ref="H32:L32"/>
    <mergeCell ref="D46:J46"/>
    <mergeCell ref="B47:L47"/>
    <mergeCell ref="B48:L48"/>
    <mergeCell ref="B49:L49"/>
    <mergeCell ref="B50:L50"/>
    <mergeCell ref="B51:L51"/>
    <mergeCell ref="I21:J21"/>
    <mergeCell ref="I22:J22"/>
    <mergeCell ref="I23:J23"/>
    <mergeCell ref="I24:J24"/>
    <mergeCell ref="I25:J25"/>
    <mergeCell ref="I26:J26"/>
    <mergeCell ref="I27:J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5"/>
    <col customWidth="1" min="6" max="6" width="5.13"/>
    <col customWidth="1" min="7" max="7" width="4.38"/>
    <col customWidth="1" min="8" max="8" width="13.13"/>
    <col customWidth="1" min="9" max="9" width="37.63"/>
    <col customWidth="1" min="10" max="10" width="62.38"/>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3" t="s">
        <v>31</v>
      </c>
    </row>
    <row r="3">
      <c r="A3" s="86"/>
      <c r="B3" s="87"/>
      <c r="C3" s="87"/>
      <c r="D3" s="87"/>
      <c r="E3" s="87"/>
      <c r="F3" s="87"/>
      <c r="G3" s="87"/>
      <c r="H3" s="87"/>
      <c r="I3" s="89"/>
      <c r="J3" s="89"/>
    </row>
    <row r="4">
      <c r="A4" s="92"/>
      <c r="B4" s="93"/>
      <c r="C4" s="93"/>
      <c r="D4" s="83" t="s">
        <v>1317</v>
      </c>
      <c r="E4" s="93"/>
      <c r="F4" s="93"/>
      <c r="G4" s="93"/>
      <c r="H4" s="93"/>
      <c r="I4" s="95"/>
      <c r="J4" s="95"/>
    </row>
    <row r="5">
      <c r="A5" s="125">
        <v>34428.0</v>
      </c>
      <c r="B5" s="127" t="s">
        <v>32</v>
      </c>
      <c r="C5" s="98" t="str">
        <f t="shared" ref="C5:C50" si="1">HYPERLINK("http://www.phish.net/setlists/?d="&amp;RIGHT(TEXT(A5,"mm/dd/yyyy"),4)&amp;"-"&amp;LEFT(TEXT(A5,"mm/dd/yyyy"),2)&amp;"-"&amp;MID(TEXT(A5,"mm/dd/yyyy"),4,2), "setlist")</f>
        <v>setlist</v>
      </c>
      <c r="D5" s="102" t="s">
        <v>860</v>
      </c>
      <c r="E5" s="102" t="s">
        <v>34</v>
      </c>
      <c r="F5" s="127" t="s">
        <v>35</v>
      </c>
      <c r="G5" s="127" t="s">
        <v>36</v>
      </c>
      <c r="H5" s="98" t="str">
        <f>HYPERLINK("http://www.mediafire.com/download/dfkinm5x47y1oro/1994-04-04_-_The_Flynn_Theatre_-_Burlington%2C_VT.rar", "download link")</f>
        <v>download link</v>
      </c>
      <c r="I5" s="101" t="s">
        <v>1318</v>
      </c>
      <c r="J5" s="102"/>
    </row>
    <row r="6">
      <c r="A6" s="103">
        <v>34429.0</v>
      </c>
      <c r="B6" s="104"/>
      <c r="C6" s="105" t="str">
        <f t="shared" si="1"/>
        <v>setlist</v>
      </c>
      <c r="D6" s="106" t="s">
        <v>1319</v>
      </c>
      <c r="E6" s="106" t="s">
        <v>337</v>
      </c>
      <c r="F6" s="107" t="s">
        <v>338</v>
      </c>
      <c r="G6" s="107" t="s">
        <v>36</v>
      </c>
      <c r="H6" s="105" t="str">
        <f>HYPERLINK("http://www.mediafire.com/download/5h883ez5x4tfh4a/1994-04-05_-_The_Metropolis_-_Montreal%2C_Quebec%2C_Canada.rar", "download link")</f>
        <v>download link</v>
      </c>
      <c r="I6" s="134" t="s">
        <v>1320</v>
      </c>
      <c r="J6" s="109"/>
    </row>
    <row r="7">
      <c r="A7" s="110">
        <v>34430.0</v>
      </c>
      <c r="B7" s="111"/>
      <c r="C7" s="135" t="str">
        <f t="shared" si="1"/>
        <v>setlist</v>
      </c>
      <c r="D7" s="113" t="s">
        <v>1222</v>
      </c>
      <c r="E7" s="113" t="s">
        <v>1090</v>
      </c>
      <c r="F7" s="114" t="s">
        <v>1091</v>
      </c>
      <c r="G7" s="114" t="s">
        <v>36</v>
      </c>
      <c r="H7" s="116" t="str">
        <f>HYPERLINK("http://www.mediafire.com/download/ric5rk0ikmbfjo3/1994-04-06_-_Concert_Hall_-_Toronto%2C_Ontario%2C_Canada.rar", "download link")</f>
        <v>download link</v>
      </c>
      <c r="I7" s="136" t="s">
        <v>684</v>
      </c>
      <c r="J7" s="80"/>
    </row>
    <row r="8">
      <c r="A8" s="103">
        <v>34432.0</v>
      </c>
      <c r="B8" s="104"/>
      <c r="C8" s="105" t="str">
        <f t="shared" si="1"/>
        <v>setlist</v>
      </c>
      <c r="D8" s="106" t="s">
        <v>1321</v>
      </c>
      <c r="E8" s="106" t="s">
        <v>1322</v>
      </c>
      <c r="F8" s="107" t="s">
        <v>212</v>
      </c>
      <c r="G8" s="107" t="s">
        <v>36</v>
      </c>
      <c r="H8" s="105" t="str">
        <f>HYPERLINK("http://www.mediafire.com/download/bo3j6d7i3aa3w79/1994-04-08_-_Recreation_Hall%2C_Penn_State_University_-_State_College%2C_PA.rar", "download link")</f>
        <v>download link</v>
      </c>
      <c r="I8" s="134" t="s">
        <v>1323</v>
      </c>
      <c r="J8" s="109"/>
    </row>
    <row r="9">
      <c r="A9" s="110">
        <v>34433.0</v>
      </c>
      <c r="B9" s="114" t="s">
        <v>32</v>
      </c>
      <c r="C9" s="135" t="str">
        <f t="shared" si="1"/>
        <v>setlist</v>
      </c>
      <c r="D9" s="113" t="s">
        <v>1324</v>
      </c>
      <c r="E9" s="113" t="s">
        <v>227</v>
      </c>
      <c r="F9" s="114" t="s">
        <v>129</v>
      </c>
      <c r="G9" s="114" t="s">
        <v>36</v>
      </c>
      <c r="H9" s="116" t="str">
        <f>HYPERLINK("http://www.mediafire.com/download/d4x4no7t9tpm55m/1994-04-09_-_Broome_County_Arena_-_Binghamton%2C_NY.rar", "download link")</f>
        <v>download link</v>
      </c>
      <c r="I9" s="136" t="s">
        <v>1325</v>
      </c>
      <c r="J9" s="113"/>
    </row>
    <row r="10">
      <c r="A10" s="103">
        <v>34434.0</v>
      </c>
      <c r="B10" s="104"/>
      <c r="C10" s="105" t="str">
        <f t="shared" si="1"/>
        <v>setlist</v>
      </c>
      <c r="D10" s="106" t="s">
        <v>1326</v>
      </c>
      <c r="E10" s="106" t="s">
        <v>164</v>
      </c>
      <c r="F10" s="107" t="s">
        <v>129</v>
      </c>
      <c r="G10" s="107" t="s">
        <v>36</v>
      </c>
      <c r="H10" s="105" t="str">
        <f>HYPERLINK("http://www.mediafire.com/download/x4juwmi2698cx60/1994-04-10_-_Alumni_Arena%2C_SUNY_Buffalo_-_Buffalo%2C_NY.rar", "download link")</f>
        <v>download link</v>
      </c>
      <c r="I10" s="134" t="s">
        <v>1327</v>
      </c>
      <c r="J10" s="109"/>
    </row>
    <row r="11">
      <c r="A11" s="110">
        <v>34435.0</v>
      </c>
      <c r="B11" s="111"/>
      <c r="C11" s="135" t="str">
        <f t="shared" si="1"/>
        <v>setlist</v>
      </c>
      <c r="D11" s="118" t="s">
        <v>1328</v>
      </c>
      <c r="E11" s="113" t="s">
        <v>225</v>
      </c>
      <c r="F11" s="114" t="s">
        <v>182</v>
      </c>
      <c r="G11" s="114" t="s">
        <v>36</v>
      </c>
      <c r="H11" s="116" t="str">
        <f>HYPERLINK("http://www.mediafire.com/download/etdl2p69v28i1ho/1994-04-11_-_Snivley_Arena%2C_University_of_New_Hampshire_-_Durham%2C_NH.rar", "download link")</f>
        <v>download link</v>
      </c>
      <c r="I11" s="136" t="s">
        <v>1313</v>
      </c>
      <c r="J11" s="80"/>
    </row>
    <row r="12">
      <c r="A12" s="103">
        <v>34437.0</v>
      </c>
      <c r="B12" s="107" t="s">
        <v>32</v>
      </c>
      <c r="C12" s="105" t="str">
        <f t="shared" si="1"/>
        <v>setlist</v>
      </c>
      <c r="D12" s="106" t="s">
        <v>1329</v>
      </c>
      <c r="E12" s="106" t="s">
        <v>162</v>
      </c>
      <c r="F12" s="107" t="s">
        <v>129</v>
      </c>
      <c r="G12" s="107" t="s">
        <v>36</v>
      </c>
      <c r="H12" s="105" t="str">
        <f>HYPERLINK("http://www.mediafire.com/download/qnan17t4c7rksjs/1994-04-13_-_WNEW_Studios_-_New_York%2C_NY.rar", "download link")</f>
        <v>download link</v>
      </c>
      <c r="I12" s="134" t="s">
        <v>1316</v>
      </c>
      <c r="J12" s="109"/>
    </row>
    <row r="13">
      <c r="A13" s="110">
        <v>34437.0</v>
      </c>
      <c r="B13" s="111"/>
      <c r="C13" s="135" t="str">
        <f t="shared" si="1"/>
        <v>setlist</v>
      </c>
      <c r="D13" s="113" t="s">
        <v>1330</v>
      </c>
      <c r="E13" s="113" t="s">
        <v>162</v>
      </c>
      <c r="F13" s="114" t="s">
        <v>129</v>
      </c>
      <c r="G13" s="114" t="s">
        <v>36</v>
      </c>
      <c r="H13" s="116" t="str">
        <f>HYPERLINK("http://www.mediafire.com/download/msiieqhorvtcpch/1994-04-13_-_Beacon_Theatre_-_New_York%2C_NY.rar", "download link")</f>
        <v>download link</v>
      </c>
      <c r="I13" s="136" t="s">
        <v>1331</v>
      </c>
      <c r="J13" s="80"/>
    </row>
    <row r="14">
      <c r="A14" s="103">
        <v>34438.0</v>
      </c>
      <c r="B14" s="104"/>
      <c r="C14" s="105" t="str">
        <f t="shared" si="1"/>
        <v>setlist</v>
      </c>
      <c r="D14" s="106" t="s">
        <v>1330</v>
      </c>
      <c r="E14" s="106" t="s">
        <v>162</v>
      </c>
      <c r="F14" s="107" t="s">
        <v>129</v>
      </c>
      <c r="G14" s="107" t="s">
        <v>36</v>
      </c>
      <c r="H14" s="105" t="str">
        <f>HYPERLINK("http://www.mediafire.com/download/z0pm274ckb6z944/1994-04-14_-_Beacon_Theatre_-_New_York%2C_NY.rar", "download link")</f>
        <v>download link</v>
      </c>
      <c r="I14" s="134" t="s">
        <v>1331</v>
      </c>
      <c r="J14" s="109"/>
    </row>
    <row r="15">
      <c r="A15" s="110">
        <v>34439.0</v>
      </c>
      <c r="B15" s="111"/>
      <c r="C15" s="135" t="str">
        <f t="shared" si="1"/>
        <v>setlist</v>
      </c>
      <c r="D15" s="113" t="s">
        <v>1330</v>
      </c>
      <c r="E15" s="113" t="s">
        <v>162</v>
      </c>
      <c r="F15" s="114" t="s">
        <v>129</v>
      </c>
      <c r="G15" s="114" t="s">
        <v>36</v>
      </c>
      <c r="H15" s="116" t="str">
        <f>HYPERLINK("http://www.mediafire.com/download/19dw182xe1cpwmp/1994-04-15_-_Beacon_Theatre_-_New_York%2C_NY.rar", "download link")</f>
        <v>download link</v>
      </c>
      <c r="I15" s="136" t="s">
        <v>1332</v>
      </c>
      <c r="J15" s="80"/>
    </row>
    <row r="16">
      <c r="A16" s="103">
        <v>34440.0</v>
      </c>
      <c r="B16" s="104"/>
      <c r="C16" s="105" t="str">
        <f t="shared" si="1"/>
        <v>setlist</v>
      </c>
      <c r="D16" s="106" t="s">
        <v>1333</v>
      </c>
      <c r="E16" s="106" t="s">
        <v>164</v>
      </c>
      <c r="F16" s="107" t="s">
        <v>95</v>
      </c>
      <c r="G16" s="107" t="s">
        <v>36</v>
      </c>
      <c r="H16" s="105" t="str">
        <f>HYPERLINK("http://www.mediafire.com/download/xl9ahk74gr5qdzm/1994-04-16_-_Mullins_Center%2C_University_of_Massachusetts_-_Amherst%2C_MA.rar", "download link")</f>
        <v>download link</v>
      </c>
      <c r="I16" s="134" t="s">
        <v>1334</v>
      </c>
      <c r="J16" s="109"/>
    </row>
    <row r="17">
      <c r="A17" s="110">
        <v>34441.0</v>
      </c>
      <c r="B17" s="114" t="s">
        <v>32</v>
      </c>
      <c r="C17" s="135" t="str">
        <f t="shared" si="1"/>
        <v>setlist</v>
      </c>
      <c r="D17" s="113" t="s">
        <v>1335</v>
      </c>
      <c r="E17" s="113" t="s">
        <v>1336</v>
      </c>
      <c r="F17" s="114" t="s">
        <v>446</v>
      </c>
      <c r="G17" s="114" t="s">
        <v>36</v>
      </c>
      <c r="H17" s="116" t="str">
        <f>HYPERLINK("http://www.mediafire.com/download/2crn86a2yotiq8l/1994-04-17_-_Patriot_Center%2C_George_Mason_University_-_Fairfax%2C_VA.rar", "download link")</f>
        <v>download link</v>
      </c>
      <c r="I17" s="136" t="s">
        <v>1337</v>
      </c>
      <c r="J17" s="80"/>
    </row>
    <row r="18">
      <c r="A18" s="103">
        <v>34442.0</v>
      </c>
      <c r="B18" s="104"/>
      <c r="C18" s="105" t="str">
        <f t="shared" si="1"/>
        <v>setlist</v>
      </c>
      <c r="D18" s="106" t="s">
        <v>1338</v>
      </c>
      <c r="E18" s="106" t="s">
        <v>1120</v>
      </c>
      <c r="F18" s="107" t="s">
        <v>966</v>
      </c>
      <c r="G18" s="107" t="s">
        <v>36</v>
      </c>
      <c r="H18" s="105" t="str">
        <f>HYPERLINK("http://www.mediafire.com/download/mo4x590sbdpd9hc/1994-04-18_-_Bob_Carpenter_Center%2C_University_of_Delaware_-_Newark%2C_DE.rar", "download link")</f>
        <v>download link</v>
      </c>
      <c r="I18" s="134" t="s">
        <v>1339</v>
      </c>
      <c r="J18" s="109"/>
    </row>
    <row r="19">
      <c r="A19" s="110">
        <v>34444.0</v>
      </c>
      <c r="B19" s="111"/>
      <c r="C19" s="135" t="str">
        <f t="shared" si="1"/>
        <v>setlist</v>
      </c>
      <c r="D19" s="113" t="s">
        <v>1340</v>
      </c>
      <c r="E19" s="113" t="s">
        <v>1341</v>
      </c>
      <c r="F19" s="114" t="s">
        <v>446</v>
      </c>
      <c r="G19" s="114" t="s">
        <v>36</v>
      </c>
      <c r="H19" s="116" t="str">
        <f>HYPERLINK("http://www.mediafire.com/download/cn4b9cfa978fo6d/1994-04-20_-_Virginia_Horse_Center_-_Lexington%2C_VA.rar", "download link")</f>
        <v>download link</v>
      </c>
      <c r="I19" s="136" t="s">
        <v>1342</v>
      </c>
      <c r="J19" s="80"/>
    </row>
    <row r="20">
      <c r="A20" s="103">
        <v>34445.0</v>
      </c>
      <c r="B20" s="104"/>
      <c r="C20" s="105" t="str">
        <f t="shared" si="1"/>
        <v>setlist</v>
      </c>
      <c r="D20" s="106" t="s">
        <v>1343</v>
      </c>
      <c r="E20" s="106" t="s">
        <v>879</v>
      </c>
      <c r="F20" s="107" t="s">
        <v>443</v>
      </c>
      <c r="G20" s="107" t="s">
        <v>36</v>
      </c>
      <c r="H20" s="105" t="str">
        <f>HYPERLINK("http://www.mediafire.com/download/je7h9gp3lg97cqj/1994-04-21_-_Lawrence_Joel_Veterans_Memorial_Coliseum_-_Winston-Salem%2C_NC.rar", "download link")</f>
        <v>download link</v>
      </c>
      <c r="I20" s="134" t="s">
        <v>1344</v>
      </c>
      <c r="J20" s="109"/>
    </row>
    <row r="21">
      <c r="A21" s="110">
        <v>34446.0</v>
      </c>
      <c r="B21" s="111"/>
      <c r="C21" s="135" t="str">
        <f t="shared" si="1"/>
        <v>setlist</v>
      </c>
      <c r="D21" s="113" t="s">
        <v>1345</v>
      </c>
      <c r="E21" s="113" t="s">
        <v>439</v>
      </c>
      <c r="F21" s="114" t="s">
        <v>430</v>
      </c>
      <c r="G21" s="114" t="s">
        <v>36</v>
      </c>
      <c r="H21" s="116" t="str">
        <f>HYPERLINK("http://www.mediafire.com/download/1uec6cljdsj8i7p/1994-04-22_-_Township_Auditorium_-_Columbia%2C_SC.rar", "download link")</f>
        <v>download link</v>
      </c>
      <c r="I21" s="136" t="s">
        <v>1344</v>
      </c>
      <c r="J21" s="80"/>
    </row>
    <row r="22">
      <c r="A22" s="130">
        <v>34447.0</v>
      </c>
      <c r="B22" s="228"/>
      <c r="C22" s="105" t="str">
        <f t="shared" si="1"/>
        <v>setlist</v>
      </c>
      <c r="D22" s="132" t="s">
        <v>897</v>
      </c>
      <c r="E22" s="132" t="s">
        <v>437</v>
      </c>
      <c r="F22" s="133" t="s">
        <v>433</v>
      </c>
      <c r="G22" s="133" t="s">
        <v>36</v>
      </c>
      <c r="H22" s="105" t="str">
        <f>HYPERLINK("http://www.mediafire.com/download/7hif1h1wol15a7z/1994-04-23_-_The_Fox_Theatre_-_Atlanta%2C_GA.rar", "download link")</f>
        <v>download link</v>
      </c>
      <c r="I22" s="134" t="s">
        <v>1346</v>
      </c>
      <c r="J22" s="109"/>
    </row>
    <row r="23">
      <c r="A23" s="110">
        <v>34448.0</v>
      </c>
      <c r="B23" s="111"/>
      <c r="C23" s="135" t="str">
        <f t="shared" si="1"/>
        <v>setlist</v>
      </c>
      <c r="D23" s="113" t="s">
        <v>1263</v>
      </c>
      <c r="E23" s="113" t="s">
        <v>541</v>
      </c>
      <c r="F23" s="114" t="s">
        <v>443</v>
      </c>
      <c r="G23" s="114" t="s">
        <v>36</v>
      </c>
      <c r="H23" s="116" t="str">
        <f>HYPERLINK("http://www.mediafire.com/download/nb8vhee3s3qazbd/1994-04-24_-_Grady_Cole_Center_-_Charlotte%2C_NC.rar", "download link")</f>
        <v>download link</v>
      </c>
      <c r="I23" s="136" t="s">
        <v>1347</v>
      </c>
      <c r="J23" s="80"/>
    </row>
    <row r="24">
      <c r="A24" s="103">
        <v>34449.0</v>
      </c>
      <c r="B24" s="107" t="s">
        <v>32</v>
      </c>
      <c r="C24" s="105" t="str">
        <f t="shared" si="1"/>
        <v>setlist</v>
      </c>
      <c r="D24" s="106" t="s">
        <v>1348</v>
      </c>
      <c r="E24" s="106" t="s">
        <v>649</v>
      </c>
      <c r="F24" s="107" t="s">
        <v>650</v>
      </c>
      <c r="G24" s="107" t="s">
        <v>36</v>
      </c>
      <c r="H24" s="105" t="str">
        <f>HYPERLINK("http://www.mediafire.com/download/pirk52f365jz8mu/1994-04-25_-_Civic_Auditorium_-_Knoxville%2C_TN.rar", "download link")</f>
        <v>download link</v>
      </c>
      <c r="I24" s="134" t="s">
        <v>1349</v>
      </c>
      <c r="J24" s="109"/>
    </row>
    <row r="25">
      <c r="A25" s="110">
        <v>34450.0</v>
      </c>
      <c r="B25" s="114" t="s">
        <v>32</v>
      </c>
      <c r="C25" s="135" t="str">
        <f t="shared" si="1"/>
        <v>setlist</v>
      </c>
      <c r="D25" s="113" t="s">
        <v>1350</v>
      </c>
      <c r="E25" s="113" t="s">
        <v>437</v>
      </c>
      <c r="F25" s="114" t="s">
        <v>433</v>
      </c>
      <c r="G25" s="114" t="s">
        <v>36</v>
      </c>
      <c r="H25" s="116" t="str">
        <f>HYPERLINK("http://www.mediafire.com/download/sqc495x2j636cla/1994-04-26_-_Purple_Dragon_Recording_Studios_-_Atlanta%2C_GA.rar", "download link")</f>
        <v>download link</v>
      </c>
      <c r="I25" s="136" t="s">
        <v>1351</v>
      </c>
      <c r="J25" s="80"/>
    </row>
    <row r="26">
      <c r="A26" s="103">
        <v>34452.0</v>
      </c>
      <c r="B26" s="104"/>
      <c r="C26" s="105" t="str">
        <f t="shared" si="1"/>
        <v>setlist</v>
      </c>
      <c r="D26" s="106" t="s">
        <v>1352</v>
      </c>
      <c r="E26" s="106" t="s">
        <v>1353</v>
      </c>
      <c r="F26" s="107" t="s">
        <v>1133</v>
      </c>
      <c r="G26" s="107" t="s">
        <v>36</v>
      </c>
      <c r="H26" s="105" t="str">
        <f>HYPERLINK("http://www.mediafire.com/download/db3xx1bueb38j7h/1994-04-28_-_SunFest_-_West_Palm_Beach%2C_FL.rar", "download link")</f>
        <v>download link</v>
      </c>
      <c r="I26" s="134" t="s">
        <v>1354</v>
      </c>
      <c r="J26" s="109"/>
    </row>
    <row r="27">
      <c r="A27" s="110">
        <v>34453.0</v>
      </c>
      <c r="B27" s="111"/>
      <c r="C27" s="135" t="str">
        <f t="shared" si="1"/>
        <v>setlist</v>
      </c>
      <c r="D27" s="113" t="s">
        <v>1355</v>
      </c>
      <c r="E27" s="113" t="s">
        <v>1356</v>
      </c>
      <c r="F27" s="114" t="s">
        <v>1133</v>
      </c>
      <c r="G27" s="114" t="s">
        <v>36</v>
      </c>
      <c r="H27" s="116" t="str">
        <f>HYPERLINK("http://www.mediafire.com/download/uoz8bl1q75jznak/1994-04-29_-_Boatyard_Village_Pavilion_-_Clearwater%2C_FL.rar", "download link")</f>
        <v>download link</v>
      </c>
      <c r="I27" s="136" t="s">
        <v>1357</v>
      </c>
      <c r="J27" s="80"/>
    </row>
    <row r="28">
      <c r="A28" s="103">
        <v>34454.0</v>
      </c>
      <c r="B28" s="107" t="s">
        <v>32</v>
      </c>
      <c r="C28" s="105" t="str">
        <f t="shared" si="1"/>
        <v>setlist</v>
      </c>
      <c r="D28" s="106" t="s">
        <v>1135</v>
      </c>
      <c r="E28" s="106" t="s">
        <v>1136</v>
      </c>
      <c r="F28" s="107" t="s">
        <v>1133</v>
      </c>
      <c r="G28" s="107" t="s">
        <v>36</v>
      </c>
      <c r="H28" s="105" t="str">
        <f>HYPERLINK("http://www.mediafire.com/download/m4uluxt7c1cumxz/1994-04-30_-_The_Edge_Night_Club_-_Orlando%2C_FL.rar", "download link")</f>
        <v>download link</v>
      </c>
      <c r="I28" s="134" t="s">
        <v>1358</v>
      </c>
      <c r="J28" s="106"/>
    </row>
    <row r="29">
      <c r="A29" s="110">
        <v>34456.0</v>
      </c>
      <c r="B29" s="111"/>
      <c r="C29" s="135" t="str">
        <f t="shared" si="1"/>
        <v>setlist</v>
      </c>
      <c r="D29" s="113" t="s">
        <v>1359</v>
      </c>
      <c r="E29" s="113" t="s">
        <v>1360</v>
      </c>
      <c r="F29" s="114" t="s">
        <v>583</v>
      </c>
      <c r="G29" s="114" t="s">
        <v>36</v>
      </c>
      <c r="H29" s="135" t="str">
        <f>HYPERLINK("http://www.mediafire.com/download/a2d3af9k577n3dl/1994-05-02_-_Five_Points_South_Music_Hall_-_Birmingham%2C_AL.rar", "download link")</f>
        <v>download link</v>
      </c>
      <c r="I29" s="136" t="s">
        <v>1361</v>
      </c>
      <c r="J29" s="80"/>
    </row>
    <row r="30">
      <c r="A30" s="103">
        <v>34457.0</v>
      </c>
      <c r="B30" s="107" t="s">
        <v>32</v>
      </c>
      <c r="C30" s="105" t="str">
        <f t="shared" si="1"/>
        <v>setlist</v>
      </c>
      <c r="D30" s="106" t="s">
        <v>1362</v>
      </c>
      <c r="E30" s="106" t="s">
        <v>1268</v>
      </c>
      <c r="F30" s="107" t="s">
        <v>650</v>
      </c>
      <c r="G30" s="107" t="s">
        <v>36</v>
      </c>
      <c r="H30" s="105" t="str">
        <f>HYPERLINK("http://www.mediafire.com/download/4tei0o545q60nvx/1994-05-03_-_Starwood_Amphitheater_-_Antioch%2C_TN.rar", "download link")</f>
        <v>download link</v>
      </c>
      <c r="I30" s="134" t="s">
        <v>1363</v>
      </c>
      <c r="J30" s="106"/>
    </row>
    <row r="31">
      <c r="A31" s="110">
        <v>34458.0</v>
      </c>
      <c r="B31" s="111"/>
      <c r="C31" s="135" t="str">
        <f t="shared" si="1"/>
        <v>setlist</v>
      </c>
      <c r="D31" s="113" t="s">
        <v>1364</v>
      </c>
      <c r="E31" s="113" t="s">
        <v>585</v>
      </c>
      <c r="F31" s="114" t="s">
        <v>586</v>
      </c>
      <c r="G31" s="114" t="s">
        <v>36</v>
      </c>
      <c r="H31" s="135" t="str">
        <f>HYPERLINK("http://www.mediafire.com/download/2jyreukq0k0q0d4/1994-05-04_-_State_Palace_Theatre_-_New_Orleans%2C_LA.rar", "download link")</f>
        <v>download link</v>
      </c>
      <c r="I31" s="136" t="s">
        <v>1365</v>
      </c>
      <c r="J31" s="80"/>
    </row>
    <row r="32">
      <c r="A32" s="130">
        <v>34460.0</v>
      </c>
      <c r="B32" s="228"/>
      <c r="C32" s="105" t="str">
        <f t="shared" si="1"/>
        <v>setlist</v>
      </c>
      <c r="D32" s="132" t="s">
        <v>1366</v>
      </c>
      <c r="E32" s="132" t="s">
        <v>588</v>
      </c>
      <c r="F32" s="133" t="s">
        <v>589</v>
      </c>
      <c r="G32" s="133" t="s">
        <v>36</v>
      </c>
      <c r="H32" s="105" t="str">
        <f>HYPERLINK("http://www.mediafire.com/download/i5k07337p4pdsei/1994-05-06_-_Tower_Theater_-_Houston%2C_TX.rar", "download link")</f>
        <v>download link</v>
      </c>
      <c r="I32" s="134" t="s">
        <v>1367</v>
      </c>
      <c r="J32" s="106" t="s">
        <v>1368</v>
      </c>
    </row>
    <row r="33">
      <c r="A33" s="110">
        <v>34461.0</v>
      </c>
      <c r="B33" s="114" t="s">
        <v>32</v>
      </c>
      <c r="C33" s="135" t="str">
        <f t="shared" si="1"/>
        <v>setlist</v>
      </c>
      <c r="D33" s="113" t="s">
        <v>1369</v>
      </c>
      <c r="E33" s="113" t="s">
        <v>593</v>
      </c>
      <c r="F33" s="114" t="s">
        <v>589</v>
      </c>
      <c r="G33" s="114" t="s">
        <v>36</v>
      </c>
      <c r="H33" s="135" t="str">
        <f>HYPERLINK("http://www.mediafire.com/download/ds3yzcip7f7byne/1994-05-07_-_The_Bomb_Factory_-_Dallas%2C_TX.rar", "download link")</f>
        <v>download link</v>
      </c>
      <c r="I33" s="136" t="s">
        <v>1370</v>
      </c>
      <c r="J33" s="113"/>
    </row>
    <row r="34">
      <c r="A34" s="103">
        <v>34462.0</v>
      </c>
      <c r="B34" s="104"/>
      <c r="C34" s="105" t="str">
        <f t="shared" si="1"/>
        <v>setlist</v>
      </c>
      <c r="D34" s="106" t="s">
        <v>1371</v>
      </c>
      <c r="E34" s="106" t="s">
        <v>1372</v>
      </c>
      <c r="F34" s="107" t="s">
        <v>589</v>
      </c>
      <c r="G34" s="107" t="s">
        <v>36</v>
      </c>
      <c r="H34" s="105" t="str">
        <f>HYPERLINK("http://www.mediafire.com/download/4e5actemu650clc/1994-05-08_-_The_Backyard_-_Bee_Cave%2C_TX.rar", "download link")</f>
        <v>download link</v>
      </c>
      <c r="I34" s="134" t="s">
        <v>67</v>
      </c>
      <c r="J34" s="109"/>
    </row>
    <row r="35">
      <c r="A35" s="147">
        <v>34464.0</v>
      </c>
      <c r="B35" s="229"/>
      <c r="C35" s="135" t="str">
        <f t="shared" si="1"/>
        <v>setlist</v>
      </c>
      <c r="D35" s="149" t="s">
        <v>1373</v>
      </c>
      <c r="E35" s="149" t="s">
        <v>810</v>
      </c>
      <c r="F35" s="148" t="s">
        <v>811</v>
      </c>
      <c r="G35" s="148" t="s">
        <v>36</v>
      </c>
      <c r="H35" s="135" t="str">
        <f>HYPERLINK("http://www.mediafire.com/download/0xomx1x0nmq940i/1994-05-10_-_Paolo_Soleri_Amphitheatre_-_Santa_Fe%2C_NM.rar", "download link")</f>
        <v>download link</v>
      </c>
      <c r="I35" s="136" t="s">
        <v>1374</v>
      </c>
      <c r="J35" s="113" t="s">
        <v>1375</v>
      </c>
    </row>
    <row r="36">
      <c r="A36" s="103">
        <v>34466.0</v>
      </c>
      <c r="B36" s="104"/>
      <c r="C36" s="105" t="str">
        <f t="shared" si="1"/>
        <v>setlist</v>
      </c>
      <c r="D36" s="106" t="s">
        <v>1376</v>
      </c>
      <c r="E36" s="106" t="s">
        <v>906</v>
      </c>
      <c r="F36" s="107" t="s">
        <v>805</v>
      </c>
      <c r="G36" s="107" t="s">
        <v>36</v>
      </c>
      <c r="H36" s="105" t="str">
        <f>HYPERLINK("http://www.mediafire.com/download/y67cdss7jbdxdfi/1994-05-12_-_Buena_Vista_Theater_-_Tuscon%2C_AZ.rar", "download link")</f>
        <v>download link</v>
      </c>
      <c r="I36" s="134" t="s">
        <v>1377</v>
      </c>
      <c r="J36" s="109"/>
    </row>
    <row r="37">
      <c r="A37" s="110">
        <v>34467.0</v>
      </c>
      <c r="B37" s="111"/>
      <c r="C37" s="135" t="str">
        <f t="shared" si="1"/>
        <v>setlist</v>
      </c>
      <c r="D37" s="113" t="s">
        <v>1378</v>
      </c>
      <c r="E37" s="113" t="s">
        <v>804</v>
      </c>
      <c r="F37" s="114" t="s">
        <v>805</v>
      </c>
      <c r="G37" s="114" t="s">
        <v>36</v>
      </c>
      <c r="H37" s="135" t="str">
        <f>HYPERLINK("http://www.mediafire.com/download/kv7ffxbs91lpgtj/1994-05-13_-_Hayden_Square_-_Tempe%2C_AZ.rar", "download link")</f>
        <v>download link</v>
      </c>
      <c r="I37" s="136" t="s">
        <v>1379</v>
      </c>
      <c r="J37" s="80"/>
    </row>
    <row r="38">
      <c r="A38" s="103">
        <v>34468.0</v>
      </c>
      <c r="B38" s="107" t="s">
        <v>32</v>
      </c>
      <c r="C38" s="105" t="str">
        <f t="shared" si="1"/>
        <v>setlist</v>
      </c>
      <c r="D38" s="106" t="s">
        <v>1380</v>
      </c>
      <c r="E38" s="106" t="s">
        <v>1381</v>
      </c>
      <c r="F38" s="107" t="s">
        <v>679</v>
      </c>
      <c r="G38" s="107" t="s">
        <v>36</v>
      </c>
      <c r="H38" s="105" t="str">
        <f>HYPERLINK("http://www.mediafire.com/download/buj4rwd0l1jpx7f/1994-05-14_-_Montezuma_Hall%2C_San_Diego_State_University_-_San_Diego%2C_CA.rar", "download link")</f>
        <v>download link</v>
      </c>
      <c r="I38" s="134" t="s">
        <v>1382</v>
      </c>
      <c r="J38" s="109"/>
    </row>
    <row r="39">
      <c r="A39" s="110">
        <v>34470.0</v>
      </c>
      <c r="B39" s="111"/>
      <c r="C39" s="135" t="str">
        <f t="shared" si="1"/>
        <v>setlist</v>
      </c>
      <c r="D39" s="113" t="s">
        <v>1383</v>
      </c>
      <c r="E39" s="113" t="s">
        <v>911</v>
      </c>
      <c r="F39" s="114" t="s">
        <v>679</v>
      </c>
      <c r="G39" s="114" t="s">
        <v>36</v>
      </c>
      <c r="H39" s="135" t="str">
        <f>HYPERLINK("http://www.mediafire.com/download/6cojc9hzq6v4v52/1994-05-16_-_The_Wiltern_Theatre_-_Los_Angeles%2C_CA.rar", "download link")</f>
        <v>download link</v>
      </c>
      <c r="I39" s="136" t="s">
        <v>1384</v>
      </c>
      <c r="J39" s="80"/>
    </row>
    <row r="40">
      <c r="A40" s="103">
        <v>34471.0</v>
      </c>
      <c r="B40" s="104"/>
      <c r="C40" s="105" t="str">
        <f t="shared" si="1"/>
        <v>setlist</v>
      </c>
      <c r="D40" s="106" t="s">
        <v>1385</v>
      </c>
      <c r="E40" s="106" t="s">
        <v>913</v>
      </c>
      <c r="F40" s="107" t="s">
        <v>679</v>
      </c>
      <c r="G40" s="107" t="s">
        <v>36</v>
      </c>
      <c r="H40" s="105" t="str">
        <f>HYPERLINK("http://www.mediafire.com/download/me8hrbyac6p71ns/1994-05-17_-_The_Arlington_Theatre_-_Santa_Barbara%2C_CA.rar", "download link")</f>
        <v>download link</v>
      </c>
      <c r="I40" s="134" t="s">
        <v>1386</v>
      </c>
      <c r="J40" s="109"/>
    </row>
    <row r="41">
      <c r="A41" s="110">
        <v>34473.0</v>
      </c>
      <c r="B41" s="111"/>
      <c r="C41" s="135" t="str">
        <f t="shared" si="1"/>
        <v>setlist</v>
      </c>
      <c r="D41" s="113" t="s">
        <v>1387</v>
      </c>
      <c r="E41" s="113" t="s">
        <v>695</v>
      </c>
      <c r="F41" s="114" t="s">
        <v>692</v>
      </c>
      <c r="G41" s="114" t="s">
        <v>36</v>
      </c>
      <c r="H41" s="135" t="str">
        <f>HYPERLINK("http://www.mediafire.com/download/5js5xby3g707hfc/1994-05-19_-_Silva_Concert_Hall%2C_Hult_Center_for_the_Performing_Arts_-_Eugene%2C_OR.rar", "download link")</f>
        <v>download link</v>
      </c>
      <c r="I41" s="136" t="s">
        <v>1388</v>
      </c>
      <c r="J41" s="113"/>
    </row>
    <row r="42">
      <c r="A42" s="103">
        <v>34474.0</v>
      </c>
      <c r="B42" s="104"/>
      <c r="C42" s="105" t="str">
        <f t="shared" si="1"/>
        <v>setlist</v>
      </c>
      <c r="D42" s="106" t="s">
        <v>699</v>
      </c>
      <c r="E42" s="106" t="s">
        <v>700</v>
      </c>
      <c r="F42" s="107" t="s">
        <v>701</v>
      </c>
      <c r="G42" s="107" t="s">
        <v>36</v>
      </c>
      <c r="H42" s="105" t="str">
        <f>HYPERLINK("http://www.mediafire.com/download/dri4k99tdx73c1y/1994-05-20_-_Campus_Recreation_Center%2C_Evergreen_College_-_Olympia%2C_WA.rar", "download link")</f>
        <v>download link</v>
      </c>
      <c r="I42" s="134" t="s">
        <v>1389</v>
      </c>
      <c r="J42" s="109"/>
    </row>
    <row r="43">
      <c r="A43" s="110">
        <v>34475.0</v>
      </c>
      <c r="B43" s="111"/>
      <c r="C43" s="135" t="str">
        <f t="shared" si="1"/>
        <v>setlist</v>
      </c>
      <c r="D43" s="113" t="s">
        <v>1390</v>
      </c>
      <c r="E43" s="113" t="s">
        <v>791</v>
      </c>
      <c r="F43" s="114" t="s">
        <v>701</v>
      </c>
      <c r="G43" s="114" t="s">
        <v>36</v>
      </c>
      <c r="H43" s="135" t="str">
        <f>HYPERLINK("http://www.mediafire.com/download/imj7mkus76bbd7l/1994-05-21_-_The_Moore_Theatre_-_Seattle%2C_WA.rar", "download link")</f>
        <v>download link</v>
      </c>
      <c r="I43" s="136" t="s">
        <v>1391</v>
      </c>
      <c r="J43" s="80"/>
    </row>
    <row r="44">
      <c r="A44" s="103">
        <v>34476.0</v>
      </c>
      <c r="B44" s="107" t="s">
        <v>32</v>
      </c>
      <c r="C44" s="105" t="str">
        <f t="shared" si="1"/>
        <v>setlist</v>
      </c>
      <c r="D44" s="106" t="s">
        <v>1392</v>
      </c>
      <c r="E44" s="106" t="s">
        <v>1188</v>
      </c>
      <c r="F44" s="107" t="s">
        <v>1189</v>
      </c>
      <c r="G44" s="107" t="s">
        <v>36</v>
      </c>
      <c r="H44" s="105" t="str">
        <f>HYPERLINK("http://www.mediafire.com/download/udhed567d4n5d8x/1994-05-22_-_Vogue_Theatre_-_Vancouver%2C_British_Columbia%2C_Canada.rar", "download link")</f>
        <v>download link</v>
      </c>
      <c r="I44" s="134" t="s">
        <v>1393</v>
      </c>
      <c r="J44" s="109"/>
    </row>
    <row r="45">
      <c r="A45" s="110">
        <v>34477.0</v>
      </c>
      <c r="B45" s="111"/>
      <c r="C45" s="135" t="str">
        <f t="shared" si="1"/>
        <v>setlist</v>
      </c>
      <c r="D45" s="113" t="s">
        <v>1348</v>
      </c>
      <c r="E45" s="113" t="s">
        <v>279</v>
      </c>
      <c r="F45" s="114" t="s">
        <v>692</v>
      </c>
      <c r="G45" s="114" t="s">
        <v>36</v>
      </c>
      <c r="H45" s="135" t="str">
        <f>HYPERLINK("http://www.mediafire.com/download/0t6v8261h1s3p3z/1994-05-23_-_Civic_Auditorium_-_Portland%2C_OR.rar", "download link")</f>
        <v>download link</v>
      </c>
      <c r="I45" s="136" t="s">
        <v>1394</v>
      </c>
      <c r="J45" s="80"/>
    </row>
    <row r="46">
      <c r="A46" s="103">
        <v>34479.0</v>
      </c>
      <c r="B46" s="104"/>
      <c r="C46" s="105" t="str">
        <f t="shared" si="1"/>
        <v>setlist</v>
      </c>
      <c r="D46" s="106" t="s">
        <v>914</v>
      </c>
      <c r="E46" s="106" t="s">
        <v>683</v>
      </c>
      <c r="F46" s="107" t="s">
        <v>679</v>
      </c>
      <c r="G46" s="107" t="s">
        <v>36</v>
      </c>
      <c r="H46" s="105" t="str">
        <f>HYPERLINK("http://www.mediafire.com/download/vgpgtgs8ju29u5i/1994-05-25_-_Warfield_Theatre_-_San_Francisco%2C_CA.rar", "download link")</f>
        <v>download link</v>
      </c>
      <c r="I46" s="134" t="s">
        <v>1331</v>
      </c>
      <c r="J46" s="109"/>
    </row>
    <row r="47">
      <c r="A47" s="110">
        <v>34480.0</v>
      </c>
      <c r="B47" s="111"/>
      <c r="C47" s="135" t="str">
        <f t="shared" si="1"/>
        <v>setlist</v>
      </c>
      <c r="D47" s="113" t="s">
        <v>914</v>
      </c>
      <c r="E47" s="113" t="s">
        <v>683</v>
      </c>
      <c r="F47" s="114" t="s">
        <v>679</v>
      </c>
      <c r="G47" s="114" t="s">
        <v>36</v>
      </c>
      <c r="H47" s="135" t="str">
        <f>HYPERLINK("http://www.mediafire.com/download/47bh4uvj9i2uh08/1994-05-26_-_Warfield_Theatre_-_San_Francisco%2C_CA.rar", "download link")</f>
        <v>download link</v>
      </c>
      <c r="I47" s="136" t="s">
        <v>1395</v>
      </c>
      <c r="J47" s="80"/>
    </row>
    <row r="48">
      <c r="A48" s="103">
        <v>34481.0</v>
      </c>
      <c r="B48" s="107" t="s">
        <v>32</v>
      </c>
      <c r="C48" s="105" t="str">
        <f t="shared" si="1"/>
        <v>setlist</v>
      </c>
      <c r="D48" s="106" t="s">
        <v>914</v>
      </c>
      <c r="E48" s="106" t="s">
        <v>683</v>
      </c>
      <c r="F48" s="107" t="s">
        <v>679</v>
      </c>
      <c r="G48" s="107" t="s">
        <v>36</v>
      </c>
      <c r="H48" s="105" t="str">
        <f>HYPERLINK("http://www.mediafire.com/download/zzzanwj0qnlrwf3/1994-05-27_-_Warfield_Theatre_-_San_Francisco%2C_CA.rar", "download link")</f>
        <v>download link</v>
      </c>
      <c r="I48" s="134" t="s">
        <v>1396</v>
      </c>
      <c r="J48" s="134" t="s">
        <v>1397</v>
      </c>
    </row>
    <row r="49">
      <c r="A49" s="110">
        <v>34482.0</v>
      </c>
      <c r="B49" s="114" t="s">
        <v>32</v>
      </c>
      <c r="C49" s="135" t="str">
        <f t="shared" si="1"/>
        <v>setlist</v>
      </c>
      <c r="D49" s="113" t="s">
        <v>1239</v>
      </c>
      <c r="E49" s="113" t="s">
        <v>1240</v>
      </c>
      <c r="F49" s="114" t="s">
        <v>679</v>
      </c>
      <c r="G49" s="114" t="s">
        <v>36</v>
      </c>
      <c r="H49" s="135" t="str">
        <f>HYPERLINK("http://www.mediafire.com/download/qsrhrx6fwby6f1v/1994-05-28_-_Laguna_Seca_Raceway_-_Monterey%2C_CA.rar", "download link")</f>
        <v>download link</v>
      </c>
      <c r="I49" s="136" t="s">
        <v>23</v>
      </c>
      <c r="J49" s="113" t="s">
        <v>1398</v>
      </c>
    </row>
    <row r="50">
      <c r="A50" s="186">
        <v>34483.0</v>
      </c>
      <c r="B50" s="120" t="s">
        <v>32</v>
      </c>
      <c r="C50" s="123" t="str">
        <f t="shared" si="1"/>
        <v>setlist</v>
      </c>
      <c r="D50" s="122" t="s">
        <v>1239</v>
      </c>
      <c r="E50" s="122" t="s">
        <v>1240</v>
      </c>
      <c r="F50" s="120" t="s">
        <v>679</v>
      </c>
      <c r="G50" s="120" t="s">
        <v>36</v>
      </c>
      <c r="H50" s="105" t="str">
        <f>HYPERLINK("http://www.mediafire.com/download/4uyadhh738izbuh/1994-05-29_-_Laguna_Seca_Raceway_-_Monterey%2C_CA.rar", "download link")</f>
        <v>download link</v>
      </c>
      <c r="I50" s="137" t="s">
        <v>1399</v>
      </c>
      <c r="J50" s="122"/>
    </row>
    <row r="51">
      <c r="A51" s="92"/>
      <c r="B51" s="93"/>
      <c r="C51" s="94"/>
      <c r="D51" s="83" t="s">
        <v>1400</v>
      </c>
      <c r="E51" s="95"/>
      <c r="F51" s="93"/>
      <c r="G51" s="93"/>
      <c r="H51" s="93"/>
      <c r="I51" s="95"/>
      <c r="J51" s="95"/>
    </row>
    <row r="52">
      <c r="A52" s="125">
        <v>34494.0</v>
      </c>
      <c r="B52" s="127" t="s">
        <v>32</v>
      </c>
      <c r="C52" s="98" t="str">
        <f t="shared" ref="C52:C81" si="2">HYPERLINK("http://www.phish.net/setlists/?d="&amp;RIGHT(TEXT(A52,"mm/dd/yyyy"),4)&amp;"-"&amp;LEFT(TEXT(A52,"mm/dd/yyyy"),2)&amp;"-"&amp;MID(TEXT(A52,"mm/dd/yyyy"),4,2), "setlist")</f>
        <v>setlist</v>
      </c>
      <c r="D52" s="102" t="s">
        <v>1401</v>
      </c>
      <c r="E52" s="102" t="s">
        <v>1301</v>
      </c>
      <c r="F52" s="127" t="s">
        <v>1302</v>
      </c>
      <c r="G52" s="127" t="s">
        <v>36</v>
      </c>
      <c r="H52" s="98" t="str">
        <f>HYPERLINK("http://www.mediafire.com/download/kb4cdpy72k1hhby/1994-06-09_-_Triad_Amphitheater_-_Salt_Lake_City%2C_UT.rar", "download link")</f>
        <v>download link</v>
      </c>
      <c r="I52" s="101" t="s">
        <v>1402</v>
      </c>
      <c r="J52" s="102"/>
    </row>
    <row r="53">
      <c r="A53" s="103">
        <v>34495.0</v>
      </c>
      <c r="B53" s="104"/>
      <c r="C53" s="105" t="str">
        <f t="shared" si="2"/>
        <v>setlist</v>
      </c>
      <c r="D53" s="106" t="s">
        <v>1297</v>
      </c>
      <c r="E53" s="106" t="s">
        <v>1298</v>
      </c>
      <c r="F53" s="107" t="s">
        <v>203</v>
      </c>
      <c r="G53" s="107" t="s">
        <v>36</v>
      </c>
      <c r="H53" s="105" t="str">
        <f>HYPERLINK("http://www.mediafire.com/download/naqf04ja6zo2h7p/1994-06-10_-_Red_Rocks_Amphitheatre_-_Morrison%2C_CO.rar", "download link")</f>
        <v>download link</v>
      </c>
      <c r="I53" s="134" t="s">
        <v>1403</v>
      </c>
      <c r="J53" s="109"/>
    </row>
    <row r="54">
      <c r="A54" s="110">
        <v>34496.0</v>
      </c>
      <c r="B54" s="114" t="s">
        <v>32</v>
      </c>
      <c r="C54" s="135" t="str">
        <f t="shared" si="2"/>
        <v>setlist</v>
      </c>
      <c r="D54" s="113" t="s">
        <v>1297</v>
      </c>
      <c r="E54" s="113" t="s">
        <v>1298</v>
      </c>
      <c r="F54" s="114" t="s">
        <v>203</v>
      </c>
      <c r="G54" s="114" t="s">
        <v>36</v>
      </c>
      <c r="H54" s="116" t="str">
        <f>HYPERLINK("http://www.mediafire.com/download/8bu5c7ldtdp7579/1994-06-11_-_Red_Rocks_Amphitheatre_-_Morrison%2C_CO.rar", "download link")</f>
        <v>download link</v>
      </c>
      <c r="I54" s="136" t="s">
        <v>1404</v>
      </c>
      <c r="J54" s="80"/>
    </row>
    <row r="55">
      <c r="A55" s="103">
        <v>34498.0</v>
      </c>
      <c r="B55" s="104"/>
      <c r="C55" s="105" t="str">
        <f t="shared" si="2"/>
        <v>setlist</v>
      </c>
      <c r="D55" s="106" t="s">
        <v>1203</v>
      </c>
      <c r="E55" s="106" t="s">
        <v>1204</v>
      </c>
      <c r="F55" s="107" t="s">
        <v>886</v>
      </c>
      <c r="G55" s="107" t="s">
        <v>36</v>
      </c>
      <c r="H55" s="105" t="str">
        <f>HYPERLINK("http://www.mediafire.com/download/rgjgq78bdvyv7r6/1994-06-13_-_Memorial_Hall_-_Kansas_City%2C_MO.rar", "download link")</f>
        <v>download link</v>
      </c>
      <c r="I55" s="134" t="s">
        <v>1405</v>
      </c>
      <c r="J55" s="109"/>
    </row>
    <row r="56">
      <c r="A56" s="110">
        <v>34499.0</v>
      </c>
      <c r="B56" s="114" t="s">
        <v>32</v>
      </c>
      <c r="C56" s="135" t="str">
        <f t="shared" si="2"/>
        <v>setlist</v>
      </c>
      <c r="D56" s="113" t="s">
        <v>1406</v>
      </c>
      <c r="E56" s="113" t="s">
        <v>1407</v>
      </c>
      <c r="F56" s="114" t="s">
        <v>1201</v>
      </c>
      <c r="G56" s="114" t="s">
        <v>36</v>
      </c>
      <c r="H56" s="116" t="str">
        <f>HYPERLINK("http://www.mediafire.com/download/dbrl62m7vxhxhos/1994-06-14_-_Civic_Center_-_Des_Moines%2C_IA.rar", "download link")</f>
        <v>download link</v>
      </c>
      <c r="I56" s="136" t="s">
        <v>1408</v>
      </c>
      <c r="J56" s="113"/>
    </row>
    <row r="57">
      <c r="A57" s="103">
        <v>34501.0</v>
      </c>
      <c r="B57" s="107" t="s">
        <v>32</v>
      </c>
      <c r="C57" s="105" t="str">
        <f t="shared" si="2"/>
        <v>setlist</v>
      </c>
      <c r="D57" s="106" t="s">
        <v>1193</v>
      </c>
      <c r="E57" s="106" t="s">
        <v>485</v>
      </c>
      <c r="F57" s="107" t="s">
        <v>486</v>
      </c>
      <c r="G57" s="107" t="s">
        <v>36</v>
      </c>
      <c r="H57" s="105" t="str">
        <f>HYPERLINK("http://www.mediafire.com/download/i65yxqf1f2wj6qd/1994-06-16_-_State_Theatre_-_Minneapolis%2C_MN.rar", "download link")</f>
        <v>download link</v>
      </c>
      <c r="I57" s="134" t="s">
        <v>1349</v>
      </c>
      <c r="J57" s="106" t="s">
        <v>1409</v>
      </c>
    </row>
    <row r="58">
      <c r="A58" s="110">
        <v>34502.0</v>
      </c>
      <c r="B58" s="114" t="s">
        <v>32</v>
      </c>
      <c r="C58" s="135" t="str">
        <f t="shared" si="2"/>
        <v>setlist</v>
      </c>
      <c r="D58" s="113" t="s">
        <v>1410</v>
      </c>
      <c r="E58" s="113" t="s">
        <v>936</v>
      </c>
      <c r="F58" s="114" t="s">
        <v>483</v>
      </c>
      <c r="G58" s="114" t="s">
        <v>36</v>
      </c>
      <c r="H58" s="116" t="str">
        <f>HYPERLINK("http://www.mediafire.com/download/4pz98316xgblarf/1994-06-17_-_Eagles_Ballroom_-_Milwaukee%2C_WI.rar", "download link")</f>
        <v>download link</v>
      </c>
      <c r="I58" s="136" t="s">
        <v>1411</v>
      </c>
      <c r="J58" s="113"/>
    </row>
    <row r="59">
      <c r="A59" s="103">
        <v>34503.0</v>
      </c>
      <c r="B59" s="107" t="s">
        <v>32</v>
      </c>
      <c r="C59" s="105" t="str">
        <f t="shared" si="2"/>
        <v>setlist</v>
      </c>
      <c r="D59" s="134" t="s">
        <v>1412</v>
      </c>
      <c r="E59" s="106" t="s">
        <v>479</v>
      </c>
      <c r="F59" s="107" t="s">
        <v>480</v>
      </c>
      <c r="G59" s="107" t="s">
        <v>36</v>
      </c>
      <c r="H59" s="105" t="str">
        <f>HYPERLINK("http://www.mediafire.com/download/digntc91l2nbab4/1994-06-18_-_The_Loop_97.9_Studios_-_Chicago%2C_IL.rar", "download link")</f>
        <v>download link</v>
      </c>
      <c r="I59" s="134" t="s">
        <v>1316</v>
      </c>
      <c r="J59" s="106" t="s">
        <v>1413</v>
      </c>
    </row>
    <row r="60">
      <c r="A60" s="142">
        <v>34503.0</v>
      </c>
      <c r="B60" s="115" t="s">
        <v>32</v>
      </c>
      <c r="C60" s="116" t="str">
        <f t="shared" si="2"/>
        <v>setlist</v>
      </c>
      <c r="D60" s="118" t="s">
        <v>1414</v>
      </c>
      <c r="E60" s="118" t="s">
        <v>479</v>
      </c>
      <c r="F60" s="115" t="s">
        <v>480</v>
      </c>
      <c r="G60" s="115" t="s">
        <v>36</v>
      </c>
      <c r="H60" s="116" t="str">
        <f>HYPERLINK("http://www.mediafire.com/download/kxtfo19k1h0iwad/1994-06-18_-_UIC_Pavilion%2C_University_of_Illinois_-_Chicago%2C_IL.rar", "download link")</f>
        <v>download link</v>
      </c>
      <c r="I60" s="117" t="s">
        <v>1415</v>
      </c>
      <c r="J60" s="118" t="s">
        <v>1416</v>
      </c>
    </row>
    <row r="61">
      <c r="A61" s="103">
        <v>34504.0</v>
      </c>
      <c r="B61" s="104"/>
      <c r="C61" s="105" t="str">
        <f t="shared" si="2"/>
        <v>setlist</v>
      </c>
      <c r="D61" s="106" t="s">
        <v>1082</v>
      </c>
      <c r="E61" s="106" t="s">
        <v>1083</v>
      </c>
      <c r="F61" s="107" t="s">
        <v>712</v>
      </c>
      <c r="G61" s="107" t="s">
        <v>36</v>
      </c>
      <c r="H61" s="105" t="str">
        <f>HYPERLINK("http://www.mediafire.com/download/7bdjogrfcdg35z7/1994-06-19_-_State_Theater_-_Kalamazoo%2C_MI.rar", "download link")</f>
        <v>download link</v>
      </c>
      <c r="I61" s="134" t="s">
        <v>1417</v>
      </c>
      <c r="J61" s="109"/>
    </row>
    <row r="62">
      <c r="A62" s="142">
        <v>34506.0</v>
      </c>
      <c r="B62" s="144"/>
      <c r="C62" s="116" t="str">
        <f t="shared" si="2"/>
        <v>setlist</v>
      </c>
      <c r="D62" s="118" t="s">
        <v>1418</v>
      </c>
      <c r="E62" s="118" t="s">
        <v>943</v>
      </c>
      <c r="F62" s="115" t="s">
        <v>472</v>
      </c>
      <c r="G62" s="115" t="s">
        <v>36</v>
      </c>
      <c r="H62" s="116" t="str">
        <f>HYPERLINK("http://www.mediafire.com/download/o6u5l9utuvz46p3/1994-06-21_-_Cincinnati_Music_Hall_-_Cincinnati%2C_OH.rar", "download link")</f>
        <v>download link</v>
      </c>
      <c r="I62" s="117" t="s">
        <v>1417</v>
      </c>
      <c r="J62" s="146"/>
    </row>
    <row r="63">
      <c r="A63" s="103">
        <v>34507.0</v>
      </c>
      <c r="B63" s="107" t="s">
        <v>32</v>
      </c>
      <c r="C63" s="105" t="str">
        <f t="shared" si="2"/>
        <v>setlist</v>
      </c>
      <c r="D63" s="106" t="s">
        <v>1419</v>
      </c>
      <c r="E63" s="106" t="s">
        <v>471</v>
      </c>
      <c r="F63" s="107" t="s">
        <v>472</v>
      </c>
      <c r="G63" s="107" t="s">
        <v>36</v>
      </c>
      <c r="H63" s="105" t="str">
        <f>HYPERLINK("http://www.mediafire.com/download/a704ocefu659h96/1994-06-22_-_Veterans_Memorial_Auditorium_-_Columbus%2C_OH.rar", "download link")</f>
        <v>download link</v>
      </c>
      <c r="I63" s="134" t="s">
        <v>23</v>
      </c>
      <c r="J63" s="106" t="s">
        <v>595</v>
      </c>
    </row>
    <row r="64">
      <c r="A64" s="142">
        <v>34508.0</v>
      </c>
      <c r="B64" s="144"/>
      <c r="C64" s="116" t="str">
        <f t="shared" si="2"/>
        <v>setlist</v>
      </c>
      <c r="D64" s="118" t="s">
        <v>1420</v>
      </c>
      <c r="E64" s="118" t="s">
        <v>1421</v>
      </c>
      <c r="F64" s="115" t="s">
        <v>712</v>
      </c>
      <c r="G64" s="115" t="s">
        <v>36</v>
      </c>
      <c r="H64" s="116" t="str">
        <f>HYPERLINK("http://www.mediafire.com/download/e2qe2a8om932x04/1994-06-23_-_Phoenix_Plaza_Theatre_-_Pontiac%2C_MI.rar", "download link")</f>
        <v>download link</v>
      </c>
      <c r="I64" s="117" t="s">
        <v>1422</v>
      </c>
      <c r="J64" s="146"/>
    </row>
    <row r="65">
      <c r="A65" s="103">
        <v>34509.0</v>
      </c>
      <c r="B65" s="104"/>
      <c r="C65" s="105" t="str">
        <f t="shared" si="2"/>
        <v>setlist</v>
      </c>
      <c r="D65" s="106" t="s">
        <v>1288</v>
      </c>
      <c r="E65" s="106" t="s">
        <v>1289</v>
      </c>
      <c r="F65" s="107" t="s">
        <v>508</v>
      </c>
      <c r="G65" s="107" t="s">
        <v>36</v>
      </c>
      <c r="H65" s="105" t="str">
        <f>HYPERLINK("http://www.mediafire.com/download/kif5bi5b1l5313i/1994-06-24_-_Murat_Theatre_-_Indianapolis%2C_IN.rar", "download link")</f>
        <v>download link</v>
      </c>
      <c r="I65" s="134" t="s">
        <v>1417</v>
      </c>
      <c r="J65" s="109"/>
    </row>
    <row r="66">
      <c r="A66" s="142">
        <v>34510.0</v>
      </c>
      <c r="B66" s="144"/>
      <c r="C66" s="116" t="str">
        <f t="shared" si="2"/>
        <v>setlist</v>
      </c>
      <c r="D66" s="118" t="s">
        <v>1281</v>
      </c>
      <c r="E66" s="118" t="s">
        <v>773</v>
      </c>
      <c r="F66" s="115" t="s">
        <v>472</v>
      </c>
      <c r="G66" s="115" t="s">
        <v>36</v>
      </c>
      <c r="H66" s="116" t="str">
        <f>HYPERLINK("http://www.mediafire.com/download/0zagvp1cxuw804r/1994-06-25_-_Nautica_Stage_-_Cleveland%2C_OH.rar", "download link")</f>
        <v>download link</v>
      </c>
      <c r="I66" s="117" t="s">
        <v>1423</v>
      </c>
      <c r="J66" s="146"/>
    </row>
    <row r="67">
      <c r="A67" s="103">
        <v>34511.0</v>
      </c>
      <c r="B67" s="104"/>
      <c r="C67" s="105" t="str">
        <f t="shared" si="2"/>
        <v>setlist</v>
      </c>
      <c r="D67" s="106" t="s">
        <v>1424</v>
      </c>
      <c r="E67" s="106" t="s">
        <v>429</v>
      </c>
      <c r="F67" s="107" t="s">
        <v>874</v>
      </c>
      <c r="G67" s="107" t="s">
        <v>36</v>
      </c>
      <c r="H67" s="105" t="str">
        <f>HYPERLINK("http://www.mediafire.com/download/135lw07167p5oa3/1994-06-26_-_Municipal_Auditorium_-_Charleston%2C_WV.rar", "download link")</f>
        <v>download link</v>
      </c>
      <c r="I67" s="134" t="s">
        <v>1425</v>
      </c>
      <c r="J67" s="109"/>
    </row>
    <row r="68">
      <c r="A68" s="142">
        <v>34514.0</v>
      </c>
      <c r="B68" s="144"/>
      <c r="C68" s="116" t="str">
        <f t="shared" si="2"/>
        <v>setlist</v>
      </c>
      <c r="D68" s="118" t="s">
        <v>1426</v>
      </c>
      <c r="E68" s="118" t="s">
        <v>536</v>
      </c>
      <c r="F68" s="115" t="s">
        <v>443</v>
      </c>
      <c r="G68" s="115" t="s">
        <v>36</v>
      </c>
      <c r="H68" s="116" t="str">
        <f>HYPERLINK("http://www.mediafire.com/download/y1zgcv81oh4bmxm/1994-06-29_-_Walnut_Creek_Amphitheater_-_Raleigh%2C_NC.rar", "download link")</f>
        <v>download link</v>
      </c>
      <c r="I68" s="117" t="s">
        <v>1427</v>
      </c>
      <c r="J68" s="146"/>
    </row>
    <row r="69">
      <c r="A69" s="103">
        <v>34515.0</v>
      </c>
      <c r="B69" s="104"/>
      <c r="C69" s="105" t="str">
        <f t="shared" si="2"/>
        <v>setlist</v>
      </c>
      <c r="D69" s="106" t="s">
        <v>1261</v>
      </c>
      <c r="E69" s="106" t="s">
        <v>445</v>
      </c>
      <c r="F69" s="107" t="s">
        <v>446</v>
      </c>
      <c r="G69" s="107" t="s">
        <v>36</v>
      </c>
      <c r="H69" s="105" t="str">
        <f>HYPERLINK("http://www.mediafire.com/download/i685a77z7w7895t/1994-06-30_-_Classic_Amphitheater_-_Richmond%2C_VA.rar", "download link")</f>
        <v>download link</v>
      </c>
      <c r="I69" s="134" t="s">
        <v>1428</v>
      </c>
      <c r="J69" s="109"/>
    </row>
    <row r="70">
      <c r="A70" s="142">
        <v>34516.0</v>
      </c>
      <c r="B70" s="144"/>
      <c r="C70" s="116" t="str">
        <f t="shared" si="2"/>
        <v>setlist</v>
      </c>
      <c r="D70" s="118" t="s">
        <v>1001</v>
      </c>
      <c r="E70" s="118" t="s">
        <v>871</v>
      </c>
      <c r="F70" s="115" t="s">
        <v>212</v>
      </c>
      <c r="G70" s="115" t="s">
        <v>36</v>
      </c>
      <c r="H70" s="116" t="str">
        <f>HYPERLINK("http://www.mediafire.com/download/78nw1dzbod18w3k/1994-07-01_-_The_Mann_Center_for_the_Performing_Arts_-_Philadelphia%2C_PA.rar", "download link")</f>
        <v>download link</v>
      </c>
      <c r="I70" s="117" t="s">
        <v>1331</v>
      </c>
      <c r="J70" s="146"/>
    </row>
    <row r="71">
      <c r="A71" s="103">
        <v>34517.0</v>
      </c>
      <c r="B71" s="104"/>
      <c r="C71" s="105" t="str">
        <f t="shared" si="2"/>
        <v>setlist</v>
      </c>
      <c r="D71" s="106" t="s">
        <v>991</v>
      </c>
      <c r="E71" s="106" t="s">
        <v>992</v>
      </c>
      <c r="F71" s="107" t="s">
        <v>43</v>
      </c>
      <c r="G71" s="107" t="s">
        <v>36</v>
      </c>
      <c r="H71" s="105" t="str">
        <f>HYPERLINK("http://www.mediafire.com/download/9yk1bb9e5xu5zq5/1994-07-02_-_Garden_State_Arts_Center_-_Holmdel%2C_NJ.rar", "download link")</f>
        <v>download link</v>
      </c>
      <c r="I71" s="134" t="s">
        <v>1429</v>
      </c>
      <c r="J71" s="109"/>
    </row>
    <row r="72">
      <c r="A72" s="142">
        <v>34518.0</v>
      </c>
      <c r="B72" s="144"/>
      <c r="C72" s="116" t="str">
        <f t="shared" si="2"/>
        <v>setlist</v>
      </c>
      <c r="D72" s="118" t="s">
        <v>1430</v>
      </c>
      <c r="E72" s="118" t="s">
        <v>1431</v>
      </c>
      <c r="F72" s="115" t="s">
        <v>257</v>
      </c>
      <c r="G72" s="115" t="s">
        <v>36</v>
      </c>
      <c r="H72" s="116" t="str">
        <f>HYPERLINK("http://www.mediafire.com/download/skhnp3qz8a3o88u/1994-07-03_-_The_Ballpark_-_Old_Orchard_Beach%2C_ME.rar", "download link")</f>
        <v>download link</v>
      </c>
      <c r="I72" s="117" t="s">
        <v>1432</v>
      </c>
      <c r="J72" s="146"/>
    </row>
    <row r="73">
      <c r="A73" s="103">
        <v>34520.0</v>
      </c>
      <c r="B73" s="104"/>
      <c r="C73" s="105" t="str">
        <f t="shared" si="2"/>
        <v>setlist</v>
      </c>
      <c r="D73" s="106" t="s">
        <v>1433</v>
      </c>
      <c r="E73" s="106" t="s">
        <v>1434</v>
      </c>
      <c r="F73" s="107" t="s">
        <v>1091</v>
      </c>
      <c r="G73" s="107" t="s">
        <v>36</v>
      </c>
      <c r="H73" s="105" t="str">
        <f>HYPERLINK("http://www.mediafire.com/download/lgyt9aurd6wqbg7/1994-07-05_-_Congress_Center_-_Ottawa%2C_Ontario%2C_Canada.rar", "download link")</f>
        <v>download link</v>
      </c>
      <c r="I73" s="134" t="s">
        <v>1435</v>
      </c>
      <c r="J73" s="106" t="s">
        <v>1436</v>
      </c>
    </row>
    <row r="74">
      <c r="A74" s="142">
        <v>34521.0</v>
      </c>
      <c r="B74" s="144"/>
      <c r="C74" s="116" t="str">
        <f t="shared" si="2"/>
        <v>setlist</v>
      </c>
      <c r="D74" s="118" t="s">
        <v>1437</v>
      </c>
      <c r="E74" s="118" t="s">
        <v>337</v>
      </c>
      <c r="F74" s="115" t="s">
        <v>338</v>
      </c>
      <c r="G74" s="115" t="s">
        <v>36</v>
      </c>
      <c r="H74" s="116" t="str">
        <f>HYPERLINK("http://www.mediafire.com/download/k49c5jz99l5pdwf/1994-07-06_-_Theatre_St._Denis_-_Montreal%2C_Quebec%2C_Canada.rar", "download link")</f>
        <v>download link</v>
      </c>
      <c r="I74" s="117" t="s">
        <v>1438</v>
      </c>
      <c r="J74" s="146"/>
    </row>
    <row r="75">
      <c r="A75" s="103">
        <v>34523.0</v>
      </c>
      <c r="B75" s="107" t="s">
        <v>32</v>
      </c>
      <c r="C75" s="105" t="str">
        <f t="shared" si="2"/>
        <v>setlist</v>
      </c>
      <c r="D75" s="106" t="s">
        <v>1003</v>
      </c>
      <c r="E75" s="106" t="s">
        <v>1004</v>
      </c>
      <c r="F75" s="107" t="s">
        <v>95</v>
      </c>
      <c r="G75" s="107" t="s">
        <v>36</v>
      </c>
      <c r="H75" s="105" t="str">
        <f>HYPERLINK("http://www.mediafire.com/download/n6ae2lqg6vl47bd/1994-07-08_-_Great_Woods_Center_for_the_Performing_Arts_-_Mansfield%2C_MA.rar", "download link")</f>
        <v>download link</v>
      </c>
      <c r="I75" s="134" t="s">
        <v>1313</v>
      </c>
      <c r="J75" s="106"/>
    </row>
    <row r="76">
      <c r="A76" s="142">
        <v>34524.0</v>
      </c>
      <c r="B76" s="144"/>
      <c r="C76" s="116" t="str">
        <f t="shared" si="2"/>
        <v>setlist</v>
      </c>
      <c r="D76" s="118" t="s">
        <v>1003</v>
      </c>
      <c r="E76" s="118" t="s">
        <v>1004</v>
      </c>
      <c r="F76" s="115" t="s">
        <v>95</v>
      </c>
      <c r="G76" s="115" t="s">
        <v>36</v>
      </c>
      <c r="H76" s="116" t="str">
        <f>HYPERLINK("http://www.mediafire.com/download/tqx7pa6hsqbp619/1994-07-09_-_Great_Woods_Center_for_the_Performing_Arts_-_Mansfield%2C_MA.rar", "download link")</f>
        <v>download link</v>
      </c>
      <c r="I76" s="117" t="s">
        <v>1313</v>
      </c>
      <c r="J76" s="146"/>
    </row>
    <row r="77">
      <c r="A77" s="103">
        <v>34525.0</v>
      </c>
      <c r="B77" s="104"/>
      <c r="C77" s="105" t="str">
        <f t="shared" si="2"/>
        <v>setlist</v>
      </c>
      <c r="D77" s="106" t="s">
        <v>1015</v>
      </c>
      <c r="E77" s="106" t="s">
        <v>1439</v>
      </c>
      <c r="F77" s="107" t="s">
        <v>129</v>
      </c>
      <c r="G77" s="107" t="s">
        <v>36</v>
      </c>
      <c r="H77" s="105" t="str">
        <f>HYPERLINK("http://www.mediafire.com/download/kwbm9eevbc0kn30/1994-07-10_-_Saratoga_Performing_Arts_Center_-_Saratoga_Springs%2C_NY.rar", "download link")</f>
        <v>download link</v>
      </c>
      <c r="I77" s="134" t="s">
        <v>1440</v>
      </c>
      <c r="J77" s="109"/>
    </row>
    <row r="78">
      <c r="A78" s="142">
        <v>34528.0</v>
      </c>
      <c r="B78" s="115" t="s">
        <v>32</v>
      </c>
      <c r="C78" s="116" t="str">
        <f t="shared" si="2"/>
        <v>setlist</v>
      </c>
      <c r="D78" s="118" t="s">
        <v>1013</v>
      </c>
      <c r="E78" s="118" t="s">
        <v>1014</v>
      </c>
      <c r="F78" s="115" t="s">
        <v>129</v>
      </c>
      <c r="G78" s="115" t="s">
        <v>36</v>
      </c>
      <c r="H78" s="116" t="str">
        <f>HYPERLINK("http://www.mediafire.com/download/r4391hwdq09ilbh/1994-07-13_-_Big_Birch_Concert_Pavilion_-_Patterson%2C_NY.rar", "download link")</f>
        <v>download link</v>
      </c>
      <c r="I78" s="117" t="s">
        <v>1441</v>
      </c>
      <c r="J78" s="117" t="s">
        <v>1442</v>
      </c>
    </row>
    <row r="79">
      <c r="A79" s="103">
        <v>34529.0</v>
      </c>
      <c r="B79" s="104"/>
      <c r="C79" s="105" t="str">
        <f t="shared" si="2"/>
        <v>setlist</v>
      </c>
      <c r="D79" s="106" t="s">
        <v>1018</v>
      </c>
      <c r="E79" s="106" t="s">
        <v>1019</v>
      </c>
      <c r="F79" s="107" t="s">
        <v>129</v>
      </c>
      <c r="G79" s="107" t="s">
        <v>36</v>
      </c>
      <c r="H79" s="105" t="str">
        <f>HYPERLINK("http://www.mediafire.com/download/a5i9lcmhoscj1ct/1994-07-14_-_Finger_Lakes_Performing_Arts_Center_-_Canandaigua%2C_NY.rar", "download link")</f>
        <v>download link</v>
      </c>
      <c r="I79" s="134" t="s">
        <v>1443</v>
      </c>
      <c r="J79" s="109"/>
    </row>
    <row r="80">
      <c r="A80" s="142">
        <v>34530.0</v>
      </c>
      <c r="B80" s="144"/>
      <c r="C80" s="116" t="str">
        <f t="shared" si="2"/>
        <v>setlist</v>
      </c>
      <c r="D80" s="118" t="s">
        <v>993</v>
      </c>
      <c r="E80" s="118" t="s">
        <v>994</v>
      </c>
      <c r="F80" s="115" t="s">
        <v>129</v>
      </c>
      <c r="G80" s="115" t="s">
        <v>36</v>
      </c>
      <c r="H80" s="116" t="str">
        <f>HYPERLINK("http://www.mediafire.com/download/9aq9ablaqre09up/1994-07-15_-_Jones_Beach_Amphitheater_-_Wantagh%2C_NY.rar", "download link")</f>
        <v>download link</v>
      </c>
      <c r="I80" s="117" t="s">
        <v>1313</v>
      </c>
      <c r="J80" s="146"/>
    </row>
    <row r="81">
      <c r="A81" s="186">
        <v>34531.0</v>
      </c>
      <c r="B81" s="187"/>
      <c r="C81" s="123" t="str">
        <f t="shared" si="2"/>
        <v>setlist</v>
      </c>
      <c r="D81" s="122" t="s">
        <v>1444</v>
      </c>
      <c r="E81" s="122" t="s">
        <v>1445</v>
      </c>
      <c r="F81" s="120" t="s">
        <v>35</v>
      </c>
      <c r="G81" s="120" t="s">
        <v>36</v>
      </c>
      <c r="H81" s="105" t="str">
        <f>HYPERLINK("http://www.mediafire.com/download/wkwccaup69kwbgv/1994-07-16_-_Summer_Stage_at_Sugarbush_-_North_Fayston%2C_VT.rar", "download link")</f>
        <v>download link</v>
      </c>
      <c r="I81" s="137" t="s">
        <v>1446</v>
      </c>
      <c r="J81" s="189"/>
    </row>
    <row r="82">
      <c r="A82" s="92"/>
      <c r="B82" s="93"/>
      <c r="C82" s="94"/>
      <c r="D82" s="83" t="s">
        <v>1447</v>
      </c>
      <c r="E82" s="95"/>
      <c r="F82" s="93"/>
      <c r="G82" s="93"/>
      <c r="H82" s="93"/>
      <c r="I82" s="95"/>
      <c r="J82" s="95"/>
    </row>
    <row r="83">
      <c r="A83" s="125">
        <v>34614.0</v>
      </c>
      <c r="B83" s="126"/>
      <c r="C83" s="98" t="str">
        <f t="shared" ref="C83:C129" si="3">HYPERLINK("http://www.phish.net/setlists/?d="&amp;RIGHT(TEXT(A83,"mm/dd/yyyy"),4)&amp;"-"&amp;LEFT(TEXT(A83,"mm/dd/yyyy"),2)&amp;"-"&amp;MID(TEXT(A83,"mm/dd/yyyy"),4,2), "setlist")</f>
        <v>setlist</v>
      </c>
      <c r="D83" s="102" t="s">
        <v>1448</v>
      </c>
      <c r="E83" s="102" t="s">
        <v>1449</v>
      </c>
      <c r="F83" s="127" t="s">
        <v>212</v>
      </c>
      <c r="G83" s="127" t="s">
        <v>36</v>
      </c>
      <c r="H83" s="98" t="str">
        <f>HYPERLINK("http://www.mediafire.com/download/bdgc3qlba4teb0p/1994-10-07_-_Stabler_Arena%2C_Lehigh_University_-_Bethlehem%2C_PA.rar", "download link")</f>
        <v>download link</v>
      </c>
      <c r="I83" s="101" t="s">
        <v>1313</v>
      </c>
      <c r="J83" s="129"/>
    </row>
    <row r="84">
      <c r="A84" s="103">
        <v>34615.0</v>
      </c>
      <c r="B84" s="104"/>
      <c r="C84" s="105" t="str">
        <f t="shared" si="3"/>
        <v>setlist</v>
      </c>
      <c r="D84" s="106" t="s">
        <v>1335</v>
      </c>
      <c r="E84" s="106" t="s">
        <v>1336</v>
      </c>
      <c r="F84" s="107" t="s">
        <v>446</v>
      </c>
      <c r="G84" s="107" t="s">
        <v>36</v>
      </c>
      <c r="H84" s="105" t="str">
        <f>HYPERLINK("http://www.mediafire.com/download/6s9d6f2u511ohqq/1994-10-08_-_Patriot_Center%2C_George_Mason_University_-_Fairfax%2C_VA.rar", "download link")</f>
        <v>download link</v>
      </c>
      <c r="I84" s="134" t="s">
        <v>1450</v>
      </c>
      <c r="J84" s="109"/>
    </row>
    <row r="85">
      <c r="A85" s="110">
        <v>34616.0</v>
      </c>
      <c r="B85" s="111"/>
      <c r="C85" s="135" t="str">
        <f t="shared" si="3"/>
        <v>setlist</v>
      </c>
      <c r="D85" s="113" t="s">
        <v>1451</v>
      </c>
      <c r="E85" s="113" t="s">
        <v>1073</v>
      </c>
      <c r="F85" s="114" t="s">
        <v>212</v>
      </c>
      <c r="G85" s="114" t="s">
        <v>36</v>
      </c>
      <c r="H85" s="116" t="str">
        <f>HYPERLINK("http://www.mediafire.com/download/zq2txqufypx0ocy/1994-10-09_-_A.J._Palumbo_Center_-_Pittsburgh%2C_PA.rar", "download link")</f>
        <v>download link</v>
      </c>
      <c r="I85" s="136" t="s">
        <v>1452</v>
      </c>
      <c r="J85" s="80"/>
    </row>
    <row r="86">
      <c r="A86" s="103">
        <v>34617.0</v>
      </c>
      <c r="B86" s="104"/>
      <c r="C86" s="105" t="str">
        <f t="shared" si="3"/>
        <v>setlist</v>
      </c>
      <c r="D86" s="106" t="s">
        <v>866</v>
      </c>
      <c r="E86" s="106" t="s">
        <v>1209</v>
      </c>
      <c r="F86" s="107" t="s">
        <v>1210</v>
      </c>
      <c r="G86" s="107" t="s">
        <v>36</v>
      </c>
      <c r="H86" s="105" t="str">
        <f>HYPERLINK("http://www.mediafire.com/download/41a10giaaz4244k/1994-10-10_-_Palace_Theatre_-_Louisville%2C_KY.rar", "download link")</f>
        <v>download link</v>
      </c>
      <c r="I86" s="134" t="s">
        <v>1453</v>
      </c>
      <c r="J86" s="109"/>
    </row>
    <row r="87">
      <c r="A87" s="110">
        <v>34619.0</v>
      </c>
      <c r="B87" s="111"/>
      <c r="C87" s="135" t="str">
        <f t="shared" si="3"/>
        <v>setlist</v>
      </c>
      <c r="D87" s="113" t="s">
        <v>1454</v>
      </c>
      <c r="E87" s="113" t="s">
        <v>656</v>
      </c>
      <c r="F87" s="114" t="s">
        <v>650</v>
      </c>
      <c r="G87" s="114" t="s">
        <v>36</v>
      </c>
      <c r="H87" s="116" t="str">
        <f>HYPERLINK("http://www.mediafire.com/download/uz7dx5huwu8nt1z/1994-10-12_-_Orpheum_Theatre_-_Memphis%2C_TN.rar", "download link")</f>
        <v>download link</v>
      </c>
      <c r="I87" s="136" t="s">
        <v>1455</v>
      </c>
      <c r="J87" s="80"/>
    </row>
    <row r="88">
      <c r="A88" s="103">
        <v>34620.0</v>
      </c>
      <c r="B88" s="104"/>
      <c r="C88" s="105" t="str">
        <f t="shared" si="3"/>
        <v>setlist</v>
      </c>
      <c r="D88" s="106" t="s">
        <v>1456</v>
      </c>
      <c r="E88" s="106" t="s">
        <v>658</v>
      </c>
      <c r="F88" s="107" t="s">
        <v>659</v>
      </c>
      <c r="G88" s="107" t="s">
        <v>36</v>
      </c>
      <c r="H88" s="105" t="str">
        <f>HYPERLINK("http://www.mediafire.com/download/wefvyod6hdoiivg/1994-10-13_-_University_of_Mississippi_-_Oxford%2C_MS.rar", "download link")</f>
        <v>download link</v>
      </c>
      <c r="I88" s="134" t="s">
        <v>1457</v>
      </c>
      <c r="J88" s="109"/>
    </row>
    <row r="89">
      <c r="A89" s="110">
        <v>34621.0</v>
      </c>
      <c r="B89" s="111"/>
      <c r="C89" s="135" t="str">
        <f t="shared" si="3"/>
        <v>setlist</v>
      </c>
      <c r="D89" s="113" t="s">
        <v>1458</v>
      </c>
      <c r="E89" s="113" t="s">
        <v>585</v>
      </c>
      <c r="F89" s="114" t="s">
        <v>586</v>
      </c>
      <c r="G89" s="114" t="s">
        <v>36</v>
      </c>
      <c r="H89" s="116" t="str">
        <f>HYPERLINK("http://www.mediafire.com/download/915q6mrldr4lrcg/1994-10-14_-_McAlister_Auditorium%2C_Tulane_University_-_New_Orleans%2C_LA.rar", "download link")</f>
        <v>download link</v>
      </c>
      <c r="I89" s="136" t="s">
        <v>1459</v>
      </c>
      <c r="J89" s="80"/>
    </row>
    <row r="90">
      <c r="A90" s="103">
        <v>34622.0</v>
      </c>
      <c r="B90" s="104"/>
      <c r="C90" s="105" t="str">
        <f t="shared" si="3"/>
        <v>setlist</v>
      </c>
      <c r="D90" s="134" t="s">
        <v>1460</v>
      </c>
      <c r="E90" s="106" t="s">
        <v>1461</v>
      </c>
      <c r="F90" s="107" t="s">
        <v>583</v>
      </c>
      <c r="G90" s="107" t="s">
        <v>36</v>
      </c>
      <c r="H90" s="105" t="str">
        <f>HYPERLINK("http://www.mediafire.com/download/ilgilkmgl83481i/1994-10-15_-_Oak_Mountain_Amphitheatre_-_Pelham%2C_AL.rar", "download link")</f>
        <v>download link</v>
      </c>
      <c r="I90" s="134" t="s">
        <v>1462</v>
      </c>
      <c r="J90" s="109"/>
    </row>
    <row r="91">
      <c r="A91" s="110">
        <v>34623.0</v>
      </c>
      <c r="B91" s="111"/>
      <c r="C91" s="135" t="str">
        <f t="shared" si="3"/>
        <v>setlist</v>
      </c>
      <c r="D91" s="113" t="s">
        <v>1463</v>
      </c>
      <c r="E91" s="113" t="s">
        <v>1464</v>
      </c>
      <c r="F91" s="114" t="s">
        <v>650</v>
      </c>
      <c r="G91" s="114" t="s">
        <v>36</v>
      </c>
      <c r="H91" s="116" t="str">
        <f>HYPERLINK("http://www.mediafire.com/download/etj48m5ha2edmb4/1994-10-16_-_Soldiers_and_Sailors_Memorial_Auditorium_-_Chattanooga%2C_TN.rar", "download link")</f>
        <v>download link</v>
      </c>
      <c r="I91" s="136" t="s">
        <v>1465</v>
      </c>
      <c r="J91" s="80"/>
    </row>
    <row r="92">
      <c r="A92" s="103">
        <v>34625.0</v>
      </c>
      <c r="B92" s="107" t="s">
        <v>32</v>
      </c>
      <c r="C92" s="105" t="str">
        <f t="shared" si="3"/>
        <v>setlist</v>
      </c>
      <c r="D92" s="106" t="s">
        <v>1466</v>
      </c>
      <c r="E92" s="106" t="s">
        <v>652</v>
      </c>
      <c r="F92" s="107" t="s">
        <v>650</v>
      </c>
      <c r="G92" s="107" t="s">
        <v>36</v>
      </c>
      <c r="H92" s="105" t="str">
        <f>HYPERLINK("http://www.mediafire.com/download/q0bm1792tfnnjoi/1994-10-18_-_Vanderbilt_University_Memorial_Gym_-_Nashville%2C_TN.rar", "download link")</f>
        <v>download link</v>
      </c>
      <c r="I92" s="134" t="s">
        <v>1349</v>
      </c>
      <c r="J92" s="106" t="s">
        <v>1198</v>
      </c>
    </row>
    <row r="93">
      <c r="A93" s="110">
        <v>34627.0</v>
      </c>
      <c r="B93" s="111"/>
      <c r="C93" s="135" t="str">
        <f t="shared" si="3"/>
        <v>setlist</v>
      </c>
      <c r="D93" s="113" t="s">
        <v>1467</v>
      </c>
      <c r="E93" s="113" t="s">
        <v>1468</v>
      </c>
      <c r="F93" s="114" t="s">
        <v>1133</v>
      </c>
      <c r="G93" s="114" t="s">
        <v>36</v>
      </c>
      <c r="H93" s="116" t="str">
        <f>HYPERLINK("http://www.mediafire.com/download/valcm9386ffr3lm/1994-10-20_-_Mahaffey_Theatre_-_St._Petersburg%2C_FL.rar", "download link")</f>
        <v>download link</v>
      </c>
      <c r="I93" s="136" t="s">
        <v>1469</v>
      </c>
      <c r="J93" s="80"/>
    </row>
    <row r="94">
      <c r="A94" s="103">
        <v>34628.0</v>
      </c>
      <c r="B94" s="104"/>
      <c r="C94" s="105" t="str">
        <f t="shared" si="3"/>
        <v>setlist</v>
      </c>
      <c r="D94" s="106" t="s">
        <v>1470</v>
      </c>
      <c r="E94" s="106" t="s">
        <v>1471</v>
      </c>
      <c r="F94" s="107" t="s">
        <v>1133</v>
      </c>
      <c r="G94" s="107" t="s">
        <v>36</v>
      </c>
      <c r="H94" s="105" t="str">
        <f>HYPERLINK("http://www.mediafire.com/download/i7zd3g4u8632r6s/1994-10-21_-_Sunrise_Musical_Theatre_-_Sunrise%2C_FL.rar", "download link")</f>
        <v>download link</v>
      </c>
      <c r="I94" s="134" t="s">
        <v>1472</v>
      </c>
      <c r="J94" s="109"/>
    </row>
    <row r="95">
      <c r="A95" s="110">
        <v>34629.0</v>
      </c>
      <c r="B95" s="111"/>
      <c r="C95" s="135" t="str">
        <f t="shared" si="3"/>
        <v>setlist</v>
      </c>
      <c r="D95" s="113" t="s">
        <v>1473</v>
      </c>
      <c r="E95" s="113" t="s">
        <v>1136</v>
      </c>
      <c r="F95" s="114" t="s">
        <v>1133</v>
      </c>
      <c r="G95" s="114" t="s">
        <v>36</v>
      </c>
      <c r="H95" s="116" t="str">
        <f>HYPERLINK("http://www.mediafire.com/download/2bq1bze6ke3ynl3/1994-10-22_-_The_Edge_Concert_Field_-_Orlando%2C_FL.rar", "download link")</f>
        <v>download link</v>
      </c>
      <c r="I95" s="136" t="s">
        <v>1474</v>
      </c>
      <c r="J95" s="80"/>
    </row>
    <row r="96">
      <c r="A96" s="103">
        <v>34630.0</v>
      </c>
      <c r="B96" s="104"/>
      <c r="C96" s="105" t="str">
        <f t="shared" si="3"/>
        <v>setlist</v>
      </c>
      <c r="D96" s="106" t="s">
        <v>1475</v>
      </c>
      <c r="E96" s="106" t="s">
        <v>1476</v>
      </c>
      <c r="F96" s="107" t="s">
        <v>1133</v>
      </c>
      <c r="G96" s="107" t="s">
        <v>36</v>
      </c>
      <c r="H96" s="105" t="str">
        <f>HYPERLINK("http://www.mediafire.com/download/jdsuy7574dw80wj/1994-10-23_-_Band_Shell%2C_University_of_Florida_-_Gainesville%2C_FL.rar", "download link")</f>
        <v>download link</v>
      </c>
      <c r="I96" s="134" t="s">
        <v>1477</v>
      </c>
      <c r="J96" s="109"/>
    </row>
    <row r="97">
      <c r="A97" s="110">
        <v>34632.0</v>
      </c>
      <c r="B97" s="111"/>
      <c r="C97" s="135" t="str">
        <f t="shared" si="3"/>
        <v>setlist</v>
      </c>
      <c r="D97" s="113" t="s">
        <v>1478</v>
      </c>
      <c r="E97" s="113" t="s">
        <v>437</v>
      </c>
      <c r="F97" s="114" t="s">
        <v>433</v>
      </c>
      <c r="G97" s="114" t="s">
        <v>36</v>
      </c>
      <c r="H97" s="116" t="str">
        <f>HYPERLINK("http://www.mediafire.com/download/gi9s409slaaz87w/1994-10-25_-_Atlanta_Civic_Center_-_Atlanta%2C_GA.rar", "download link")</f>
        <v>download link</v>
      </c>
      <c r="I97" s="136" t="s">
        <v>1479</v>
      </c>
      <c r="J97" s="80"/>
    </row>
    <row r="98">
      <c r="A98" s="103">
        <v>34633.0</v>
      </c>
      <c r="B98" s="104"/>
      <c r="C98" s="105" t="str">
        <f t="shared" si="3"/>
        <v>setlist</v>
      </c>
      <c r="D98" s="106" t="s">
        <v>1480</v>
      </c>
      <c r="E98" s="106" t="s">
        <v>1481</v>
      </c>
      <c r="F98" s="107" t="s">
        <v>443</v>
      </c>
      <c r="G98" s="107" t="s">
        <v>36</v>
      </c>
      <c r="H98" s="105" t="str">
        <f>HYPERLINK("http://www.mediafire.com/download/cwgla6kppuscmrb/1994-10-26_-_Varsity_Gym%2C_Appalachian_State_University_-_Boone%2C_NC.rar", "download link")</f>
        <v>download link</v>
      </c>
      <c r="I98" s="134" t="s">
        <v>1482</v>
      </c>
      <c r="J98" s="109"/>
    </row>
    <row r="99">
      <c r="A99" s="110">
        <v>34634.0</v>
      </c>
      <c r="B99" s="111"/>
      <c r="C99" s="135" t="str">
        <f t="shared" si="3"/>
        <v>setlist</v>
      </c>
      <c r="D99" s="113" t="s">
        <v>1483</v>
      </c>
      <c r="E99" s="113" t="s">
        <v>579</v>
      </c>
      <c r="F99" s="114" t="s">
        <v>446</v>
      </c>
      <c r="G99" s="114" t="s">
        <v>36</v>
      </c>
      <c r="H99" s="116" t="str">
        <f>HYPERLINK("http://www.mediafire.com/download/i615gionhlwo8m9/1994-10-27_-_University_Hall%2C_University_of_Virginia_-_Charlottesville%2C_VA.rar", "download link")</f>
        <v>download link</v>
      </c>
      <c r="I99" s="136" t="s">
        <v>1484</v>
      </c>
      <c r="J99" s="80"/>
    </row>
    <row r="100">
      <c r="A100" s="103">
        <v>34635.0</v>
      </c>
      <c r="B100" s="104"/>
      <c r="C100" s="105" t="str">
        <f t="shared" si="3"/>
        <v>setlist</v>
      </c>
      <c r="D100" s="106" t="s">
        <v>1485</v>
      </c>
      <c r="E100" s="106" t="s">
        <v>429</v>
      </c>
      <c r="F100" s="107" t="s">
        <v>430</v>
      </c>
      <c r="G100" s="107" t="s">
        <v>36</v>
      </c>
      <c r="H100" s="105" t="str">
        <f>HYPERLINK("http://www.mediafire.com/download/4bmmp12zc0cq2a4/1994-10-28_-_Galliard_Auditorium_-_Charleston%2C_SC.rar", "download link")</f>
        <v>download link</v>
      </c>
      <c r="I100" s="134" t="s">
        <v>1486</v>
      </c>
      <c r="J100" s="109"/>
    </row>
    <row r="101">
      <c r="A101" s="110">
        <v>34636.0</v>
      </c>
      <c r="B101" s="114" t="s">
        <v>32</v>
      </c>
      <c r="C101" s="135" t="str">
        <f t="shared" si="3"/>
        <v>setlist</v>
      </c>
      <c r="D101" s="113" t="s">
        <v>1487</v>
      </c>
      <c r="E101" s="113" t="s">
        <v>1488</v>
      </c>
      <c r="F101" s="114" t="s">
        <v>430</v>
      </c>
      <c r="G101" s="114" t="s">
        <v>36</v>
      </c>
      <c r="H101" s="116" t="str">
        <f>HYPERLINK("http://www.mediafire.com/download/tcl1ec8r1me0ehk/1994-10-29_-_Spartanburg_Memorial_Auditorium_-_Spartanburg%2C_SC.rar", "download link")</f>
        <v>download link</v>
      </c>
      <c r="I101" s="136" t="s">
        <v>1349</v>
      </c>
      <c r="J101" s="80"/>
    </row>
    <row r="102">
      <c r="A102" s="103">
        <v>34638.0</v>
      </c>
      <c r="B102" s="104"/>
      <c r="C102" s="105" t="str">
        <f t="shared" si="3"/>
        <v>setlist</v>
      </c>
      <c r="D102" s="106" t="s">
        <v>1489</v>
      </c>
      <c r="E102" s="106" t="s">
        <v>1490</v>
      </c>
      <c r="F102" s="107" t="s">
        <v>129</v>
      </c>
      <c r="G102" s="107" t="s">
        <v>36</v>
      </c>
      <c r="H102" s="105" t="str">
        <f>HYPERLINK("http://www.mediafire.com/download/3ho70lbz7xpn552/1994-10-31_-_Glens_Falls_Civic_Center_-_Glens_Falls%2C_NY.rar", "download link")</f>
        <v>download link</v>
      </c>
      <c r="I102" s="134" t="s">
        <v>1423</v>
      </c>
      <c r="J102" s="109"/>
    </row>
    <row r="103">
      <c r="A103" s="110">
        <v>34640.0</v>
      </c>
      <c r="B103" s="114" t="s">
        <v>32</v>
      </c>
      <c r="C103" s="135" t="str">
        <f t="shared" si="3"/>
        <v>setlist</v>
      </c>
      <c r="D103" s="113" t="s">
        <v>1235</v>
      </c>
      <c r="E103" s="113" t="s">
        <v>1236</v>
      </c>
      <c r="F103" s="114" t="s">
        <v>257</v>
      </c>
      <c r="G103" s="114" t="s">
        <v>36</v>
      </c>
      <c r="H103" s="135" t="str">
        <f>HYPERLINK("http://www.mediafire.com/download/ltg25wniiwt44jn/1994-11-02_-_Bangor_Auditorium_-_Bangor%2C_ME.rar", "download link")</f>
        <v>download link</v>
      </c>
      <c r="I103" s="136" t="s">
        <v>1491</v>
      </c>
      <c r="J103" s="113"/>
    </row>
    <row r="104">
      <c r="A104" s="103">
        <v>34641.0</v>
      </c>
      <c r="B104" s="104"/>
      <c r="C104" s="105" t="str">
        <f t="shared" si="3"/>
        <v>setlist</v>
      </c>
      <c r="D104" s="106" t="s">
        <v>1333</v>
      </c>
      <c r="E104" s="106" t="s">
        <v>164</v>
      </c>
      <c r="F104" s="107" t="s">
        <v>95</v>
      </c>
      <c r="G104" s="107" t="s">
        <v>36</v>
      </c>
      <c r="H104" s="105" t="str">
        <f>HYPERLINK("http://www.mediafire.com/download/2canqp9efkkx9st/1994-11-03_-_Mullins_Center%2C_University_of_Massachusetts_-_Amherst%2C_MA.rar", "download link")</f>
        <v>download link</v>
      </c>
      <c r="I104" s="134" t="s">
        <v>1492</v>
      </c>
      <c r="J104" s="109"/>
    </row>
    <row r="105">
      <c r="A105" s="110">
        <v>34642.0</v>
      </c>
      <c r="B105" s="111"/>
      <c r="C105" s="135" t="str">
        <f t="shared" si="3"/>
        <v>setlist</v>
      </c>
      <c r="D105" s="113" t="s">
        <v>1493</v>
      </c>
      <c r="E105" s="113" t="s">
        <v>311</v>
      </c>
      <c r="F105" s="114" t="s">
        <v>129</v>
      </c>
      <c r="G105" s="114" t="s">
        <v>36</v>
      </c>
      <c r="H105" s="135" t="str">
        <f>HYPERLINK("http://www.mediafire.com/download/atz2zxwb68422ki/1994-11-04_-_Onondaga_War_Memorial_Auditorium_-_Syracuse%2C_NY.rar", "download link")</f>
        <v>download link</v>
      </c>
      <c r="I105" s="136" t="s">
        <v>1494</v>
      </c>
      <c r="J105" s="80"/>
    </row>
    <row r="106">
      <c r="A106" s="103">
        <v>34650.0</v>
      </c>
      <c r="B106" s="104"/>
      <c r="C106" s="105" t="str">
        <f t="shared" si="3"/>
        <v>setlist</v>
      </c>
      <c r="D106" s="106" t="s">
        <v>1495</v>
      </c>
      <c r="E106" s="106" t="s">
        <v>1496</v>
      </c>
      <c r="F106" s="107" t="s">
        <v>472</v>
      </c>
      <c r="G106" s="107" t="s">
        <v>36</v>
      </c>
      <c r="H106" s="105" t="str">
        <f>HYPERLINK("http://www.mediafire.com/download/db7sh9ovkf6owjg/1994-11-12_-_MAC_Center%2C_Kent_State_University_-_Kent%2C_OH.rar", "download link")</f>
        <v>download link</v>
      </c>
      <c r="I106" s="134" t="s">
        <v>1497</v>
      </c>
      <c r="J106" s="109"/>
    </row>
    <row r="107">
      <c r="A107" s="110">
        <v>34651.0</v>
      </c>
      <c r="B107" s="114" t="s">
        <v>32</v>
      </c>
      <c r="C107" s="135" t="str">
        <f t="shared" si="3"/>
        <v>setlist</v>
      </c>
      <c r="D107" s="113" t="s">
        <v>1498</v>
      </c>
      <c r="E107" s="113" t="s">
        <v>1499</v>
      </c>
      <c r="F107" s="114" t="s">
        <v>212</v>
      </c>
      <c r="G107" s="114" t="s">
        <v>36</v>
      </c>
      <c r="H107" s="135" t="str">
        <f>HYPERLINK("http://www.mediafire.com/download/4vvwc5vrriv3x77/1994-11-13_-_Warner_Theatre_-_Erie%2C_PA.rar", "download link")</f>
        <v>download link</v>
      </c>
      <c r="I107" s="136" t="s">
        <v>1500</v>
      </c>
      <c r="J107" s="136" t="s">
        <v>1501</v>
      </c>
    </row>
    <row r="108">
      <c r="A108" s="103">
        <v>34652.0</v>
      </c>
      <c r="B108" s="104"/>
      <c r="C108" s="105" t="str">
        <f t="shared" si="3"/>
        <v>setlist</v>
      </c>
      <c r="D108" s="106" t="s">
        <v>1502</v>
      </c>
      <c r="E108" s="106" t="s">
        <v>1285</v>
      </c>
      <c r="F108" s="107" t="s">
        <v>712</v>
      </c>
      <c r="G108" s="107" t="s">
        <v>36</v>
      </c>
      <c r="H108" s="105" t="str">
        <f>HYPERLINK("http://www.mediafire.com/download/77b6mv7c7bal7a5/1994-11-14_-_DeVos_Hall_-_Grand_Rapids%2C_MI.rar", "download link")</f>
        <v>download link</v>
      </c>
      <c r="I108" s="134" t="s">
        <v>1503</v>
      </c>
      <c r="J108" s="109"/>
    </row>
    <row r="109">
      <c r="A109" s="110">
        <v>34654.0</v>
      </c>
      <c r="B109" s="111"/>
      <c r="C109" s="135" t="str">
        <f t="shared" si="3"/>
        <v>setlist</v>
      </c>
      <c r="D109" s="113" t="s">
        <v>1504</v>
      </c>
      <c r="E109" s="113" t="s">
        <v>711</v>
      </c>
      <c r="F109" s="114" t="s">
        <v>712</v>
      </c>
      <c r="G109" s="114" t="s">
        <v>36</v>
      </c>
      <c r="H109" s="135" t="str">
        <f>HYPERLINK("http://www.mediafire.com/download/umd8rd80a3t8tfn/1994-11-16_-_Hill_Auditorium%2C_University_of_Michigan_-_Ann_Arbor%2C_MI.rar", "download link")</f>
        <v>download link</v>
      </c>
      <c r="I109" s="136" t="s">
        <v>1505</v>
      </c>
      <c r="J109" s="80"/>
    </row>
    <row r="110">
      <c r="A110" s="103">
        <v>34655.0</v>
      </c>
      <c r="B110" s="104"/>
      <c r="C110" s="105" t="str">
        <f t="shared" si="3"/>
        <v>setlist</v>
      </c>
      <c r="D110" s="106" t="s">
        <v>1506</v>
      </c>
      <c r="E110" s="106" t="s">
        <v>477</v>
      </c>
      <c r="F110" s="107" t="s">
        <v>472</v>
      </c>
      <c r="G110" s="107" t="s">
        <v>36</v>
      </c>
      <c r="H110" s="105" t="str">
        <f>HYPERLINK("http://www.mediafire.com/download/2115ht5kv78bvwn/1994-11-17_-_Hara_Arena_-_Dayton%2C_OH.rar", "download link")</f>
        <v>download link</v>
      </c>
      <c r="I110" s="134" t="s">
        <v>1507</v>
      </c>
      <c r="J110" s="109"/>
    </row>
    <row r="111">
      <c r="A111" s="110">
        <v>34656.0</v>
      </c>
      <c r="B111" s="111"/>
      <c r="C111" s="135" t="str">
        <f t="shared" si="3"/>
        <v>setlist</v>
      </c>
      <c r="D111" s="113" t="s">
        <v>1508</v>
      </c>
      <c r="E111" s="113" t="s">
        <v>941</v>
      </c>
      <c r="F111" s="114" t="s">
        <v>712</v>
      </c>
      <c r="G111" s="114" t="s">
        <v>36</v>
      </c>
      <c r="H111" s="135" t="str">
        <f>HYPERLINK("http://www.mediafire.com/download/hza5h2rtevhraan/1994-11-18_-_MSU_Auditorium%2C_Michigan_State_University_-_East_Lansing%2C_MI.rar", "download link")</f>
        <v>download link</v>
      </c>
      <c r="I111" s="136" t="s">
        <v>1509</v>
      </c>
      <c r="J111" s="80"/>
    </row>
    <row r="112">
      <c r="A112" s="103">
        <v>34657.0</v>
      </c>
      <c r="B112" s="104"/>
      <c r="C112" s="105" t="str">
        <f t="shared" si="3"/>
        <v>setlist</v>
      </c>
      <c r="D112" s="106" t="s">
        <v>1510</v>
      </c>
      <c r="E112" s="106" t="s">
        <v>1511</v>
      </c>
      <c r="F112" s="107" t="s">
        <v>508</v>
      </c>
      <c r="G112" s="107" t="s">
        <v>36</v>
      </c>
      <c r="H112" s="105" t="str">
        <f>HYPERLINK("http://www.mediafire.com/download/peud1vlh18cwjig/1994-11-19_-_Indiana_University_Auditorium_-_Bloomington%2C_IN.rar", "download link")</f>
        <v>download link</v>
      </c>
      <c r="I112" s="134" t="s">
        <v>1512</v>
      </c>
      <c r="J112" s="134" t="s">
        <v>287</v>
      </c>
    </row>
    <row r="113">
      <c r="A113" s="110">
        <v>34657.0</v>
      </c>
      <c r="B113" s="111"/>
      <c r="C113" s="135" t="str">
        <f t="shared" si="3"/>
        <v>setlist</v>
      </c>
      <c r="D113" s="113" t="s">
        <v>1513</v>
      </c>
      <c r="E113" s="113" t="s">
        <v>1511</v>
      </c>
      <c r="F113" s="114" t="s">
        <v>508</v>
      </c>
      <c r="G113" s="114" t="s">
        <v>36</v>
      </c>
      <c r="H113" s="135" t="str">
        <f>HYPERLINK("http://www.mediafire.com/download/aqk83y0d8dgqdnu/1994-11-19_-_Parking_Lot%2C_Indiana_University_Auditorium_-_Bloomington%2C_IN.rar", "download link")</f>
        <v>download link</v>
      </c>
      <c r="I113" s="136" t="s">
        <v>1514</v>
      </c>
      <c r="J113" s="113"/>
    </row>
    <row r="114">
      <c r="A114" s="103">
        <v>34658.0</v>
      </c>
      <c r="B114" s="104"/>
      <c r="C114" s="105" t="str">
        <f t="shared" si="3"/>
        <v>setlist</v>
      </c>
      <c r="D114" s="106" t="s">
        <v>1515</v>
      </c>
      <c r="E114" s="106" t="s">
        <v>482</v>
      </c>
      <c r="F114" s="107" t="s">
        <v>483</v>
      </c>
      <c r="G114" s="107" t="s">
        <v>36</v>
      </c>
      <c r="H114" s="105" t="str">
        <f>HYPERLINK("http://www.mediafire.com/download/puzpgcxzfuhiu97/1994-11-20_-_Dane_County_Exposition_Center_-_Madison%2C_WI.rar", "download link")</f>
        <v>download link</v>
      </c>
      <c r="I114" s="134" t="s">
        <v>1516</v>
      </c>
      <c r="J114" s="109"/>
    </row>
    <row r="115">
      <c r="A115" s="110">
        <v>34660.0</v>
      </c>
      <c r="B115" s="111"/>
      <c r="C115" s="135" t="str">
        <f t="shared" si="3"/>
        <v>setlist</v>
      </c>
      <c r="D115" s="113" t="s">
        <v>1517</v>
      </c>
      <c r="E115" s="113" t="s">
        <v>439</v>
      </c>
      <c r="F115" s="114" t="s">
        <v>886</v>
      </c>
      <c r="G115" s="114" t="s">
        <v>36</v>
      </c>
      <c r="H115" s="135" t="str">
        <f>HYPERLINK("http://www.mediafire.com/download/ply1kuchpks2w2b/1994-11-22_-_Jesse_Auditorium%2C_University_of_Missouri_-_Columbia%2C_MO.rar", "download link")</f>
        <v>download link</v>
      </c>
      <c r="I115" s="136" t="s">
        <v>1518</v>
      </c>
      <c r="J115" s="80"/>
    </row>
    <row r="116">
      <c r="A116" s="103">
        <v>34661.0</v>
      </c>
      <c r="B116" s="104"/>
      <c r="C116" s="105" t="str">
        <f t="shared" si="3"/>
        <v>setlist</v>
      </c>
      <c r="D116" s="106" t="s">
        <v>897</v>
      </c>
      <c r="E116" s="106" t="s">
        <v>885</v>
      </c>
      <c r="F116" s="107" t="s">
        <v>886</v>
      </c>
      <c r="G116" s="107" t="s">
        <v>36</v>
      </c>
      <c r="H116" s="105" t="str">
        <f>HYPERLINK("http://www.mediafire.com/download/g57ciyo40gcstop/1994-11-23_-_The_Fox_Theatre_-_St._Louis%2C_MO.rar", "download link")</f>
        <v>download link</v>
      </c>
      <c r="I116" s="134" t="s">
        <v>1519</v>
      </c>
      <c r="J116" s="109"/>
    </row>
    <row r="117">
      <c r="A117" s="110">
        <v>34663.0</v>
      </c>
      <c r="B117" s="111"/>
      <c r="C117" s="135" t="str">
        <f t="shared" si="3"/>
        <v>setlist</v>
      </c>
      <c r="D117" s="113" t="s">
        <v>1414</v>
      </c>
      <c r="E117" s="113" t="s">
        <v>479</v>
      </c>
      <c r="F117" s="114" t="s">
        <v>480</v>
      </c>
      <c r="G117" s="114" t="s">
        <v>36</v>
      </c>
      <c r="H117" s="135" t="str">
        <f>HYPERLINK("http://www.mediafire.com/download/ov8f6mub7u7rh1l/1994-11-25_-_UIC_Pavilion%2C_University_of_Illinois_-_Chicago%2C_IL.rar", "download link")</f>
        <v>download link</v>
      </c>
      <c r="I117" s="136" t="s">
        <v>1520</v>
      </c>
      <c r="J117" s="80"/>
    </row>
    <row r="118">
      <c r="A118" s="103">
        <v>34664.0</v>
      </c>
      <c r="B118" s="104"/>
      <c r="C118" s="105" t="str">
        <f t="shared" si="3"/>
        <v>setlist</v>
      </c>
      <c r="D118" s="106" t="s">
        <v>958</v>
      </c>
      <c r="E118" s="106" t="s">
        <v>485</v>
      </c>
      <c r="F118" s="107" t="s">
        <v>486</v>
      </c>
      <c r="G118" s="107" t="s">
        <v>36</v>
      </c>
      <c r="H118" s="105" t="str">
        <f>HYPERLINK("http://www.mediafire.com/download/wpc2u5v8i22t7aq/1994-11-26_-_The_Orpheum_Theatre_-_Minneapolis%2C_MN.rar", "download link")</f>
        <v>download link</v>
      </c>
      <c r="I118" s="134" t="s">
        <v>1518</v>
      </c>
      <c r="J118" s="109"/>
    </row>
    <row r="119">
      <c r="A119" s="110">
        <v>34666.0</v>
      </c>
      <c r="B119" s="111"/>
      <c r="C119" s="135" t="str">
        <f t="shared" si="3"/>
        <v>setlist</v>
      </c>
      <c r="D119" s="113" t="s">
        <v>1521</v>
      </c>
      <c r="E119" s="113" t="s">
        <v>1522</v>
      </c>
      <c r="F119" s="114" t="s">
        <v>1523</v>
      </c>
      <c r="G119" s="114" t="s">
        <v>36</v>
      </c>
      <c r="H119" s="135" t="str">
        <f>HYPERLINK("http://www.mediafire.com/download/54gbmolv3xj4xm4/1994-11-28_-_Field_House%2C_Montana_State_University_-_Bozeman%2C_MT.rar", "download link")</f>
        <v>download link</v>
      </c>
      <c r="I119" s="136" t="s">
        <v>1524</v>
      </c>
      <c r="J119" s="113" t="s">
        <v>1525</v>
      </c>
    </row>
    <row r="120">
      <c r="A120" s="103">
        <v>34668.0</v>
      </c>
      <c r="B120" s="104"/>
      <c r="C120" s="105" t="str">
        <f t="shared" si="3"/>
        <v>setlist</v>
      </c>
      <c r="D120" s="106" t="s">
        <v>699</v>
      </c>
      <c r="E120" s="106" t="s">
        <v>700</v>
      </c>
      <c r="F120" s="107" t="s">
        <v>701</v>
      </c>
      <c r="G120" s="107" t="s">
        <v>36</v>
      </c>
      <c r="H120" s="105" t="str">
        <f>HYPERLINK("http://www.mediafire.com/download/7l9rwjdjgjxsy8v/1994-11-30_-_Campus_Recreation_Center%2C_Evergreen_College_-_Olympia%2C_WA.rar", "download link")</f>
        <v>download link</v>
      </c>
      <c r="I120" s="134" t="s">
        <v>1526</v>
      </c>
      <c r="J120" s="109"/>
    </row>
    <row r="121">
      <c r="A121" s="110">
        <v>34669.0</v>
      </c>
      <c r="B121" s="111"/>
      <c r="C121" s="135" t="str">
        <f t="shared" si="3"/>
        <v>setlist</v>
      </c>
      <c r="D121" s="113" t="s">
        <v>1527</v>
      </c>
      <c r="E121" s="113" t="s">
        <v>548</v>
      </c>
      <c r="F121" s="114" t="s">
        <v>692</v>
      </c>
      <c r="G121" s="114" t="s">
        <v>36</v>
      </c>
      <c r="H121" s="116" t="str">
        <f>HYPERLINK("http://www.mediafire.com/download/t9jrpgd5511w581/1994-12-01_-_Salem_Armory_-_Salem%2C_OR.rar", "download link")</f>
        <v>download link</v>
      </c>
      <c r="I121" s="136" t="s">
        <v>1313</v>
      </c>
      <c r="J121" s="80"/>
    </row>
    <row r="122">
      <c r="A122" s="103">
        <v>34670.0</v>
      </c>
      <c r="B122" s="104"/>
      <c r="C122" s="105" t="str">
        <f t="shared" si="3"/>
        <v>setlist</v>
      </c>
      <c r="D122" s="106" t="s">
        <v>1528</v>
      </c>
      <c r="E122" s="106" t="s">
        <v>1529</v>
      </c>
      <c r="F122" s="107" t="s">
        <v>679</v>
      </c>
      <c r="G122" s="107" t="s">
        <v>36</v>
      </c>
      <c r="H122" s="105" t="str">
        <f>HYPERLINK("http://www.mediafire.com/download/rdtirptta3i2sc8/1994-12-02_-_Recreation_Hall%2C_University_of_California-Davis_-_Davis%2C_CA.rar", "download link")</f>
        <v>download link</v>
      </c>
      <c r="I122" s="134" t="s">
        <v>1530</v>
      </c>
      <c r="J122" s="109"/>
    </row>
    <row r="123">
      <c r="A123" s="110">
        <v>34671.0</v>
      </c>
      <c r="B123" s="111"/>
      <c r="C123" s="135" t="str">
        <f t="shared" si="3"/>
        <v>setlist</v>
      </c>
      <c r="D123" s="113" t="s">
        <v>1531</v>
      </c>
      <c r="E123" s="113" t="s">
        <v>1532</v>
      </c>
      <c r="F123" s="114" t="s">
        <v>679</v>
      </c>
      <c r="G123" s="114" t="s">
        <v>36</v>
      </c>
      <c r="H123" s="116" t="str">
        <f>HYPERLINK("http://www.mediafire.com/download/ogw177d707g0817/1994-12-03_-_Event_Center_-_San_Jose%2C_CA.rar", "download link")</f>
        <v>download link</v>
      </c>
      <c r="I123" s="136" t="s">
        <v>1530</v>
      </c>
      <c r="J123" s="80"/>
    </row>
    <row r="124">
      <c r="A124" s="103">
        <v>34672.0</v>
      </c>
      <c r="B124" s="104"/>
      <c r="C124" s="105" t="str">
        <f t="shared" si="3"/>
        <v>setlist</v>
      </c>
      <c r="D124" s="106" t="s">
        <v>1533</v>
      </c>
      <c r="E124" s="106" t="s">
        <v>1534</v>
      </c>
      <c r="F124" s="107" t="s">
        <v>679</v>
      </c>
      <c r="G124" s="107" t="s">
        <v>36</v>
      </c>
      <c r="H124" s="105" t="str">
        <f>HYPERLINK("http://www.mediafire.com/download/aks2tc1jhvfd9pr/1994-12-04_-_Acker_Gym%2C_Chico_State_University_-_Chico%2C_CA.rar", "download link")</f>
        <v>download link</v>
      </c>
      <c r="I124" s="134" t="s">
        <v>1535</v>
      </c>
      <c r="J124" s="109"/>
    </row>
    <row r="125">
      <c r="A125" s="110">
        <v>34674.0</v>
      </c>
      <c r="B125" s="111"/>
      <c r="C125" s="135" t="str">
        <f t="shared" si="3"/>
        <v>setlist</v>
      </c>
      <c r="D125" s="136" t="s">
        <v>1536</v>
      </c>
      <c r="E125" s="136" t="s">
        <v>1537</v>
      </c>
      <c r="F125" s="114" t="s">
        <v>679</v>
      </c>
      <c r="G125" s="114" t="s">
        <v>36</v>
      </c>
      <c r="H125" s="116" t="str">
        <f>HYPERLINK("http://www.mediafire.com/download/vdxh1qd86dectzb/1994-12-06_-_UCSB_Events_Center%2C_University_of_California-Santa_Barbara_-_Santa_Barbara%2C_CA.rar", "download link")</f>
        <v>download link</v>
      </c>
      <c r="I125" s="136" t="s">
        <v>1538</v>
      </c>
      <c r="J125" s="80"/>
    </row>
    <row r="126">
      <c r="A126" s="103">
        <v>34675.0</v>
      </c>
      <c r="B126" s="104"/>
      <c r="C126" s="105" t="str">
        <f t="shared" si="3"/>
        <v>setlist</v>
      </c>
      <c r="D126" s="106" t="s">
        <v>1539</v>
      </c>
      <c r="E126" s="106" t="s">
        <v>1381</v>
      </c>
      <c r="F126" s="107" t="s">
        <v>679</v>
      </c>
      <c r="G126" s="107" t="s">
        <v>36</v>
      </c>
      <c r="H126" s="105" t="str">
        <f>HYPERLINK("http://www.mediafire.com/download/ynmdkup4yiw3s5z/1994-12-07_-_Spreckels_Theatre_-_San_Diego%2C_CA.rar", "download link")</f>
        <v>download link</v>
      </c>
      <c r="I126" s="134" t="s">
        <v>1540</v>
      </c>
      <c r="J126" s="109"/>
    </row>
    <row r="127">
      <c r="A127" s="110">
        <v>34676.0</v>
      </c>
      <c r="B127" s="114" t="s">
        <v>32</v>
      </c>
      <c r="C127" s="135" t="str">
        <f t="shared" si="3"/>
        <v>setlist</v>
      </c>
      <c r="D127" s="113" t="s">
        <v>1539</v>
      </c>
      <c r="E127" s="113" t="s">
        <v>1381</v>
      </c>
      <c r="F127" s="114" t="s">
        <v>679</v>
      </c>
      <c r="G127" s="114" t="s">
        <v>36</v>
      </c>
      <c r="H127" s="116" t="str">
        <f>HYPERLINK("http://www.mediafire.com/download/n24nbclxydjab1o/1994-12-08_-_Spreckels_Theatre_-_San_Diego%2C_CA.rar", "download link")</f>
        <v>download link</v>
      </c>
      <c r="I127" s="136" t="s">
        <v>1541</v>
      </c>
      <c r="J127" s="113"/>
    </row>
    <row r="128">
      <c r="A128" s="103">
        <v>34677.0</v>
      </c>
      <c r="B128" s="104"/>
      <c r="C128" s="105" t="str">
        <f t="shared" si="3"/>
        <v>setlist</v>
      </c>
      <c r="D128" s="106" t="s">
        <v>1542</v>
      </c>
      <c r="E128" s="106" t="s">
        <v>1543</v>
      </c>
      <c r="F128" s="107" t="s">
        <v>805</v>
      </c>
      <c r="G128" s="107" t="s">
        <v>36</v>
      </c>
      <c r="H128" s="105" t="str">
        <f>HYPERLINK("http://www.mediafire.com/download/l7v147eg18zruml/1994-12-09_-_Mesa_Amphitheatre_-_Mesa%2C_AZ.rar", "download link")</f>
        <v>download link</v>
      </c>
      <c r="I128" s="134" t="s">
        <v>1544</v>
      </c>
      <c r="J128" s="109"/>
    </row>
    <row r="129">
      <c r="A129" s="230">
        <v>34678.0</v>
      </c>
      <c r="B129" s="78"/>
      <c r="C129" s="203" t="str">
        <f t="shared" si="3"/>
        <v>setlist</v>
      </c>
      <c r="D129" s="231" t="s">
        <v>1348</v>
      </c>
      <c r="E129" s="231" t="s">
        <v>1545</v>
      </c>
      <c r="F129" s="232" t="s">
        <v>679</v>
      </c>
      <c r="G129" s="205" t="s">
        <v>36</v>
      </c>
      <c r="H129" s="116" t="str">
        <f>HYPERLINK("http://www.mediafire.com/download/ed203pcb5fcx1a2/1994-12-10_-_Civic_Auditorium_-_Santa_Monica%2C_CA.rar", "download link")</f>
        <v>download link</v>
      </c>
      <c r="I129" s="206" t="s">
        <v>1546</v>
      </c>
      <c r="J129" s="82"/>
    </row>
    <row r="130">
      <c r="A130" s="92"/>
      <c r="B130" s="65"/>
      <c r="C130" s="94"/>
      <c r="D130" s="83" t="s">
        <v>1547</v>
      </c>
      <c r="E130" s="92"/>
      <c r="F130" s="65"/>
      <c r="G130" s="65"/>
      <c r="H130" s="65"/>
      <c r="I130" s="92"/>
      <c r="J130" s="92"/>
    </row>
    <row r="131">
      <c r="A131" s="125">
        <v>34696.0</v>
      </c>
      <c r="B131" s="126"/>
      <c r="C131" s="98" t="str">
        <f t="shared" ref="C131:C135" si="4">HYPERLINK("http://www.phish.net/setlists/?d="&amp;RIGHT(TEXT(A131,"mm/dd/yyyy"),4)&amp;"-"&amp;LEFT(TEXT(A131,"mm/dd/yyyy"),2)&amp;"-"&amp;MID(TEXT(A131,"mm/dd/yyyy"),4,2), "setlist")</f>
        <v>setlist</v>
      </c>
      <c r="D131" s="102" t="s">
        <v>1406</v>
      </c>
      <c r="E131" s="102" t="s">
        <v>871</v>
      </c>
      <c r="F131" s="127" t="s">
        <v>212</v>
      </c>
      <c r="G131" s="127" t="s">
        <v>36</v>
      </c>
      <c r="H131" s="98" t="str">
        <f>HYPERLINK("http://www.mediafire.com/download/w46vjwq0crw9c0v/1994-12-28_-_Civic_Center_-_Philadelphia%2C_PA.rar", "download link")</f>
        <v>download link</v>
      </c>
      <c r="I131" s="101" t="s">
        <v>1548</v>
      </c>
      <c r="J131" s="129"/>
    </row>
    <row r="132">
      <c r="A132" s="103">
        <v>34697.0</v>
      </c>
      <c r="B132" s="104"/>
      <c r="C132" s="105" t="str">
        <f t="shared" si="4"/>
        <v>setlist</v>
      </c>
      <c r="D132" s="106" t="s">
        <v>1549</v>
      </c>
      <c r="E132" s="106" t="s">
        <v>297</v>
      </c>
      <c r="F132" s="107" t="s">
        <v>298</v>
      </c>
      <c r="G132" s="107" t="s">
        <v>36</v>
      </c>
      <c r="H132" s="105" t="str">
        <f>HYPERLINK("http://www.mediafire.com/download/phj6e7h9njb3ops/1994-12-29_-_Providence_Civic_Center_-_Providence%2C_RI.rar", "download link")</f>
        <v>download link</v>
      </c>
      <c r="I132" s="134" t="s">
        <v>1550</v>
      </c>
      <c r="J132" s="109"/>
    </row>
    <row r="133">
      <c r="A133" s="142">
        <v>34698.0</v>
      </c>
      <c r="B133" s="115" t="s">
        <v>32</v>
      </c>
      <c r="C133" s="135" t="str">
        <f t="shared" si="4"/>
        <v>setlist</v>
      </c>
      <c r="D133" s="118" t="s">
        <v>1551</v>
      </c>
      <c r="E133" s="118" t="s">
        <v>162</v>
      </c>
      <c r="F133" s="115" t="s">
        <v>129</v>
      </c>
      <c r="G133" s="115" t="s">
        <v>36</v>
      </c>
      <c r="H133" s="116" t="str">
        <f>HYPERLINK("http://www.mediafire.com/download/h22cctl56szkh7q/1994-12-30_-_Ed_Sullivan_Theater_-_New_York%2C_NY.rar", "download link")</f>
        <v>download link</v>
      </c>
      <c r="I133" s="117" t="s">
        <v>1552</v>
      </c>
      <c r="J133" s="146"/>
    </row>
    <row r="134">
      <c r="A134" s="103">
        <v>34698.0</v>
      </c>
      <c r="B134" s="104"/>
      <c r="C134" s="105" t="str">
        <f t="shared" si="4"/>
        <v>setlist</v>
      </c>
      <c r="D134" s="106" t="s">
        <v>1553</v>
      </c>
      <c r="E134" s="106" t="s">
        <v>162</v>
      </c>
      <c r="F134" s="107" t="s">
        <v>129</v>
      </c>
      <c r="G134" s="107" t="s">
        <v>36</v>
      </c>
      <c r="H134" s="105" t="str">
        <f>HYPERLINK("http://www.mediafire.com/download/t7cbxnjv29f0jw0/1994-12-30_-_Madison_Square_Garden_-_New_York%2C_NY.rar", "download link")</f>
        <v>download link</v>
      </c>
      <c r="I134" s="134" t="s">
        <v>1554</v>
      </c>
      <c r="J134" s="109"/>
    </row>
    <row r="135">
      <c r="A135" s="110">
        <v>34699.0</v>
      </c>
      <c r="B135" s="111"/>
      <c r="C135" s="135" t="str">
        <f t="shared" si="4"/>
        <v>setlist</v>
      </c>
      <c r="D135" s="113" t="s">
        <v>1058</v>
      </c>
      <c r="E135" s="113" t="s">
        <v>94</v>
      </c>
      <c r="F135" s="114" t="s">
        <v>95</v>
      </c>
      <c r="G135" s="114" t="s">
        <v>36</v>
      </c>
      <c r="H135" s="135" t="str">
        <f>HYPERLINK("http://www.mediafire.com/download/tdbh0ngdm43eca5/1994-12-31_-_Boston_Garden_-_Boston%2C_MA.rar", "download link")</f>
        <v>download link</v>
      </c>
      <c r="I135" s="136" t="s">
        <v>1555</v>
      </c>
      <c r="J135" s="8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25"/>
    <col customWidth="1" min="8" max="8" width="13.13"/>
    <col customWidth="1" min="9" max="9" width="37.63"/>
    <col customWidth="1" min="10" max="10" width="56.13"/>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3" t="s">
        <v>31</v>
      </c>
    </row>
    <row r="3">
      <c r="A3" s="86"/>
      <c r="B3" s="87"/>
      <c r="C3" s="87"/>
      <c r="D3" s="87"/>
      <c r="E3" s="87"/>
      <c r="F3" s="87"/>
      <c r="G3" s="87"/>
      <c r="H3" s="87"/>
      <c r="I3" s="89"/>
      <c r="J3" s="89"/>
    </row>
    <row r="4">
      <c r="A4" s="92"/>
      <c r="B4" s="93"/>
      <c r="C4" s="93"/>
      <c r="D4" s="83" t="s">
        <v>1556</v>
      </c>
      <c r="E4" s="93"/>
      <c r="F4" s="93"/>
      <c r="G4" s="93"/>
      <c r="H4" s="93"/>
      <c r="I4" s="95"/>
      <c r="J4" s="95"/>
    </row>
    <row r="5">
      <c r="A5" s="125">
        <v>34833.0</v>
      </c>
      <c r="B5" s="126"/>
      <c r="C5" s="98" t="str">
        <f t="shared" ref="C5:C29" si="1">HYPERLINK("http://www.phish.net/setlists/?d="&amp;RIGHT(TEXT(A5,"mm/dd/yyyy"),4)&amp;"-"&amp;LEFT(TEXT(A5,"mm/dd/yyyy"),2)&amp;"-"&amp;MID(TEXT(A5,"mm/dd/yyyy"),4,2), "setlist")</f>
        <v>setlist</v>
      </c>
      <c r="D5" s="102" t="s">
        <v>1557</v>
      </c>
      <c r="E5" s="179" t="s">
        <v>34</v>
      </c>
      <c r="F5" s="127" t="s">
        <v>35</v>
      </c>
      <c r="G5" s="126"/>
      <c r="H5" s="128"/>
      <c r="I5" s="129"/>
      <c r="J5" s="129"/>
    </row>
    <row r="6">
      <c r="A6" s="103">
        <v>34835.0</v>
      </c>
      <c r="B6" s="104"/>
      <c r="C6" s="105" t="str">
        <f t="shared" si="1"/>
        <v>setlist</v>
      </c>
      <c r="D6" s="106" t="s">
        <v>1558</v>
      </c>
      <c r="E6" s="106" t="s">
        <v>1559</v>
      </c>
      <c r="F6" s="107" t="s">
        <v>95</v>
      </c>
      <c r="G6" s="107" t="s">
        <v>36</v>
      </c>
      <c r="H6" s="105" t="str">
        <f>HYPERLINK("http://www.mediafire.com/download/kmgr70m4f9f0b7o/1995-05-16_-_Lowell_Memorial_Auditorium_-_Lowell%2C_MA.rar", "download link")</f>
        <v>download link</v>
      </c>
      <c r="I6" s="134" t="s">
        <v>1560</v>
      </c>
      <c r="J6" s="109"/>
    </row>
    <row r="7">
      <c r="A7" s="110">
        <v>34857.0</v>
      </c>
      <c r="B7" s="111"/>
      <c r="C7" s="135" t="str">
        <f t="shared" si="1"/>
        <v>setlist</v>
      </c>
      <c r="D7" s="113" t="s">
        <v>1561</v>
      </c>
      <c r="E7" s="113" t="s">
        <v>1562</v>
      </c>
      <c r="F7" s="114" t="s">
        <v>1563</v>
      </c>
      <c r="G7" s="114" t="s">
        <v>36</v>
      </c>
      <c r="H7" s="116" t="str">
        <f>HYPERLINK("http://www.mediafire.com/download/9isbz8bdq5xxquq/1995-06-07_-_Boise_State_University_Pavilion_-_Boise%2C_ID.rar", "download link")</f>
        <v>download link</v>
      </c>
      <c r="I7" s="136" t="s">
        <v>1564</v>
      </c>
      <c r="J7" s="80"/>
    </row>
    <row r="8">
      <c r="A8" s="103">
        <v>34858.0</v>
      </c>
      <c r="B8" s="104"/>
      <c r="C8" s="105" t="str">
        <f t="shared" si="1"/>
        <v>setlist</v>
      </c>
      <c r="D8" s="106" t="s">
        <v>1565</v>
      </c>
      <c r="E8" s="106" t="s">
        <v>1301</v>
      </c>
      <c r="F8" s="107" t="s">
        <v>1302</v>
      </c>
      <c r="G8" s="107" t="s">
        <v>36</v>
      </c>
      <c r="H8" s="105" t="str">
        <f>HYPERLINK("http://www.mediafire.com/download/shf5ifus1y7uw9d/1995-06-08_-_The_Delta_Center_-_Salt_Lake_City%2C_UT.rar", "download link")</f>
        <v>download link</v>
      </c>
      <c r="I8" s="134" t="s">
        <v>1566</v>
      </c>
      <c r="J8" s="109"/>
    </row>
    <row r="9">
      <c r="A9" s="110">
        <v>34859.0</v>
      </c>
      <c r="B9" s="111"/>
      <c r="C9" s="135" t="str">
        <f t="shared" si="1"/>
        <v>setlist</v>
      </c>
      <c r="D9" s="113" t="s">
        <v>1297</v>
      </c>
      <c r="E9" s="113" t="s">
        <v>1298</v>
      </c>
      <c r="F9" s="114" t="s">
        <v>203</v>
      </c>
      <c r="G9" s="114" t="s">
        <v>36</v>
      </c>
      <c r="H9" s="116" t="str">
        <f>HYPERLINK("http://www.mediafire.com/download/6owlcw6g1nbq8u4/1995-06-09_-_Red_Rocks_Amphitheatre_-_Morrison%2C_CO.rar", "download link")</f>
        <v>download link</v>
      </c>
      <c r="I9" s="136" t="s">
        <v>1567</v>
      </c>
      <c r="J9" s="80"/>
    </row>
    <row r="10">
      <c r="A10" s="103">
        <v>34860.0</v>
      </c>
      <c r="B10" s="104"/>
      <c r="C10" s="105" t="str">
        <f t="shared" si="1"/>
        <v>setlist</v>
      </c>
      <c r="D10" s="106" t="s">
        <v>1297</v>
      </c>
      <c r="E10" s="106" t="s">
        <v>1298</v>
      </c>
      <c r="F10" s="107" t="s">
        <v>203</v>
      </c>
      <c r="G10" s="107" t="s">
        <v>36</v>
      </c>
      <c r="H10" s="105" t="str">
        <f>HYPERLINK("http://www.mediafire.com/download/65kc260280dpe3u/1995-06-10_-_Red_Rocks_Amphitheatre_-_Morrison%2C_CO.rar", "download link")</f>
        <v>download link</v>
      </c>
      <c r="I10" s="134" t="s">
        <v>1568</v>
      </c>
      <c r="J10" s="109"/>
    </row>
    <row r="11">
      <c r="A11" s="110">
        <v>34863.0</v>
      </c>
      <c r="B11" s="111"/>
      <c r="C11" s="135" t="str">
        <f t="shared" si="1"/>
        <v>setlist</v>
      </c>
      <c r="D11" s="113" t="s">
        <v>1028</v>
      </c>
      <c r="E11" s="113" t="s">
        <v>1569</v>
      </c>
      <c r="F11" s="114" t="s">
        <v>886</v>
      </c>
      <c r="G11" s="114" t="s">
        <v>36</v>
      </c>
      <c r="H11" s="116" t="str">
        <f>HYPERLINK("http://www.mediafire.com/download/ntanpp00q6c7oa8/1995-06-13_-_Riverport_Amphitheater_-_Maryland_Heights%2C_MO.rar", "download link")</f>
        <v>download link</v>
      </c>
      <c r="I11" s="136" t="s">
        <v>1570</v>
      </c>
      <c r="J11" s="80"/>
    </row>
    <row r="12">
      <c r="A12" s="103">
        <v>34864.0</v>
      </c>
      <c r="B12" s="104"/>
      <c r="C12" s="105" t="str">
        <f t="shared" si="1"/>
        <v>setlist</v>
      </c>
      <c r="D12" s="106" t="s">
        <v>1571</v>
      </c>
      <c r="E12" s="106" t="s">
        <v>656</v>
      </c>
      <c r="F12" s="107" t="s">
        <v>650</v>
      </c>
      <c r="G12" s="107" t="s">
        <v>36</v>
      </c>
      <c r="H12" s="105" t="str">
        <f>HYPERLINK("http://www.mediafire.com/download/i8441a188tbbi4k/1995-06-14_-_Mud_Island_Amphitheater_-_Memphis%2C_TN.rar", "download link")</f>
        <v>download link</v>
      </c>
      <c r="I12" s="134" t="s">
        <v>1572</v>
      </c>
      <c r="J12" s="109"/>
    </row>
    <row r="13">
      <c r="A13" s="110">
        <v>34865.0</v>
      </c>
      <c r="B13" s="111"/>
      <c r="C13" s="135" t="str">
        <f t="shared" si="1"/>
        <v>setlist</v>
      </c>
      <c r="D13" s="113" t="s">
        <v>1573</v>
      </c>
      <c r="E13" s="113" t="s">
        <v>437</v>
      </c>
      <c r="F13" s="114" t="s">
        <v>433</v>
      </c>
      <c r="G13" s="114" t="s">
        <v>36</v>
      </c>
      <c r="H13" s="116" t="str">
        <f>HYPERLINK("http://www.mediafire.com/download/1yrwttyocjryut6/1995-06-15_-_Lakewood_Amphitheatre_-_Atlanta%2C_GA.rar", "download link")</f>
        <v>download link</v>
      </c>
      <c r="I13" s="136" t="s">
        <v>1574</v>
      </c>
      <c r="J13" s="80"/>
    </row>
    <row r="14">
      <c r="A14" s="103">
        <v>34866.0</v>
      </c>
      <c r="B14" s="104"/>
      <c r="C14" s="105" t="str">
        <f t="shared" si="1"/>
        <v>setlist</v>
      </c>
      <c r="D14" s="106" t="s">
        <v>1426</v>
      </c>
      <c r="E14" s="106" t="s">
        <v>536</v>
      </c>
      <c r="F14" s="107" t="s">
        <v>443</v>
      </c>
      <c r="G14" s="107" t="s">
        <v>36</v>
      </c>
      <c r="H14" s="105" t="str">
        <f>HYPERLINK("http://www.mediafire.com/download/fgq4ecpcif6tz5w/1995-06-16_-_Walnut_Creek_Amphitheater_-_Raleigh%2C_NC.rar", "download link")</f>
        <v>download link</v>
      </c>
      <c r="I14" s="134" t="s">
        <v>1575</v>
      </c>
      <c r="J14" s="109"/>
    </row>
    <row r="15">
      <c r="A15" s="110">
        <v>34867.0</v>
      </c>
      <c r="B15" s="111"/>
      <c r="C15" s="135" t="str">
        <f t="shared" si="1"/>
        <v>setlist</v>
      </c>
      <c r="D15" s="113" t="s">
        <v>1576</v>
      </c>
      <c r="E15" s="113" t="s">
        <v>1476</v>
      </c>
      <c r="F15" s="114" t="s">
        <v>446</v>
      </c>
      <c r="G15" s="114" t="s">
        <v>36</v>
      </c>
      <c r="H15" s="116" t="str">
        <f>HYPERLINK("http://www.mediafire.com/download/23ckb0wds4pdq4c/1995-06-17_-_Nissan_Pavilion_at_Stone_Ridge_-_Gainesville%2C_VA.rar", "download link")</f>
        <v>download link</v>
      </c>
      <c r="I15" s="136" t="s">
        <v>1577</v>
      </c>
      <c r="J15" s="80"/>
    </row>
    <row r="16">
      <c r="A16" s="103">
        <v>34869.0</v>
      </c>
      <c r="B16" s="104"/>
      <c r="C16" s="105" t="str">
        <f t="shared" si="1"/>
        <v>setlist</v>
      </c>
      <c r="D16" s="106" t="s">
        <v>1578</v>
      </c>
      <c r="E16" s="106" t="s">
        <v>1579</v>
      </c>
      <c r="F16" s="107" t="s">
        <v>508</v>
      </c>
      <c r="G16" s="107" t="s">
        <v>36</v>
      </c>
      <c r="H16" s="105" t="str">
        <f>HYPERLINK("http://www.mediafire.com/download/ijynslhwy25sfdc/1995-06-19_-_Deer_Creek_Music_Center_-_Noblesville%2C_IN.rar", "download link")</f>
        <v>download link</v>
      </c>
      <c r="I16" s="134" t="s">
        <v>1577</v>
      </c>
      <c r="J16" s="109"/>
    </row>
    <row r="17">
      <c r="A17" s="110">
        <v>34870.0</v>
      </c>
      <c r="B17" s="111"/>
      <c r="C17" s="135" t="str">
        <f t="shared" si="1"/>
        <v>setlist</v>
      </c>
      <c r="D17" s="136" t="s">
        <v>1023</v>
      </c>
      <c r="E17" s="113" t="s">
        <v>1024</v>
      </c>
      <c r="F17" s="114" t="s">
        <v>472</v>
      </c>
      <c r="G17" s="114" t="s">
        <v>36</v>
      </c>
      <c r="H17" s="116" t="str">
        <f>HYPERLINK("http://www.mediafire.com/download/9jtme9rux6sehnf/1995-06-20_-_Blossom_Music_Center_-_Cuyahoga_Falls%2C_OH.rar", "download link")</f>
        <v>download link</v>
      </c>
      <c r="I17" s="136" t="s">
        <v>1580</v>
      </c>
      <c r="J17" s="80"/>
    </row>
    <row r="18">
      <c r="A18" s="103">
        <v>34872.0</v>
      </c>
      <c r="B18" s="104"/>
      <c r="C18" s="105" t="str">
        <f t="shared" si="1"/>
        <v>setlist</v>
      </c>
      <c r="D18" s="106" t="s">
        <v>1018</v>
      </c>
      <c r="E18" s="106" t="s">
        <v>1019</v>
      </c>
      <c r="F18" s="107" t="s">
        <v>129</v>
      </c>
      <c r="G18" s="107" t="s">
        <v>36</v>
      </c>
      <c r="H18" s="105" t="str">
        <f>HYPERLINK("http://www.mediafire.com/download/kup73vjvq15rg1b/1995-06-22_-_Finger_Lakes_Performing_Arts_Center_-_Canandaigua%2C_NY.rar", "download link")</f>
        <v>download link</v>
      </c>
      <c r="I18" s="134" t="s">
        <v>1577</v>
      </c>
      <c r="J18" s="109"/>
    </row>
    <row r="19">
      <c r="A19" s="110">
        <v>34873.0</v>
      </c>
      <c r="B19" s="111"/>
      <c r="C19" s="135" t="str">
        <f t="shared" si="1"/>
        <v>setlist</v>
      </c>
      <c r="D19" s="113" t="s">
        <v>1258</v>
      </c>
      <c r="E19" s="113" t="s">
        <v>1259</v>
      </c>
      <c r="F19" s="114" t="s">
        <v>43</v>
      </c>
      <c r="G19" s="114" t="s">
        <v>36</v>
      </c>
      <c r="H19" s="116" t="str">
        <f>HYPERLINK("http://www.mediafire.com/download/uk2gzyoru4uae8o/1995-06-23_-_Waterloo_Village_-_Stanhope%2C_NJ.rar", "download link")</f>
        <v>download link</v>
      </c>
      <c r="I19" s="136" t="s">
        <v>1581</v>
      </c>
      <c r="J19" s="80"/>
    </row>
    <row r="20">
      <c r="A20" s="103">
        <v>34874.0</v>
      </c>
      <c r="B20" s="104"/>
      <c r="C20" s="105" t="str">
        <f t="shared" si="1"/>
        <v>setlist</v>
      </c>
      <c r="D20" s="106" t="s">
        <v>1001</v>
      </c>
      <c r="E20" s="106" t="s">
        <v>871</v>
      </c>
      <c r="F20" s="107" t="s">
        <v>212</v>
      </c>
      <c r="G20" s="107" t="s">
        <v>36</v>
      </c>
      <c r="H20" s="105" t="str">
        <f>HYPERLINK("http://www.mediafire.com/download/5kj7v1hvnjrh0ik/1995-06-24_-_The_Mann_Center_for_the_Performing_Arts_-_Philadelphia%2C_PA.rar", "download link")</f>
        <v>download link</v>
      </c>
      <c r="I20" s="134" t="s">
        <v>1582</v>
      </c>
      <c r="J20" s="109"/>
    </row>
    <row r="21">
      <c r="A21" s="110">
        <v>34875.0</v>
      </c>
      <c r="B21" s="114" t="s">
        <v>32</v>
      </c>
      <c r="C21" s="135" t="str">
        <f t="shared" si="1"/>
        <v>setlist</v>
      </c>
      <c r="D21" s="113" t="s">
        <v>1001</v>
      </c>
      <c r="E21" s="113" t="s">
        <v>871</v>
      </c>
      <c r="F21" s="114" t="s">
        <v>212</v>
      </c>
      <c r="G21" s="114" t="s">
        <v>36</v>
      </c>
      <c r="H21" s="116" t="str">
        <f>HYPERLINK("http://www.mediafire.com/download/ti9latlptet8owy/1995-06-25_-_The_Mann_Center_for_the_Performing_Arts_-_Philadelphia%2C_PA.rar", "download link")</f>
        <v>download link</v>
      </c>
      <c r="I21" s="136" t="s">
        <v>23</v>
      </c>
      <c r="J21" s="113" t="s">
        <v>1198</v>
      </c>
    </row>
    <row r="22">
      <c r="A22" s="103">
        <v>34876.0</v>
      </c>
      <c r="B22" s="104"/>
      <c r="C22" s="105" t="str">
        <f t="shared" si="1"/>
        <v>setlist</v>
      </c>
      <c r="D22" s="106" t="s">
        <v>1015</v>
      </c>
      <c r="E22" s="106" t="s">
        <v>465</v>
      </c>
      <c r="F22" s="107" t="s">
        <v>129</v>
      </c>
      <c r="G22" s="107" t="s">
        <v>36</v>
      </c>
      <c r="H22" s="105" t="str">
        <f>HYPERLINK("http://www.mediafire.com/download/8g0afi1q76g2agy/1995-06-26_-_Saratoga_Performing_Arts_Center_-_Saratoga_Springs%2C_NY.rar", "download link")</f>
        <v>download link</v>
      </c>
      <c r="I22" s="134" t="s">
        <v>1583</v>
      </c>
      <c r="J22" s="109"/>
    </row>
    <row r="23">
      <c r="A23" s="110">
        <v>34878.0</v>
      </c>
      <c r="B23" s="111"/>
      <c r="C23" s="135" t="str">
        <f t="shared" si="1"/>
        <v>setlist</v>
      </c>
      <c r="D23" s="113" t="s">
        <v>993</v>
      </c>
      <c r="E23" s="113" t="s">
        <v>994</v>
      </c>
      <c r="F23" s="114" t="s">
        <v>129</v>
      </c>
      <c r="G23" s="114" t="s">
        <v>36</v>
      </c>
      <c r="H23" s="116" t="str">
        <f>HYPERLINK("http://www.mediafire.com/download/ekpw5plv9drbo94/1995-06-28_-_Jones_Beach_Amphitheater_-_Wantagh%2C_NY.rar", "download link")</f>
        <v>download link</v>
      </c>
      <c r="I23" s="136" t="s">
        <v>1584</v>
      </c>
      <c r="J23" s="80"/>
    </row>
    <row r="24">
      <c r="A24" s="103">
        <v>34879.0</v>
      </c>
      <c r="B24" s="104"/>
      <c r="C24" s="105" t="str">
        <f t="shared" si="1"/>
        <v>setlist</v>
      </c>
      <c r="D24" s="106" t="s">
        <v>993</v>
      </c>
      <c r="E24" s="106" t="s">
        <v>994</v>
      </c>
      <c r="F24" s="107" t="s">
        <v>129</v>
      </c>
      <c r="G24" s="107" t="s">
        <v>36</v>
      </c>
      <c r="H24" s="105" t="str">
        <f>HYPERLINK("http://www.mediafire.com/download/46rf41jic92nskd/1995-06-29_-_Jones_Beach_Amphitheater_-_Wantagh%2C_NY.rar", "download link")</f>
        <v>download link</v>
      </c>
      <c r="I24" s="134" t="s">
        <v>1585</v>
      </c>
      <c r="J24" s="109"/>
    </row>
    <row r="25">
      <c r="A25" s="110">
        <v>34880.0</v>
      </c>
      <c r="B25" s="111"/>
      <c r="C25" s="135" t="str">
        <f t="shared" si="1"/>
        <v>setlist</v>
      </c>
      <c r="D25" s="113" t="s">
        <v>1003</v>
      </c>
      <c r="E25" s="113" t="s">
        <v>1004</v>
      </c>
      <c r="F25" s="114" t="s">
        <v>95</v>
      </c>
      <c r="G25" s="114" t="s">
        <v>36</v>
      </c>
      <c r="H25" s="116" t="str">
        <f>HYPERLINK("http://www.mediafire.com/file/g8ut8u28qfklfl6/1995-06-30_-_Great_Woods_Center_for_the_Performing_Arts_-_Mansfield%2C_MA.rar", "download link")</f>
        <v>download link</v>
      </c>
      <c r="I25" s="136" t="s">
        <v>1586</v>
      </c>
      <c r="J25" s="80"/>
    </row>
    <row r="26">
      <c r="A26" s="103">
        <v>34881.0</v>
      </c>
      <c r="B26" s="107" t="s">
        <v>32</v>
      </c>
      <c r="C26" s="105" t="str">
        <f t="shared" si="1"/>
        <v>setlist</v>
      </c>
      <c r="D26" s="106" t="s">
        <v>1003</v>
      </c>
      <c r="E26" s="106" t="s">
        <v>1004</v>
      </c>
      <c r="F26" s="107" t="s">
        <v>95</v>
      </c>
      <c r="G26" s="107" t="s">
        <v>36</v>
      </c>
      <c r="H26" s="105" t="str">
        <f>HYPERLINK("http://www.mediafire.com/download/2sig46gn39t7lup/1995-07-01_-_Great_Woods_Center_for_the_Performing_Arts_-_Mansfield%2C_MA.rar", "download link")</f>
        <v>download link</v>
      </c>
      <c r="I26" s="134" t="s">
        <v>1316</v>
      </c>
      <c r="J26" s="109"/>
    </row>
    <row r="27">
      <c r="A27" s="110">
        <v>34882.0</v>
      </c>
      <c r="B27" s="111"/>
      <c r="C27" s="135" t="str">
        <f t="shared" si="1"/>
        <v>setlist</v>
      </c>
      <c r="D27" s="113" t="s">
        <v>1444</v>
      </c>
      <c r="E27" s="113" t="s">
        <v>1587</v>
      </c>
      <c r="F27" s="114" t="s">
        <v>35</v>
      </c>
      <c r="G27" s="114" t="s">
        <v>36</v>
      </c>
      <c r="H27" s="116" t="str">
        <f>HYPERLINK("http://www.mediafire.com/download/zi09s9znuj4r8z3/1995-07-02_-_Summer_Stage_at_Sugarbush_-_North_Fayston%2C_VT.rar", "download link")</f>
        <v>download link</v>
      </c>
      <c r="I27" s="136" t="s">
        <v>1588</v>
      </c>
      <c r="J27" s="80"/>
    </row>
    <row r="28">
      <c r="A28" s="103">
        <v>34883.0</v>
      </c>
      <c r="B28" s="104"/>
      <c r="C28" s="105" t="str">
        <f t="shared" si="1"/>
        <v>setlist</v>
      </c>
      <c r="D28" s="106" t="s">
        <v>1444</v>
      </c>
      <c r="E28" s="106" t="s">
        <v>1587</v>
      </c>
      <c r="F28" s="107" t="s">
        <v>35</v>
      </c>
      <c r="G28" s="107" t="s">
        <v>36</v>
      </c>
      <c r="H28" s="105" t="str">
        <f>HYPERLINK("http://www.mediafire.com/download/dke9tf082e87wq6/1995-07-03_-_Summer_Stage_at_Sugarbush_-_North_Fayston%2C_VT.rar", "download link")</f>
        <v>download link</v>
      </c>
      <c r="I28" s="134" t="s">
        <v>1589</v>
      </c>
      <c r="J28" s="109"/>
    </row>
    <row r="29">
      <c r="A29" s="202">
        <v>34893.0</v>
      </c>
      <c r="B29" s="78"/>
      <c r="C29" s="203" t="str">
        <f t="shared" si="1"/>
        <v>setlist</v>
      </c>
      <c r="D29" s="204" t="s">
        <v>1551</v>
      </c>
      <c r="E29" s="204" t="s">
        <v>162</v>
      </c>
      <c r="F29" s="205" t="s">
        <v>129</v>
      </c>
      <c r="G29" s="205" t="s">
        <v>36</v>
      </c>
      <c r="H29" s="116" t="str">
        <f>HYPERLINK("http://www.mediafire.com/download/36hz2ggzbge9mex/1995-07-13_-_Ed_Sullivan_Theater_-_New_York%2C_NY.rar", "download link")</f>
        <v>download link</v>
      </c>
      <c r="I29" s="206" t="s">
        <v>1552</v>
      </c>
      <c r="J29" s="82"/>
    </row>
    <row r="30">
      <c r="A30" s="92"/>
      <c r="B30" s="93"/>
      <c r="C30" s="94"/>
      <c r="D30" s="83" t="s">
        <v>1590</v>
      </c>
      <c r="E30" s="95"/>
      <c r="F30" s="93"/>
      <c r="G30" s="233"/>
      <c r="H30" s="93"/>
      <c r="I30" s="234"/>
      <c r="J30" s="95"/>
    </row>
    <row r="31">
      <c r="A31" s="125">
        <v>34969.0</v>
      </c>
      <c r="B31" s="126"/>
      <c r="C31" s="98" t="str">
        <f t="shared" ref="C31:C84" si="2">HYPERLINK("http://www.phish.net/setlists/?d="&amp;RIGHT(TEXT(A31,"mm/dd/yyyy"),4)&amp;"-"&amp;LEFT(TEXT(A31,"mm/dd/yyyy"),2)&amp;"-"&amp;MID(TEXT(A31,"mm/dd/yyyy"),4,2), "setlist")</f>
        <v>setlist</v>
      </c>
      <c r="D31" s="102" t="s">
        <v>1055</v>
      </c>
      <c r="E31" s="102" t="s">
        <v>1056</v>
      </c>
      <c r="F31" s="127" t="s">
        <v>679</v>
      </c>
      <c r="G31" s="127" t="s">
        <v>36</v>
      </c>
      <c r="H31" s="135" t="str">
        <f>HYPERLINK("http://www.mediafire.com/download/byljdqo4169l3to/1995-09-27_-_Cal_Expo_Amphitheater_-_Sacramento%2C_CA.rar", "download link")</f>
        <v>download link</v>
      </c>
      <c r="I31" s="101" t="s">
        <v>1591</v>
      </c>
      <c r="J31" s="129"/>
    </row>
    <row r="32">
      <c r="A32" s="103">
        <v>34970.0</v>
      </c>
      <c r="B32" s="104"/>
      <c r="C32" s="105" t="str">
        <f t="shared" si="2"/>
        <v>setlist</v>
      </c>
      <c r="D32" s="106" t="s">
        <v>1592</v>
      </c>
      <c r="E32" s="106" t="s">
        <v>1381</v>
      </c>
      <c r="F32" s="107" t="s">
        <v>679</v>
      </c>
      <c r="G32" s="107" t="s">
        <v>36</v>
      </c>
      <c r="H32" s="105" t="str">
        <f>HYPERLINK("http://www.mediafire.com/download/b84ze44w2osm64w/1995-09-28_-_Summer_Pops%2C_Embarcadero_Center_-_San_Diego%2C_CA.rar", "download link")</f>
        <v>download link</v>
      </c>
      <c r="I32" s="134" t="s">
        <v>1593</v>
      </c>
      <c r="J32" s="109"/>
    </row>
    <row r="33">
      <c r="A33" s="110">
        <v>34971.0</v>
      </c>
      <c r="B33" s="111"/>
      <c r="C33" s="135" t="str">
        <f t="shared" si="2"/>
        <v>setlist</v>
      </c>
      <c r="D33" s="113" t="s">
        <v>1031</v>
      </c>
      <c r="E33" s="113" t="s">
        <v>911</v>
      </c>
      <c r="F33" s="114" t="s">
        <v>679</v>
      </c>
      <c r="G33" s="114" t="s">
        <v>36</v>
      </c>
      <c r="H33" s="135" t="str">
        <f>HYPERLINK("http://www.mediafire.com/download/oel54l3u0h91v3i/1995-09-29_-_Greek_Theatre_-_Los_Angeles%2C_CA.rar", "download link")</f>
        <v>download link</v>
      </c>
      <c r="I33" s="136" t="s">
        <v>1594</v>
      </c>
      <c r="J33" s="80"/>
    </row>
    <row r="34">
      <c r="A34" s="103">
        <v>34972.0</v>
      </c>
      <c r="B34" s="104"/>
      <c r="C34" s="105" t="str">
        <f t="shared" si="2"/>
        <v>setlist</v>
      </c>
      <c r="D34" s="106" t="s">
        <v>1052</v>
      </c>
      <c r="E34" s="106" t="s">
        <v>1053</v>
      </c>
      <c r="F34" s="107" t="s">
        <v>679</v>
      </c>
      <c r="G34" s="107" t="s">
        <v>36</v>
      </c>
      <c r="H34" s="105" t="str">
        <f>HYPERLINK("http://www.mediafire.com/download/9zkii1ldnptz065/1995-09-30_-_Shoreline_Amphitheatre_-_Mountain_View%2C_CA.rar", "download link")</f>
        <v>download link</v>
      </c>
      <c r="I34" s="134" t="s">
        <v>1595</v>
      </c>
      <c r="J34" s="109"/>
    </row>
    <row r="35">
      <c r="A35" s="110">
        <v>34974.0</v>
      </c>
      <c r="B35" s="111"/>
      <c r="C35" s="135" t="str">
        <f t="shared" si="2"/>
        <v>setlist</v>
      </c>
      <c r="D35" s="113" t="s">
        <v>1596</v>
      </c>
      <c r="E35" s="113" t="s">
        <v>791</v>
      </c>
      <c r="F35" s="114" t="s">
        <v>701</v>
      </c>
      <c r="G35" s="114" t="s">
        <v>36</v>
      </c>
      <c r="H35" s="135" t="str">
        <f>HYPERLINK("http://www.mediafire.com/download/p111xax66lsppi7/1995-10-02_-_Seattle_Center_Arena_-_Seattle%2C_WA.rar", "download link")</f>
        <v>download link</v>
      </c>
      <c r="I35" s="136" t="s">
        <v>1597</v>
      </c>
      <c r="J35" s="80"/>
    </row>
    <row r="36">
      <c r="A36" s="103">
        <v>34975.0</v>
      </c>
      <c r="B36" s="104"/>
      <c r="C36" s="105" t="str">
        <f t="shared" si="2"/>
        <v>setlist</v>
      </c>
      <c r="D36" s="106" t="s">
        <v>1596</v>
      </c>
      <c r="E36" s="106" t="s">
        <v>791</v>
      </c>
      <c r="F36" s="107" t="s">
        <v>701</v>
      </c>
      <c r="G36" s="107" t="s">
        <v>36</v>
      </c>
      <c r="H36" s="105" t="str">
        <f>HYPERLINK("http://www.mediafire.com/download/zu5aw6wcrv334z7/1995-10-03_-_Seattle_Center_Arena_-_Seattle%2C_WA.rar", "download link")</f>
        <v>download link</v>
      </c>
      <c r="I36" s="134" t="s">
        <v>1598</v>
      </c>
      <c r="J36" s="109"/>
    </row>
    <row r="37">
      <c r="A37" s="110">
        <v>34977.0</v>
      </c>
      <c r="B37" s="111"/>
      <c r="C37" s="135" t="str">
        <f t="shared" si="2"/>
        <v>setlist</v>
      </c>
      <c r="D37" s="113" t="s">
        <v>1599</v>
      </c>
      <c r="E37" s="113" t="s">
        <v>279</v>
      </c>
      <c r="F37" s="114" t="s">
        <v>692</v>
      </c>
      <c r="G37" s="114" t="s">
        <v>36</v>
      </c>
      <c r="H37" s="135" t="str">
        <f>HYPERLINK("http://www.mediafire.com/download/cd6ds5ewq45di2v/1995-10-05_-_Memorial_Coliseum_-_Portland%2C_OR.rar", "download link")</f>
        <v>download link</v>
      </c>
      <c r="I37" s="136" t="s">
        <v>1600</v>
      </c>
      <c r="J37" s="80"/>
    </row>
    <row r="38">
      <c r="A38" s="103">
        <v>34978.0</v>
      </c>
      <c r="B38" s="104"/>
      <c r="C38" s="105" t="str">
        <f t="shared" si="2"/>
        <v>setlist</v>
      </c>
      <c r="D38" s="106" t="s">
        <v>958</v>
      </c>
      <c r="E38" s="106" t="s">
        <v>1188</v>
      </c>
      <c r="F38" s="107" t="s">
        <v>1189</v>
      </c>
      <c r="G38" s="107" t="s">
        <v>36</v>
      </c>
      <c r="H38" s="105" t="str">
        <f>HYPERLINK("http://www.mediafire.com/download/yus44hajybtlhsa/1995-10-06_-_The_Orpheum_Theatre_-_Vancouver%2C_British_Columbia%2C_Canada.rar", "download link")</f>
        <v>download link</v>
      </c>
      <c r="I38" s="134" t="s">
        <v>1601</v>
      </c>
      <c r="J38" s="109"/>
    </row>
    <row r="39">
      <c r="A39" s="110">
        <v>34979.0</v>
      </c>
      <c r="B39" s="111"/>
      <c r="C39" s="135" t="str">
        <f t="shared" si="2"/>
        <v>setlist</v>
      </c>
      <c r="D39" s="113" t="s">
        <v>1602</v>
      </c>
      <c r="E39" s="113" t="s">
        <v>1603</v>
      </c>
      <c r="F39" s="114" t="s">
        <v>701</v>
      </c>
      <c r="G39" s="114" t="s">
        <v>36</v>
      </c>
      <c r="H39" s="135" t="str">
        <f>HYPERLINK("http://www.mediafire.com/download/16vtqyj7d9ioj98/1995-10-07_-_Spokane_Opera_House_-_Spokane%2C_WA.rar", "download link")</f>
        <v>download link</v>
      </c>
      <c r="I39" s="136" t="s">
        <v>1597</v>
      </c>
      <c r="J39" s="80"/>
    </row>
    <row r="40">
      <c r="A40" s="103">
        <v>34980.0</v>
      </c>
      <c r="B40" s="104"/>
      <c r="C40" s="105" t="str">
        <f t="shared" si="2"/>
        <v>setlist</v>
      </c>
      <c r="D40" s="106" t="s">
        <v>1604</v>
      </c>
      <c r="E40" s="106" t="s">
        <v>1605</v>
      </c>
      <c r="F40" s="107" t="s">
        <v>1523</v>
      </c>
      <c r="G40" s="107" t="s">
        <v>36</v>
      </c>
      <c r="H40" s="105" t="str">
        <f>HYPERLINK("http://www.mediafire.com/download/krveq2a9wdqdrsw/1995-10-08_-_Adams_Fieldhouse%2C_University_of_Montana_-_Missoula%2C_MT.rar", "download link")</f>
        <v>download link</v>
      </c>
      <c r="I40" s="134" t="s">
        <v>1606</v>
      </c>
      <c r="J40" s="109"/>
    </row>
    <row r="41">
      <c r="A41" s="110">
        <v>34983.0</v>
      </c>
      <c r="B41" s="111"/>
      <c r="C41" s="135" t="str">
        <f t="shared" si="2"/>
        <v>setlist</v>
      </c>
      <c r="D41" s="113" t="s">
        <v>1607</v>
      </c>
      <c r="E41" s="113" t="s">
        <v>804</v>
      </c>
      <c r="F41" s="114" t="s">
        <v>805</v>
      </c>
      <c r="G41" s="114" t="s">
        <v>36</v>
      </c>
      <c r="H41" s="135" t="str">
        <f>HYPERLINK("http://www.mediafire.com/download/1jabvlczcjxwkqj/1995-10-11_-_Compton_Terrace_Amphitheater_-_Chandler%2C_AZ.rar", "download link")</f>
        <v>download link</v>
      </c>
      <c r="I41" s="136" t="s">
        <v>1608</v>
      </c>
      <c r="J41" s="80"/>
    </row>
    <row r="42">
      <c r="A42" s="103">
        <v>34985.0</v>
      </c>
      <c r="B42" s="104"/>
      <c r="C42" s="105" t="str">
        <f t="shared" si="2"/>
        <v>setlist</v>
      </c>
      <c r="D42" s="106" t="s">
        <v>1609</v>
      </c>
      <c r="E42" s="106" t="s">
        <v>1610</v>
      </c>
      <c r="F42" s="107" t="s">
        <v>589</v>
      </c>
      <c r="G42" s="107" t="s">
        <v>36</v>
      </c>
      <c r="H42" s="105" t="str">
        <f>HYPERLINK("http://www.mediafire.com/download/6rwskcexsa5e85i/1995-10-13_-_Will_Rogers_Auditorium_-_Fort_Worth%2C_TX.rar", "download link")</f>
        <v>download link</v>
      </c>
      <c r="I42" s="134" t="s">
        <v>1611</v>
      </c>
      <c r="J42" s="109"/>
    </row>
    <row r="43">
      <c r="A43" s="110">
        <v>34986.0</v>
      </c>
      <c r="B43" s="111"/>
      <c r="C43" s="135" t="str">
        <f t="shared" si="2"/>
        <v>setlist</v>
      </c>
      <c r="D43" s="113" t="s">
        <v>1612</v>
      </c>
      <c r="E43" s="113" t="s">
        <v>591</v>
      </c>
      <c r="F43" s="114" t="s">
        <v>589</v>
      </c>
      <c r="G43" s="114" t="s">
        <v>36</v>
      </c>
      <c r="H43" s="135" t="str">
        <f>HYPERLINK("http://www.mediafire.com/download/hwe53tqur6ow3r3/1995-10-14_-_Austin_Music_Hall_-_Austin%2C_TX.rar", "download link")</f>
        <v>download link</v>
      </c>
      <c r="I43" s="136" t="s">
        <v>1540</v>
      </c>
      <c r="J43" s="136" t="s">
        <v>287</v>
      </c>
    </row>
    <row r="44">
      <c r="A44" s="103">
        <v>34987.0</v>
      </c>
      <c r="B44" s="104"/>
      <c r="C44" s="105" t="str">
        <f t="shared" si="2"/>
        <v>setlist</v>
      </c>
      <c r="D44" s="106" t="s">
        <v>1612</v>
      </c>
      <c r="E44" s="106" t="s">
        <v>591</v>
      </c>
      <c r="F44" s="107" t="s">
        <v>589</v>
      </c>
      <c r="G44" s="107" t="s">
        <v>36</v>
      </c>
      <c r="H44" s="105" t="str">
        <f>HYPERLINK("http://www.mediafire.com/download/p4kxkl50zpacfjj/1995-10-15_-_Austin_Music_Hall_-_Austin%2C_TX.rar", "download link")</f>
        <v>download link</v>
      </c>
      <c r="I44" s="134" t="s">
        <v>1540</v>
      </c>
      <c r="J44" s="109"/>
    </row>
    <row r="45">
      <c r="A45" s="110">
        <v>34989.0</v>
      </c>
      <c r="B45" s="111"/>
      <c r="C45" s="135" t="str">
        <f t="shared" si="2"/>
        <v>setlist</v>
      </c>
      <c r="D45" s="113" t="s">
        <v>1364</v>
      </c>
      <c r="E45" s="113" t="s">
        <v>585</v>
      </c>
      <c r="F45" s="114" t="s">
        <v>586</v>
      </c>
      <c r="G45" s="114" t="s">
        <v>36</v>
      </c>
      <c r="H45" s="135" t="str">
        <f>HYPERLINK("http://www.mediafire.com/download/k3lnxdz1u0732ae/1995-10-17_-_State_Palace_Theatre_-_New_Orleans%2C_LA.rar", "download link")</f>
        <v>download link</v>
      </c>
      <c r="I45" s="136" t="s">
        <v>1613</v>
      </c>
      <c r="J45" s="80"/>
    </row>
    <row r="46">
      <c r="A46" s="103">
        <v>34991.0</v>
      </c>
      <c r="B46" s="104"/>
      <c r="C46" s="105" t="str">
        <f t="shared" si="2"/>
        <v>setlist</v>
      </c>
      <c r="D46" s="106" t="s">
        <v>1424</v>
      </c>
      <c r="E46" s="106" t="s">
        <v>1204</v>
      </c>
      <c r="F46" s="107" t="s">
        <v>886</v>
      </c>
      <c r="G46" s="107" t="s">
        <v>36</v>
      </c>
      <c r="H46" s="105" t="str">
        <f>HYPERLINK("http://www.mediafire.com/download/27jcejx3dj826ry/1995-10-19_-_Municipal_Auditorium_-_Kansas_City%2C_MO.rar", "download link")</f>
        <v>download link</v>
      </c>
      <c r="I46" s="134" t="s">
        <v>1614</v>
      </c>
      <c r="J46" s="109"/>
    </row>
    <row r="47">
      <c r="A47" s="110">
        <v>34992.0</v>
      </c>
      <c r="B47" s="111"/>
      <c r="C47" s="135" t="str">
        <f t="shared" si="2"/>
        <v>setlist</v>
      </c>
      <c r="D47" s="113" t="s">
        <v>1615</v>
      </c>
      <c r="E47" s="113" t="s">
        <v>1616</v>
      </c>
      <c r="F47" s="114" t="s">
        <v>1201</v>
      </c>
      <c r="G47" s="114" t="s">
        <v>36</v>
      </c>
      <c r="H47" s="135" t="str">
        <f>HYPERLINK("http://www.mediafire.com/download/8p279o48592q9m2/1995-10-20_-_Five_Seasons_Arena_-_Cedar_Rapids%2C_IA.rar", "download link")</f>
        <v>download link</v>
      </c>
      <c r="I47" s="136" t="s">
        <v>1617</v>
      </c>
      <c r="J47" s="80"/>
    </row>
    <row r="48">
      <c r="A48" s="103">
        <v>34993.0</v>
      </c>
      <c r="B48" s="104"/>
      <c r="C48" s="105" t="str">
        <f t="shared" si="2"/>
        <v>setlist</v>
      </c>
      <c r="D48" s="106" t="s">
        <v>1618</v>
      </c>
      <c r="E48" s="106" t="s">
        <v>1619</v>
      </c>
      <c r="F48" s="107" t="s">
        <v>1620</v>
      </c>
      <c r="G48" s="107" t="s">
        <v>36</v>
      </c>
      <c r="H48" s="105" t="str">
        <f>HYPERLINK("http://www.mediafire.com/download/qtalcv1u8cm7kun/1995-10-21_-_Pershing_Auditorium_-_Lincoln%2C_NE.rar", "download link")</f>
        <v>download link</v>
      </c>
      <c r="I48" s="134" t="s">
        <v>1621</v>
      </c>
      <c r="J48" s="109"/>
    </row>
    <row r="49">
      <c r="A49" s="110">
        <v>34994.0</v>
      </c>
      <c r="B49" s="111"/>
      <c r="C49" s="135" t="str">
        <f t="shared" si="2"/>
        <v>setlist</v>
      </c>
      <c r="D49" s="113" t="s">
        <v>1622</v>
      </c>
      <c r="E49" s="113" t="s">
        <v>781</v>
      </c>
      <c r="F49" s="114" t="s">
        <v>480</v>
      </c>
      <c r="G49" s="114" t="s">
        <v>36</v>
      </c>
      <c r="H49" s="135" t="str">
        <f>HYPERLINK("http://www.mediafire.com/download/3u0x38kk60q90ob/1995-10-22_-_Assembly_Hall%2C_University_of_Illinois_-_Champaign%2C_IL.rar", "download link")</f>
        <v>download link</v>
      </c>
      <c r="I49" s="136" t="s">
        <v>1623</v>
      </c>
      <c r="J49" s="80"/>
    </row>
    <row r="50">
      <c r="A50" s="103">
        <v>34996.0</v>
      </c>
      <c r="B50" s="104"/>
      <c r="C50" s="105" t="str">
        <f t="shared" si="2"/>
        <v>setlist</v>
      </c>
      <c r="D50" s="106" t="s">
        <v>1624</v>
      </c>
      <c r="E50" s="106" t="s">
        <v>482</v>
      </c>
      <c r="F50" s="107" t="s">
        <v>483</v>
      </c>
      <c r="G50" s="107" t="s">
        <v>36</v>
      </c>
      <c r="H50" s="105" t="str">
        <f>HYPERLINK("http://www.mediafire.com/download/9ba1puzbk4sboq3/1995-10-24_-_Dane_County_Coliseum_-_Madison%2C_WI.rar", "download link")</f>
        <v>download link</v>
      </c>
      <c r="I50" s="134" t="s">
        <v>1625</v>
      </c>
      <c r="J50" s="109"/>
    </row>
    <row r="51">
      <c r="A51" s="110">
        <v>34997.0</v>
      </c>
      <c r="B51" s="111"/>
      <c r="C51" s="135" t="str">
        <f t="shared" si="2"/>
        <v>setlist</v>
      </c>
      <c r="D51" s="113" t="s">
        <v>1626</v>
      </c>
      <c r="E51" s="113" t="s">
        <v>786</v>
      </c>
      <c r="F51" s="114" t="s">
        <v>486</v>
      </c>
      <c r="G51" s="114" t="s">
        <v>36</v>
      </c>
      <c r="H51" s="135" t="str">
        <f>HYPERLINK("http://www.mediafire.com/download/zcitxnvxfa6qmqa/1995-10-25_-_Civic_Center_Arena_-_St._Paul%2C_MN.rar", "download link")</f>
        <v>download link</v>
      </c>
      <c r="I51" s="136" t="s">
        <v>1627</v>
      </c>
      <c r="J51" s="80"/>
    </row>
    <row r="52">
      <c r="A52" s="103">
        <v>34999.0</v>
      </c>
      <c r="B52" s="104"/>
      <c r="C52" s="105" t="str">
        <f t="shared" si="2"/>
        <v>setlist</v>
      </c>
      <c r="D52" s="106" t="s">
        <v>1628</v>
      </c>
      <c r="E52" s="106" t="s">
        <v>1083</v>
      </c>
      <c r="F52" s="107" t="s">
        <v>712</v>
      </c>
      <c r="G52" s="107" t="s">
        <v>36</v>
      </c>
      <c r="H52" s="105" t="str">
        <f>HYPERLINK("http://www.mediafire.com/download/pkclmkmbg175jih/1995-10-27_-_Wing%27s_Stadium_-_Kalamazoo%2C_MI.rar", "download link")</f>
        <v>download link</v>
      </c>
      <c r="I52" s="134" t="s">
        <v>1629</v>
      </c>
      <c r="J52" s="109"/>
    </row>
    <row r="53">
      <c r="A53" s="110">
        <v>35000.0</v>
      </c>
      <c r="B53" s="111"/>
      <c r="C53" s="135" t="str">
        <f t="shared" si="2"/>
        <v>setlist</v>
      </c>
      <c r="D53" s="113" t="s">
        <v>1630</v>
      </c>
      <c r="E53" s="113" t="s">
        <v>1631</v>
      </c>
      <c r="F53" s="114" t="s">
        <v>712</v>
      </c>
      <c r="G53" s="114" t="s">
        <v>36</v>
      </c>
      <c r="H53" s="135" t="str">
        <f>HYPERLINK("http://www.mediafire.com/download/q8t3t3z9dbtmmod/1995-10-28_-_The_Palace_of_Auburn_Hills_-_Auburn_Hills%2C_MI.rar", "download link")</f>
        <v>download link</v>
      </c>
      <c r="I53" s="136" t="s">
        <v>1632</v>
      </c>
      <c r="J53" s="80"/>
    </row>
    <row r="54">
      <c r="A54" s="103">
        <v>35001.0</v>
      </c>
      <c r="B54" s="104"/>
      <c r="C54" s="105" t="str">
        <f t="shared" si="2"/>
        <v>setlist</v>
      </c>
      <c r="D54" s="106" t="s">
        <v>1633</v>
      </c>
      <c r="E54" s="106" t="s">
        <v>1209</v>
      </c>
      <c r="F54" s="107" t="s">
        <v>1210</v>
      </c>
      <c r="G54" s="107" t="s">
        <v>36</v>
      </c>
      <c r="H54" s="105" t="str">
        <f>HYPERLINK("http://www.mediafire.com/download/6qfkvpyavaa11dq/1995-10-29_-_Louisville_Gardens_-_Louisville%2C_KY.rar", "download link")</f>
        <v>download link</v>
      </c>
      <c r="I54" s="134" t="s">
        <v>1634</v>
      </c>
      <c r="J54" s="109"/>
    </row>
    <row r="55">
      <c r="A55" s="110">
        <v>35003.0</v>
      </c>
      <c r="B55" s="111"/>
      <c r="C55" s="135" t="str">
        <f t="shared" si="2"/>
        <v>setlist</v>
      </c>
      <c r="D55" s="113" t="s">
        <v>1635</v>
      </c>
      <c r="E55" s="113" t="s">
        <v>1636</v>
      </c>
      <c r="F55" s="114" t="s">
        <v>480</v>
      </c>
      <c r="G55" s="114" t="s">
        <v>36</v>
      </c>
      <c r="H55" s="135" t="str">
        <f>HYPERLINK("http://www.mediafire.com/download/pn38frn69qpaatt/1995-10-31_-_Rosemont_Horizon_-_Rosemont%2C_IL.rar", "download link")</f>
        <v>download link</v>
      </c>
      <c r="I55" s="136" t="s">
        <v>1637</v>
      </c>
      <c r="J55" s="80"/>
    </row>
    <row r="56">
      <c r="A56" s="103">
        <v>35012.0</v>
      </c>
      <c r="B56" s="104"/>
      <c r="C56" s="105" t="str">
        <f t="shared" si="2"/>
        <v>setlist</v>
      </c>
      <c r="D56" s="106" t="s">
        <v>897</v>
      </c>
      <c r="E56" s="106" t="s">
        <v>437</v>
      </c>
      <c r="F56" s="107" t="s">
        <v>433</v>
      </c>
      <c r="G56" s="107" t="s">
        <v>36</v>
      </c>
      <c r="H56" s="105" t="str">
        <f>HYPERLINK("http://www.mediafire.com/download/n2ouih807pjibt4/1995-11-09_-_The_Fox_Theatre_-_Atlanta%2C_GA.rar", "download link")</f>
        <v>download link</v>
      </c>
      <c r="I56" s="134" t="s">
        <v>1638</v>
      </c>
      <c r="J56" s="109"/>
    </row>
    <row r="57">
      <c r="A57" s="110">
        <v>35013.0</v>
      </c>
      <c r="B57" s="111"/>
      <c r="C57" s="135" t="str">
        <f t="shared" si="2"/>
        <v>setlist</v>
      </c>
      <c r="D57" s="113" t="s">
        <v>897</v>
      </c>
      <c r="E57" s="113" t="s">
        <v>437</v>
      </c>
      <c r="F57" s="114" t="s">
        <v>433</v>
      </c>
      <c r="G57" s="114" t="s">
        <v>36</v>
      </c>
      <c r="H57" s="135" t="str">
        <f>HYPERLINK("http://www.mediafire.com/download/c8jwig726xr0dq6/1995-11-10_-_The_Fox_Theatre_-_Atlanta%2C_GA.rar", "download link")</f>
        <v>download link</v>
      </c>
      <c r="I57" s="136" t="s">
        <v>1639</v>
      </c>
      <c r="J57" s="80"/>
    </row>
    <row r="58">
      <c r="A58" s="103">
        <v>35014.0</v>
      </c>
      <c r="B58" s="104"/>
      <c r="C58" s="105" t="str">
        <f t="shared" si="2"/>
        <v>setlist</v>
      </c>
      <c r="D58" s="106" t="s">
        <v>897</v>
      </c>
      <c r="E58" s="106" t="s">
        <v>437</v>
      </c>
      <c r="F58" s="107" t="s">
        <v>433</v>
      </c>
      <c r="G58" s="107" t="s">
        <v>36</v>
      </c>
      <c r="H58" s="105" t="str">
        <f>HYPERLINK("http://www.mediafire.com/download/31uqzor7fpl4vru/1995-11-11_-_The_Fox_Theatre_-_Atlanta%2C_GA.rar", "download link")</f>
        <v>download link</v>
      </c>
      <c r="I58" s="134" t="s">
        <v>1640</v>
      </c>
      <c r="J58" s="109"/>
    </row>
    <row r="59">
      <c r="A59" s="110">
        <v>35015.0</v>
      </c>
      <c r="B59" s="111"/>
      <c r="C59" s="135" t="str">
        <f t="shared" si="2"/>
        <v>setlist</v>
      </c>
      <c r="D59" s="113" t="s">
        <v>1641</v>
      </c>
      <c r="E59" s="113" t="s">
        <v>1144</v>
      </c>
      <c r="F59" s="114" t="s">
        <v>1133</v>
      </c>
      <c r="G59" s="114" t="s">
        <v>36</v>
      </c>
      <c r="H59" s="135" t="str">
        <f>HYPERLINK("http://www.mediafire.com/download/mc9kvvu03ljfot9/1995-11-12_-_O%27Connell_Center%2C_University_of_Florida_-_Gainesville%2C_FL.rar", "download link")</f>
        <v>download link</v>
      </c>
      <c r="I59" s="136" t="s">
        <v>1540</v>
      </c>
      <c r="J59" s="80"/>
    </row>
    <row r="60">
      <c r="A60" s="103">
        <v>35017.0</v>
      </c>
      <c r="B60" s="104"/>
      <c r="C60" s="105" t="str">
        <f t="shared" si="2"/>
        <v>setlist</v>
      </c>
      <c r="D60" s="106" t="s">
        <v>1642</v>
      </c>
      <c r="E60" s="106" t="s">
        <v>1136</v>
      </c>
      <c r="F60" s="107" t="s">
        <v>1133</v>
      </c>
      <c r="G60" s="107" t="s">
        <v>36</v>
      </c>
      <c r="H60" s="105" t="str">
        <f>HYPERLINK("http://www.mediafire.com/download/8pe6p9keko3xwkp/1995-11-14_-_University_of_Central_Florida_Arena_-_Orlando%2C_FL.rar", "download link")</f>
        <v>download link</v>
      </c>
      <c r="I60" s="134" t="s">
        <v>1643</v>
      </c>
      <c r="J60" s="109"/>
    </row>
    <row r="61">
      <c r="A61" s="110">
        <v>35018.0</v>
      </c>
      <c r="B61" s="111"/>
      <c r="C61" s="135" t="str">
        <f t="shared" si="2"/>
        <v>setlist</v>
      </c>
      <c r="D61" s="113" t="s">
        <v>1644</v>
      </c>
      <c r="E61" s="113" t="s">
        <v>1141</v>
      </c>
      <c r="F61" s="114" t="s">
        <v>1133</v>
      </c>
      <c r="G61" s="114" t="s">
        <v>36</v>
      </c>
      <c r="H61" s="135" t="str">
        <f>HYPERLINK("http://www.mediafire.com/download/90dxupotgcd9316/1995-11-15_-_Sun_Dome%2C_University_of_South_Florida_-_Tampa%2C_FL.rar", "download link")</f>
        <v>download link</v>
      </c>
      <c r="I61" s="136" t="s">
        <v>1597</v>
      </c>
      <c r="J61" s="80"/>
    </row>
    <row r="62">
      <c r="A62" s="103">
        <v>35019.0</v>
      </c>
      <c r="B62" s="104"/>
      <c r="C62" s="105" t="str">
        <f t="shared" si="2"/>
        <v>setlist</v>
      </c>
      <c r="D62" s="106" t="s">
        <v>1645</v>
      </c>
      <c r="E62" s="106" t="s">
        <v>1353</v>
      </c>
      <c r="F62" s="107" t="s">
        <v>1133</v>
      </c>
      <c r="G62" s="107" t="s">
        <v>36</v>
      </c>
      <c r="H62" s="105" t="str">
        <f>HYPERLINK("http://www.mediafire.com/download/xzt24rhrundjri1/1995-11-16_-_West_Palm_Beach_Auditorium_-_West_Palm_Beach%2C_FL.rar", "download link")</f>
        <v>download link</v>
      </c>
      <c r="I62" s="134" t="s">
        <v>1646</v>
      </c>
      <c r="J62" s="109"/>
    </row>
    <row r="63">
      <c r="A63" s="110">
        <v>35021.0</v>
      </c>
      <c r="B63" s="111"/>
      <c r="C63" s="135" t="str">
        <f t="shared" si="2"/>
        <v>setlist</v>
      </c>
      <c r="D63" s="113" t="s">
        <v>1647</v>
      </c>
      <c r="E63" s="113" t="s">
        <v>1648</v>
      </c>
      <c r="F63" s="114" t="s">
        <v>430</v>
      </c>
      <c r="G63" s="114" t="s">
        <v>36</v>
      </c>
      <c r="H63" s="135" t="str">
        <f>HYPERLINK("http://www.mediafire.com/download/e67czth1scjmxgd/1995-11-18_-_North_Charleston_Coliseum_-_North_Charleston%2C_SC.rar", "download link")</f>
        <v>download link</v>
      </c>
      <c r="I63" s="136" t="s">
        <v>1649</v>
      </c>
      <c r="J63" s="80"/>
    </row>
    <row r="64">
      <c r="A64" s="103">
        <v>35022.0</v>
      </c>
      <c r="B64" s="104"/>
      <c r="C64" s="105" t="str">
        <f t="shared" si="2"/>
        <v>setlist</v>
      </c>
      <c r="D64" s="106" t="s">
        <v>1650</v>
      </c>
      <c r="E64" s="106" t="s">
        <v>541</v>
      </c>
      <c r="F64" s="107" t="s">
        <v>443</v>
      </c>
      <c r="G64" s="107" t="s">
        <v>36</v>
      </c>
      <c r="H64" s="105" t="str">
        <f>HYPERLINK("http://www.mediafire.com/download/tl93a6pnu3ic8t8/1995-11-19_-_Charlotte_Coliseum_-_Charlotte%2C_NC.rar", "download link")</f>
        <v>download link</v>
      </c>
      <c r="I64" s="134" t="s">
        <v>1651</v>
      </c>
      <c r="J64" s="109"/>
    </row>
    <row r="65">
      <c r="A65" s="110">
        <v>35024.0</v>
      </c>
      <c r="B65" s="111"/>
      <c r="C65" s="135" t="str">
        <f t="shared" si="2"/>
        <v>setlist</v>
      </c>
      <c r="D65" s="113" t="s">
        <v>1343</v>
      </c>
      <c r="E65" s="113" t="s">
        <v>1652</v>
      </c>
      <c r="F65" s="114" t="s">
        <v>443</v>
      </c>
      <c r="G65" s="114" t="s">
        <v>36</v>
      </c>
      <c r="H65" s="135" t="str">
        <f>HYPERLINK("http://www.mediafire.com/download/7n66al2e3553a7r/1995-11-21_-_Lawrence_Joel_Veterans_Memorial_Coliseum_-_Winston-Salem%2C_NC.rar", "download link")</f>
        <v>download link</v>
      </c>
      <c r="I65" s="136" t="s">
        <v>1653</v>
      </c>
      <c r="J65" s="80"/>
    </row>
    <row r="66">
      <c r="A66" s="103">
        <v>35025.0</v>
      </c>
      <c r="B66" s="104"/>
      <c r="C66" s="105" t="str">
        <f t="shared" si="2"/>
        <v>setlist</v>
      </c>
      <c r="D66" s="106" t="s">
        <v>1654</v>
      </c>
      <c r="E66" s="106" t="s">
        <v>1655</v>
      </c>
      <c r="F66" s="107" t="s">
        <v>397</v>
      </c>
      <c r="G66" s="107" t="s">
        <v>36</v>
      </c>
      <c r="H66" s="105" t="str">
        <f>HYPERLINK("http://www.mediafire.com/download/02i2p0hg32qwajx/1995-11-22_-_USAir_Arena_-_Landover%2C_MD.rar", "download link")</f>
        <v>download link</v>
      </c>
      <c r="I66" s="134" t="s">
        <v>1656</v>
      </c>
      <c r="J66" s="109"/>
    </row>
    <row r="67">
      <c r="A67" s="110">
        <v>35027.0</v>
      </c>
      <c r="B67" s="111"/>
      <c r="C67" s="135" t="str">
        <f t="shared" si="2"/>
        <v>setlist</v>
      </c>
      <c r="D67" s="113" t="s">
        <v>1657</v>
      </c>
      <c r="E67" s="113" t="s">
        <v>1073</v>
      </c>
      <c r="F67" s="114" t="s">
        <v>212</v>
      </c>
      <c r="G67" s="114" t="s">
        <v>36</v>
      </c>
      <c r="H67" s="116" t="str">
        <f>HYPERLINK("http://www.mediafire.com/download/wcyd2lbajl5ak2c/1995-11-24_-_Civic_Arena_-_Pittsburgh%2C_PA.rar", "download link")</f>
        <v>download link</v>
      </c>
      <c r="I67" s="136" t="s">
        <v>1658</v>
      </c>
      <c r="J67" s="80"/>
    </row>
    <row r="68">
      <c r="A68" s="103">
        <v>35028.0</v>
      </c>
      <c r="B68" s="104"/>
      <c r="C68" s="105" t="str">
        <f t="shared" si="2"/>
        <v>setlist</v>
      </c>
      <c r="D68" s="106" t="s">
        <v>1659</v>
      </c>
      <c r="E68" s="106" t="s">
        <v>1660</v>
      </c>
      <c r="F68" s="107" t="s">
        <v>446</v>
      </c>
      <c r="G68" s="107" t="s">
        <v>36</v>
      </c>
      <c r="H68" s="105" t="str">
        <f>HYPERLINK("http://www.mediafire.com/download/gqpo0u17e85xicm/1995-11-25_-_Hampton_Coliseum_-_Hampton%2C_VA.rar", "download link")</f>
        <v>download link</v>
      </c>
      <c r="I68" s="134" t="s">
        <v>1638</v>
      </c>
      <c r="J68" s="109"/>
    </row>
    <row r="69">
      <c r="A69" s="110">
        <v>35031.0</v>
      </c>
      <c r="B69" s="111"/>
      <c r="C69" s="135" t="str">
        <f t="shared" si="2"/>
        <v>setlist</v>
      </c>
      <c r="D69" s="113" t="s">
        <v>1661</v>
      </c>
      <c r="E69" s="113" t="s">
        <v>649</v>
      </c>
      <c r="F69" s="114" t="s">
        <v>650</v>
      </c>
      <c r="G69" s="114" t="s">
        <v>36</v>
      </c>
      <c r="H69" s="135" t="str">
        <f>HYPERLINK("http://www.mediafire.com/download/bmamzwg5wosaa3a/1995-11-28_-_Knoxville_Civic_Coliseum_-_Konxville%2C_TN.rar", "download link")</f>
        <v>download link</v>
      </c>
      <c r="I69" s="136" t="s">
        <v>1662</v>
      </c>
      <c r="J69" s="80"/>
    </row>
    <row r="70">
      <c r="A70" s="103">
        <v>35032.0</v>
      </c>
      <c r="B70" s="104"/>
      <c r="C70" s="105" t="str">
        <f t="shared" si="2"/>
        <v>setlist</v>
      </c>
      <c r="D70" s="106" t="s">
        <v>1424</v>
      </c>
      <c r="E70" s="106" t="s">
        <v>652</v>
      </c>
      <c r="F70" s="107" t="s">
        <v>650</v>
      </c>
      <c r="G70" s="107" t="s">
        <v>36</v>
      </c>
      <c r="H70" s="105" t="str">
        <f>HYPERLINK("http://www.mediafire.com/download/frk7oha4mjvh8jn/1995-11-29_-_Municipal_Auditorium_-_Nashville%2C_TN.rar", "download link")</f>
        <v>download link</v>
      </c>
      <c r="I70" s="134" t="s">
        <v>1663</v>
      </c>
      <c r="J70" s="109"/>
    </row>
    <row r="71">
      <c r="A71" s="110">
        <v>35033.0</v>
      </c>
      <c r="B71" s="111"/>
      <c r="C71" s="135" t="str">
        <f t="shared" si="2"/>
        <v>setlist</v>
      </c>
      <c r="D71" s="113" t="s">
        <v>1664</v>
      </c>
      <c r="E71" s="113" t="s">
        <v>477</v>
      </c>
      <c r="F71" s="114" t="s">
        <v>472</v>
      </c>
      <c r="G71" s="114" t="s">
        <v>36</v>
      </c>
      <c r="H71" s="135" t="str">
        <f>HYPERLINK("http://www.mediafire.com/download/7d7ki9lfk4ou747/1995-11-30_-_Ervin_J._Nutter_Center%2C_Wright_State_University_-_Dayton%2C_OH.rar", "download link")</f>
        <v>download link</v>
      </c>
      <c r="I71" s="136" t="s">
        <v>1665</v>
      </c>
      <c r="J71" s="80"/>
    </row>
    <row r="72">
      <c r="A72" s="103">
        <v>35034.0</v>
      </c>
      <c r="B72" s="104"/>
      <c r="C72" s="105" t="str">
        <f t="shared" si="2"/>
        <v>setlist</v>
      </c>
      <c r="D72" s="106" t="s">
        <v>1666</v>
      </c>
      <c r="E72" s="106" t="s">
        <v>1667</v>
      </c>
      <c r="F72" s="107" t="s">
        <v>212</v>
      </c>
      <c r="G72" s="107" t="s">
        <v>36</v>
      </c>
      <c r="H72" s="105" t="str">
        <f>HYPERLINK("http://www.mediafire.com/download/7qypq0lr626jafp/1995-12-01_-_Hersheypark_Arena_-_Hershey%2C_PA.rar", "download link")</f>
        <v>download link</v>
      </c>
      <c r="I72" s="134" t="s">
        <v>1668</v>
      </c>
      <c r="J72" s="109"/>
    </row>
    <row r="73">
      <c r="A73" s="110">
        <v>35035.0</v>
      </c>
      <c r="B73" s="111"/>
      <c r="C73" s="135" t="str">
        <f t="shared" si="2"/>
        <v>setlist</v>
      </c>
      <c r="D73" s="113" t="s">
        <v>1312</v>
      </c>
      <c r="E73" s="113" t="s">
        <v>459</v>
      </c>
      <c r="F73" s="114" t="s">
        <v>171</v>
      </c>
      <c r="G73" s="114" t="s">
        <v>36</v>
      </c>
      <c r="H73" s="135" t="str">
        <f>HYPERLINK("http://www.mediafire.com/download/cd107l2ii2e1k71/1995-12-02_-_New_Haven_Veterans_Memorial_Coliseum_-_New_Haven%2C_CT.rar\", "download link")</f>
        <v>download link</v>
      </c>
      <c r="I73" s="136" t="s">
        <v>1669</v>
      </c>
      <c r="J73" s="80"/>
    </row>
    <row r="74">
      <c r="A74" s="103">
        <v>35037.0</v>
      </c>
      <c r="B74" s="104"/>
      <c r="C74" s="105" t="str">
        <f t="shared" si="2"/>
        <v>setlist</v>
      </c>
      <c r="D74" s="106" t="s">
        <v>1333</v>
      </c>
      <c r="E74" s="106" t="s">
        <v>164</v>
      </c>
      <c r="F74" s="107" t="s">
        <v>95</v>
      </c>
      <c r="G74" s="107" t="s">
        <v>36</v>
      </c>
      <c r="H74" s="105" t="str">
        <f>HYPERLINK("http://www.mediafire.com/download/aerh0urkl715cda/1995-12-04_-_Mullins_Center%2C_University_of_Massachusetts_-_Amherst%2C_MA.rar", "download link")</f>
        <v>download link</v>
      </c>
      <c r="I74" s="134" t="s">
        <v>1313</v>
      </c>
      <c r="J74" s="109"/>
    </row>
    <row r="75">
      <c r="A75" s="110">
        <v>35038.0</v>
      </c>
      <c r="B75" s="111"/>
      <c r="C75" s="135" t="str">
        <f t="shared" si="2"/>
        <v>setlist</v>
      </c>
      <c r="D75" s="113" t="s">
        <v>1333</v>
      </c>
      <c r="E75" s="113" t="s">
        <v>164</v>
      </c>
      <c r="F75" s="114" t="s">
        <v>95</v>
      </c>
      <c r="G75" s="114" t="s">
        <v>36</v>
      </c>
      <c r="H75" s="135" t="str">
        <f>HYPERLINK("http://www.mediafire.com/download/ugvcc3s47j8454d/1995-12-05_-_Mullins_Center%2C_University_of_Massachusetts_-_Amherst%2C_MA.rar", "download link")</f>
        <v>download link</v>
      </c>
      <c r="I75" s="136" t="s">
        <v>1313</v>
      </c>
      <c r="J75" s="80"/>
    </row>
    <row r="76">
      <c r="A76" s="103">
        <v>35040.0</v>
      </c>
      <c r="B76" s="104"/>
      <c r="C76" s="105" t="str">
        <f t="shared" si="2"/>
        <v>setlist</v>
      </c>
      <c r="D76" s="106" t="s">
        <v>1670</v>
      </c>
      <c r="E76" s="106" t="s">
        <v>1671</v>
      </c>
      <c r="F76" s="107" t="s">
        <v>129</v>
      </c>
      <c r="G76" s="107" t="s">
        <v>36</v>
      </c>
      <c r="H76" s="105" t="str">
        <f>HYPERLINK("http://www.mediafire.com/download/gd0dun3k0xq4bd0/1995-12-07_-_Niagra_Falls_Convention_Center_-_Niagra_Falls%2C_NY.rar", "download link")</f>
        <v>download link</v>
      </c>
      <c r="I76" s="134" t="s">
        <v>1672</v>
      </c>
      <c r="J76" s="109"/>
    </row>
    <row r="77">
      <c r="A77" s="110">
        <v>35041.0</v>
      </c>
      <c r="B77" s="111"/>
      <c r="C77" s="135" t="str">
        <f t="shared" si="2"/>
        <v>setlist</v>
      </c>
      <c r="D77" s="113" t="s">
        <v>1673</v>
      </c>
      <c r="E77" s="113" t="s">
        <v>773</v>
      </c>
      <c r="F77" s="114" t="s">
        <v>472</v>
      </c>
      <c r="G77" s="114" t="s">
        <v>36</v>
      </c>
      <c r="H77" s="135" t="str">
        <f>HYPERLINK("http://www.mediafire.com/download/d093uu8tn2oi38z/1995-12-08_-_CSU_Convocation_Center_-_Cleveland%2C_OH.rar", "download link")</f>
        <v>download link</v>
      </c>
      <c r="I77" s="136" t="s">
        <v>1674</v>
      </c>
      <c r="J77" s="80"/>
    </row>
    <row r="78">
      <c r="A78" s="103">
        <v>35042.0</v>
      </c>
      <c r="B78" s="104"/>
      <c r="C78" s="105" t="str">
        <f t="shared" si="2"/>
        <v>setlist</v>
      </c>
      <c r="D78" s="106" t="s">
        <v>1675</v>
      </c>
      <c r="E78" s="106" t="s">
        <v>309</v>
      </c>
      <c r="F78" s="107" t="s">
        <v>129</v>
      </c>
      <c r="G78" s="107" t="s">
        <v>36</v>
      </c>
      <c r="H78" s="105" t="str">
        <f>HYPERLINK("http://www.mediafire.com/download/tvz1w469e7322k6/1995-12-09_-_The_Knickerbocker_Arena_-_Albany%2C_NY.rar", "download link")</f>
        <v>download link</v>
      </c>
      <c r="I78" s="134" t="s">
        <v>1676</v>
      </c>
      <c r="J78" s="109"/>
    </row>
    <row r="79">
      <c r="A79" s="110">
        <v>35044.0</v>
      </c>
      <c r="B79" s="111"/>
      <c r="C79" s="135" t="str">
        <f t="shared" si="2"/>
        <v>setlist</v>
      </c>
      <c r="D79" s="113" t="s">
        <v>988</v>
      </c>
      <c r="E79" s="113" t="s">
        <v>279</v>
      </c>
      <c r="F79" s="114" t="s">
        <v>257</v>
      </c>
      <c r="G79" s="114" t="s">
        <v>36</v>
      </c>
      <c r="H79" s="135" t="str">
        <f>HYPERLINK("http://www.mediafire.com/download/2l4owj4byld5j5w/1995-12-11_-_Cumberland_County_Civic_Center_-_Portland%2C_ME.rar", "download link")</f>
        <v>download link</v>
      </c>
      <c r="I79" s="136" t="s">
        <v>1677</v>
      </c>
      <c r="J79" s="80"/>
    </row>
    <row r="80">
      <c r="A80" s="103">
        <v>35045.0</v>
      </c>
      <c r="B80" s="104"/>
      <c r="C80" s="105" t="str">
        <f t="shared" si="2"/>
        <v>setlist</v>
      </c>
      <c r="D80" s="106" t="s">
        <v>1549</v>
      </c>
      <c r="E80" s="106" t="s">
        <v>297</v>
      </c>
      <c r="F80" s="107" t="s">
        <v>298</v>
      </c>
      <c r="G80" s="107" t="s">
        <v>36</v>
      </c>
      <c r="H80" s="105" t="str">
        <f>HYPERLINK("http://www.mediafire.com/download/3hnc1j6h3j1ixcc/1995-12-12_-_Providence_Civic_Center_-_Providence%2C_RI.rar", "download link")</f>
        <v>download link</v>
      </c>
      <c r="I80" s="134" t="s">
        <v>1313</v>
      </c>
      <c r="J80" s="109"/>
    </row>
    <row r="81">
      <c r="A81" s="110">
        <v>35047.0</v>
      </c>
      <c r="B81" s="111"/>
      <c r="C81" s="135" t="str">
        <f t="shared" si="2"/>
        <v>setlist</v>
      </c>
      <c r="D81" s="113" t="s">
        <v>1324</v>
      </c>
      <c r="E81" s="113" t="s">
        <v>227</v>
      </c>
      <c r="F81" s="114" t="s">
        <v>129</v>
      </c>
      <c r="G81" s="114" t="s">
        <v>36</v>
      </c>
      <c r="H81" s="135" t="str">
        <f>HYPERLINK("http://www.mediafire.com/download/dg0y27hfdaqsidm/1995-12-14_-_Broome_County_Arena_-_Binghamton%2C_NY.rar", "download link")</f>
        <v>download link</v>
      </c>
      <c r="I81" s="136" t="s">
        <v>1313</v>
      </c>
      <c r="J81" s="80"/>
    </row>
    <row r="82">
      <c r="A82" s="103">
        <v>35048.0</v>
      </c>
      <c r="B82" s="104"/>
      <c r="C82" s="105" t="str">
        <f t="shared" si="2"/>
        <v>setlist</v>
      </c>
      <c r="D82" s="134" t="s">
        <v>1678</v>
      </c>
      <c r="E82" s="106" t="s">
        <v>871</v>
      </c>
      <c r="F82" s="107" t="s">
        <v>212</v>
      </c>
      <c r="G82" s="107" t="s">
        <v>36</v>
      </c>
      <c r="H82" s="105" t="str">
        <f>HYPERLINK("http://www.mediafire.com/download/a1r3ase45zme952/1995-12-15_-_CoreStates_Spectrum_-_Philadelphia%2C_PA.rar", "download link")</f>
        <v>download link</v>
      </c>
      <c r="I82" s="134" t="s">
        <v>1679</v>
      </c>
      <c r="J82" s="109"/>
    </row>
    <row r="83">
      <c r="A83" s="110">
        <v>35049.0</v>
      </c>
      <c r="B83" s="111"/>
      <c r="C83" s="135" t="str">
        <f t="shared" si="2"/>
        <v>setlist</v>
      </c>
      <c r="D83" s="113" t="s">
        <v>1680</v>
      </c>
      <c r="E83" s="113" t="s">
        <v>1681</v>
      </c>
      <c r="F83" s="114" t="s">
        <v>129</v>
      </c>
      <c r="G83" s="114" t="s">
        <v>36</v>
      </c>
      <c r="H83" s="135" t="str">
        <f>HYPERLINK("http://www.mediafire.com/download/wwe2g2za8jqr6of/1995-12-16_-_Olympic_Center_-_Lake_Placid%2C_NY.rar", "download link")</f>
        <v>download link</v>
      </c>
      <c r="I83" s="136" t="s">
        <v>1677</v>
      </c>
      <c r="J83" s="80"/>
    </row>
    <row r="84">
      <c r="A84" s="186">
        <v>35050.0</v>
      </c>
      <c r="B84" s="187"/>
      <c r="C84" s="123" t="str">
        <f t="shared" si="2"/>
        <v>setlist</v>
      </c>
      <c r="D84" s="122" t="s">
        <v>1680</v>
      </c>
      <c r="E84" s="122" t="s">
        <v>1681</v>
      </c>
      <c r="F84" s="120" t="s">
        <v>129</v>
      </c>
      <c r="G84" s="120" t="s">
        <v>36</v>
      </c>
      <c r="H84" s="105" t="str">
        <f>HYPERLINK("http://www.mediafire.com/download/v2pfazip3nzvc68/1995-12-17_-_Olympic_Center_-_Lake_Placid%2C_NY.rar", "download link")</f>
        <v>download link</v>
      </c>
      <c r="I84" s="137" t="s">
        <v>1313</v>
      </c>
      <c r="J84" s="189"/>
    </row>
    <row r="85">
      <c r="A85" s="92"/>
      <c r="B85" s="93"/>
      <c r="C85" s="94"/>
      <c r="D85" s="83" t="s">
        <v>1682</v>
      </c>
      <c r="E85" s="95"/>
      <c r="F85" s="93"/>
      <c r="G85" s="93"/>
      <c r="H85" s="93"/>
      <c r="I85" s="95"/>
      <c r="J85" s="95"/>
    </row>
    <row r="86">
      <c r="A86" s="125">
        <v>35061.0</v>
      </c>
      <c r="B86" s="126"/>
      <c r="C86" s="98" t="str">
        <f t="shared" ref="C86:C89" si="3">HYPERLINK("http://www.phish.net/setlists/?d="&amp;RIGHT(TEXT(A86,"mm/dd/yyyy"),4)&amp;"-"&amp;LEFT(TEXT(A86,"mm/dd/yyyy"),2)&amp;"-"&amp;MID(TEXT(A86,"mm/dd/yyyy"),4,2), "setlist")</f>
        <v>setlist</v>
      </c>
      <c r="D86" s="102" t="s">
        <v>1315</v>
      </c>
      <c r="E86" s="102" t="s">
        <v>417</v>
      </c>
      <c r="F86" s="127" t="s">
        <v>95</v>
      </c>
      <c r="G86" s="127" t="s">
        <v>36</v>
      </c>
      <c r="H86" s="135" t="str">
        <f>HYPERLINK("http://www.mediafire.com/download/dp2ij5tsrmy6w55/1995-12-28_-_Worcester_Centrum_Centre_-_Worcester%2C_MA.rar", "download link")</f>
        <v>download link</v>
      </c>
      <c r="I86" s="101" t="s">
        <v>1683</v>
      </c>
      <c r="J86" s="129"/>
    </row>
    <row r="87">
      <c r="A87" s="235">
        <v>35062.0</v>
      </c>
      <c r="B87" s="104"/>
      <c r="C87" s="105" t="str">
        <f t="shared" si="3"/>
        <v>setlist</v>
      </c>
      <c r="D87" s="124" t="s">
        <v>1315</v>
      </c>
      <c r="E87" s="124" t="s">
        <v>417</v>
      </c>
      <c r="F87" s="236" t="s">
        <v>95</v>
      </c>
      <c r="G87" s="141" t="s">
        <v>36</v>
      </c>
      <c r="H87" s="105" t="str">
        <f>HYPERLINK("http://www.mediafire.com/download/geexlx8lq9a0d3s/1995-12-29_-_Worcester_Centrum_Centre_-_Worcester%2C_MA.rar", "download link")</f>
        <v>download link</v>
      </c>
      <c r="I87" s="124" t="s">
        <v>1638</v>
      </c>
      <c r="J87" s="109"/>
    </row>
    <row r="88">
      <c r="A88" s="110">
        <v>35063.0</v>
      </c>
      <c r="B88" s="111"/>
      <c r="C88" s="135" t="str">
        <f t="shared" si="3"/>
        <v>setlist</v>
      </c>
      <c r="D88" s="113" t="s">
        <v>1553</v>
      </c>
      <c r="E88" s="113" t="s">
        <v>162</v>
      </c>
      <c r="F88" s="114" t="s">
        <v>129</v>
      </c>
      <c r="G88" s="114" t="s">
        <v>36</v>
      </c>
      <c r="H88" s="135" t="str">
        <f>HYPERLINK("http://www.mediafire.com/download/ywij9x5wuoxkuei/1995-12-30_-_Madison_Square_Garden_-_New_York%2C_NY.rar", "download link")</f>
        <v>download link</v>
      </c>
      <c r="I88" s="136" t="s">
        <v>1638</v>
      </c>
      <c r="J88" s="80"/>
    </row>
    <row r="89">
      <c r="A89" s="103">
        <v>35064.0</v>
      </c>
      <c r="B89" s="104"/>
      <c r="C89" s="105" t="str">
        <f t="shared" si="3"/>
        <v>setlist</v>
      </c>
      <c r="D89" s="106" t="s">
        <v>1553</v>
      </c>
      <c r="E89" s="106" t="s">
        <v>162</v>
      </c>
      <c r="F89" s="107" t="s">
        <v>129</v>
      </c>
      <c r="G89" s="107" t="s">
        <v>36</v>
      </c>
      <c r="H89" s="105" t="str">
        <f>HYPERLINK("http://www.mediafire.com/download/i7ekhthdbfm9cgb/1995-12-31_-_Madison_Square_Garden_-_New_York%2C_NY.rar", "download link")</f>
        <v>download link</v>
      </c>
      <c r="I89" s="134" t="s">
        <v>1684</v>
      </c>
      <c r="J89" s="10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5.0"/>
  </cols>
  <sheetData>
    <row r="1">
      <c r="A1" s="77"/>
      <c r="B1" s="78"/>
      <c r="C1" s="78"/>
      <c r="D1" s="80"/>
      <c r="E1" s="80"/>
      <c r="F1" s="78"/>
      <c r="G1" s="237"/>
      <c r="H1" s="81"/>
      <c r="I1" s="82"/>
      <c r="J1" s="82"/>
    </row>
    <row r="2">
      <c r="A2" s="83" t="s">
        <v>22</v>
      </c>
      <c r="B2" s="60" t="s">
        <v>23</v>
      </c>
      <c r="C2" s="60" t="s">
        <v>24</v>
      </c>
      <c r="D2" s="60" t="s">
        <v>25</v>
      </c>
      <c r="E2" s="60" t="s">
        <v>26</v>
      </c>
      <c r="F2" s="60" t="s">
        <v>27</v>
      </c>
      <c r="G2" s="60" t="s">
        <v>28</v>
      </c>
      <c r="H2" s="60" t="s">
        <v>29</v>
      </c>
      <c r="I2" s="85" t="s">
        <v>30</v>
      </c>
      <c r="J2" s="83" t="s">
        <v>31</v>
      </c>
    </row>
    <row r="3">
      <c r="A3" s="86"/>
      <c r="B3" s="87"/>
      <c r="C3" s="87"/>
      <c r="D3" s="87"/>
      <c r="E3" s="89"/>
      <c r="F3" s="87"/>
      <c r="G3" s="87"/>
      <c r="H3" s="87"/>
      <c r="I3" s="89"/>
      <c r="J3" s="89"/>
    </row>
    <row r="4">
      <c r="A4" s="92"/>
      <c r="B4" s="93"/>
      <c r="C4" s="238"/>
      <c r="D4" s="83" t="s">
        <v>1685</v>
      </c>
      <c r="E4" s="95"/>
      <c r="F4" s="93"/>
      <c r="G4" s="93"/>
      <c r="H4" s="93"/>
      <c r="I4" s="95"/>
      <c r="J4" s="95"/>
    </row>
    <row r="5">
      <c r="A5" s="125">
        <v>35181.0</v>
      </c>
      <c r="B5" s="126"/>
      <c r="C5" s="98" t="str">
        <f t="shared" ref="C5:C6" si="1">HYPERLINK("http://www.phish.net/setlists/?d="&amp;RIGHT(TEXT(A5,"mm/dd/yyyy"),4)&amp;"-"&amp;LEFT(TEXT(A5,"mm/dd/yyyy"),2)&amp;"-"&amp;MID(TEXT(A5,"mm/dd/yyyy"),4,2), "setlist")</f>
        <v>setlist</v>
      </c>
      <c r="D5" s="101" t="s">
        <v>1686</v>
      </c>
      <c r="E5" s="102" t="s">
        <v>585</v>
      </c>
      <c r="F5" s="127" t="s">
        <v>586</v>
      </c>
      <c r="G5" s="127" t="s">
        <v>36</v>
      </c>
      <c r="H5" s="98" t="str">
        <f>HYPERLINK("http://www.mediafire.com/download/fiaarfm0b1s148s/1996-04-26_-_New_Orleans_Fairgrounds_-_New_Orleans%2C_LA.rar", "download link")</f>
        <v>download link</v>
      </c>
      <c r="I5" s="101" t="s">
        <v>1687</v>
      </c>
      <c r="J5" s="129"/>
    </row>
    <row r="6">
      <c r="A6" s="186">
        <v>35222.0</v>
      </c>
      <c r="B6" s="120" t="s">
        <v>32</v>
      </c>
      <c r="C6" s="123" t="str">
        <f t="shared" si="1"/>
        <v>setlist</v>
      </c>
      <c r="D6" s="122" t="s">
        <v>1688</v>
      </c>
      <c r="E6" s="122" t="s">
        <v>1689</v>
      </c>
      <c r="F6" s="120" t="s">
        <v>129</v>
      </c>
      <c r="G6" s="120" t="s">
        <v>36</v>
      </c>
      <c r="H6" s="123" t="str">
        <f>HYPERLINK("http://www.mediafire.com/download/2i8orriiyp9b81t/1996-06-06_-_Joyous_Lake_-_Woodstock%2C_NY.rar", "download link")</f>
        <v>download link</v>
      </c>
      <c r="I6" s="137" t="s">
        <v>1690</v>
      </c>
      <c r="J6" s="189"/>
    </row>
    <row r="7">
      <c r="A7" s="92"/>
      <c r="B7" s="93"/>
      <c r="C7" s="94"/>
      <c r="D7" s="83" t="s">
        <v>1691</v>
      </c>
      <c r="E7" s="95"/>
      <c r="F7" s="93"/>
      <c r="G7" s="93"/>
      <c r="H7" s="239"/>
      <c r="I7" s="92"/>
      <c r="J7" s="92"/>
    </row>
    <row r="8">
      <c r="A8" s="125">
        <v>35249.0</v>
      </c>
      <c r="B8" s="126"/>
      <c r="C8" s="98" t="str">
        <f t="shared" ref="C8:C25" si="2">HYPERLINK("http://www.phish.net/setlists/?d="&amp;RIGHT(TEXT(A8,"mm/dd/yyyy"),4)&amp;"-"&amp;LEFT(TEXT(A8,"mm/dd/yyyy"),2)&amp;"-"&amp;MID(TEXT(A8,"mm/dd/yyyy"),4,2), "setlist")</f>
        <v>setlist</v>
      </c>
      <c r="D8" s="102" t="s">
        <v>1692</v>
      </c>
      <c r="E8" s="102" t="s">
        <v>1693</v>
      </c>
      <c r="F8" s="127" t="s">
        <v>1694</v>
      </c>
      <c r="G8" s="127" t="s">
        <v>36</v>
      </c>
      <c r="H8" s="98" t="str">
        <f>HYPERLINK("http://www.mediafire.com/download/8g4gd6bs695idhq/1996-07-03_-_Stadio_Briamasco_-_Trento%2C_Italy.rar", "download link")</f>
        <v>download link</v>
      </c>
      <c r="I8" s="101" t="s">
        <v>1271</v>
      </c>
      <c r="J8" s="129"/>
    </row>
    <row r="9">
      <c r="A9" s="103">
        <v>35251.0</v>
      </c>
      <c r="B9" s="104"/>
      <c r="C9" s="105" t="str">
        <f t="shared" si="2"/>
        <v>setlist</v>
      </c>
      <c r="D9" s="106" t="s">
        <v>1695</v>
      </c>
      <c r="E9" s="106" t="s">
        <v>1696</v>
      </c>
      <c r="F9" s="107" t="s">
        <v>1694</v>
      </c>
      <c r="G9" s="107" t="s">
        <v>36</v>
      </c>
      <c r="H9" s="105" t="str">
        <f>HYPERLINK("http://www.mediafire.com/download/oyba1dwc6959qa4/1996-07-05_-_Stadio_Olimpico_-_Rome%2C_Italy.rar", "download link")</f>
        <v>download link</v>
      </c>
      <c r="I9" s="134" t="s">
        <v>1271</v>
      </c>
      <c r="J9" s="109"/>
    </row>
    <row r="10">
      <c r="A10" s="110">
        <v>35252.0</v>
      </c>
      <c r="B10" s="111"/>
      <c r="C10" s="135" t="str">
        <f t="shared" si="2"/>
        <v>setlist</v>
      </c>
      <c r="D10" s="113" t="s">
        <v>1697</v>
      </c>
      <c r="E10" s="113" t="s">
        <v>1698</v>
      </c>
      <c r="F10" s="114" t="s">
        <v>1694</v>
      </c>
      <c r="G10" s="114" t="s">
        <v>36</v>
      </c>
      <c r="H10" s="116" t="str">
        <f>HYPERLINK("http://www.mediafire.com/download/7l1vu8qsswh5trw/1996-07-06_-_Piazza_del_Duomo_-_Pistoia%2C_Italy.rar", "download link")</f>
        <v>download link</v>
      </c>
      <c r="I10" s="136" t="s">
        <v>1699</v>
      </c>
      <c r="J10" s="80"/>
    </row>
    <row r="11">
      <c r="A11" s="103">
        <v>35253.0</v>
      </c>
      <c r="B11" s="104"/>
      <c r="C11" s="105" t="str">
        <f t="shared" si="2"/>
        <v>setlist</v>
      </c>
      <c r="D11" s="106" t="s">
        <v>1700</v>
      </c>
      <c r="E11" s="106" t="s">
        <v>1701</v>
      </c>
      <c r="F11" s="107" t="s">
        <v>1694</v>
      </c>
      <c r="G11" s="107" t="s">
        <v>36</v>
      </c>
      <c r="H11" s="105" t="str">
        <f>HYPERLINK("http://www.mediafire.com/download/dwb3esfg51rd9gc/1996-07-07_-_Parco_Aquatica_-_Milan%2C_Italy.rar", "download link")</f>
        <v>download link</v>
      </c>
      <c r="I11" s="134" t="s">
        <v>1699</v>
      </c>
      <c r="J11" s="109"/>
    </row>
    <row r="12">
      <c r="A12" s="110">
        <v>35255.0</v>
      </c>
      <c r="B12" s="111"/>
      <c r="C12" s="135" t="str">
        <f t="shared" si="2"/>
        <v>setlist</v>
      </c>
      <c r="D12" s="113" t="s">
        <v>1702</v>
      </c>
      <c r="E12" s="113" t="s">
        <v>1703</v>
      </c>
      <c r="F12" s="114" t="s">
        <v>980</v>
      </c>
      <c r="G12" s="114" t="s">
        <v>36</v>
      </c>
      <c r="H12" s="116" t="str">
        <f>HYPERLINK("http://www.mediafire.com/download/62e08vo9a2omk1d/1996-07-09_-_Centre_International_-_Deauville%2C_France.rar", "download link")</f>
        <v>download link</v>
      </c>
      <c r="I12" s="136" t="s">
        <v>1704</v>
      </c>
      <c r="J12" s="80"/>
    </row>
    <row r="13">
      <c r="A13" s="103">
        <v>35256.0</v>
      </c>
      <c r="B13" s="104"/>
      <c r="C13" s="105" t="str">
        <f t="shared" si="2"/>
        <v>setlist</v>
      </c>
      <c r="D13" s="106" t="s">
        <v>1705</v>
      </c>
      <c r="E13" s="106" t="s">
        <v>979</v>
      </c>
      <c r="F13" s="107" t="s">
        <v>980</v>
      </c>
      <c r="G13" s="107" t="s">
        <v>36</v>
      </c>
      <c r="H13" s="105" t="str">
        <f>HYPERLINK("http://www.mediafire.com/download/f72w1aizx0p5j7z/1996-07-10_-_Le_Zenith_-_Paris%2C_France.rar", "download link")</f>
        <v>download link</v>
      </c>
      <c r="I13" s="134" t="s">
        <v>1704</v>
      </c>
      <c r="J13" s="109"/>
    </row>
    <row r="14">
      <c r="A14" s="110">
        <v>35257.0</v>
      </c>
      <c r="B14" s="114" t="s">
        <v>32</v>
      </c>
      <c r="C14" s="135" t="str">
        <f t="shared" si="2"/>
        <v>setlist</v>
      </c>
      <c r="D14" s="113" t="s">
        <v>1706</v>
      </c>
      <c r="E14" s="113" t="s">
        <v>985</v>
      </c>
      <c r="F14" s="114" t="s">
        <v>986</v>
      </c>
      <c r="G14" s="114" t="s">
        <v>36</v>
      </c>
      <c r="H14" s="116" t="str">
        <f>HYPERLINK("http://www.mediafire.com/download/o0e0p6ta3r4bf33/1996-07-11_-_Shepard%27s_Bush_Empire_-_London%2C_England.rar", "download link")</f>
        <v>download link</v>
      </c>
      <c r="I14" s="136" t="s">
        <v>572</v>
      </c>
      <c r="J14" s="80"/>
    </row>
    <row r="15">
      <c r="A15" s="103">
        <v>35258.0</v>
      </c>
      <c r="B15" s="104"/>
      <c r="C15" s="105" t="str">
        <f t="shared" si="2"/>
        <v>setlist</v>
      </c>
      <c r="D15" s="106" t="s">
        <v>1707</v>
      </c>
      <c r="E15" s="106" t="s">
        <v>1708</v>
      </c>
      <c r="F15" s="107" t="s">
        <v>1709</v>
      </c>
      <c r="G15" s="107" t="s">
        <v>36</v>
      </c>
      <c r="H15" s="105" t="str">
        <f>HYPERLINK("http://www.mediafire.com/download/s6t9b4erf10ddhu/1996-07-12_-_Melkweg_-_Amsterdam%2C_Netherlands.rar", "download link")</f>
        <v>download link</v>
      </c>
      <c r="I15" s="134" t="s">
        <v>1710</v>
      </c>
      <c r="J15" s="109"/>
    </row>
    <row r="16">
      <c r="A16" s="110">
        <v>35259.0</v>
      </c>
      <c r="B16" s="111"/>
      <c r="C16" s="135" t="str">
        <f t="shared" si="2"/>
        <v>setlist</v>
      </c>
      <c r="D16" s="113" t="s">
        <v>1711</v>
      </c>
      <c r="E16" s="113" t="s">
        <v>1712</v>
      </c>
      <c r="F16" s="114" t="s">
        <v>983</v>
      </c>
      <c r="G16" s="114" t="s">
        <v>36</v>
      </c>
      <c r="H16" s="116" t="str">
        <f>HYPERLINK("http://www.mediafire.com/download/7ligl5p1csibxic/1996-07-13_-_Dour_Festival_-_Dour%2C_Belgium.rar", "download link")</f>
        <v>download link</v>
      </c>
      <c r="I16" s="136" t="s">
        <v>1713</v>
      </c>
      <c r="J16" s="80"/>
    </row>
    <row r="17">
      <c r="A17" s="103">
        <v>35261.0</v>
      </c>
      <c r="B17" s="104"/>
      <c r="C17" s="105" t="str">
        <f t="shared" si="2"/>
        <v>setlist</v>
      </c>
      <c r="D17" s="106" t="s">
        <v>1714</v>
      </c>
      <c r="E17" s="106" t="s">
        <v>1715</v>
      </c>
      <c r="F17" s="107" t="s">
        <v>1694</v>
      </c>
      <c r="G17" s="107" t="s">
        <v>36</v>
      </c>
      <c r="H17" s="105" t="str">
        <f>HYPERLINK("http://www.mediafire.com/download/cgdyeyar5gbtacu/1996-07-15_-_La_Marna_-_Sesto_Calende%2C_Italy.rar", "download link")</f>
        <v>download link</v>
      </c>
      <c r="I17" s="134" t="s">
        <v>1716</v>
      </c>
      <c r="J17" s="109"/>
    </row>
    <row r="18">
      <c r="A18" s="110">
        <v>35263.0</v>
      </c>
      <c r="B18" s="111"/>
      <c r="C18" s="135" t="str">
        <f t="shared" si="2"/>
        <v>setlist</v>
      </c>
      <c r="D18" s="113" t="s">
        <v>1717</v>
      </c>
      <c r="E18" s="113" t="s">
        <v>1718</v>
      </c>
      <c r="F18" s="114" t="s">
        <v>980</v>
      </c>
      <c r="G18" s="114" t="s">
        <v>36</v>
      </c>
      <c r="H18" s="116" t="str">
        <f>HYPERLINK("http://www.mediafire.com/download/pd9v1jngyyubhy2/1996-07-17_-_Theatre_Antique_-_Vienne%2C_France.rar", "download link")</f>
        <v>download link</v>
      </c>
      <c r="I18" s="136" t="s">
        <v>1719</v>
      </c>
      <c r="J18" s="80"/>
    </row>
    <row r="19">
      <c r="A19" s="103">
        <v>35264.0</v>
      </c>
      <c r="B19" s="104"/>
      <c r="C19" s="105" t="str">
        <f t="shared" si="2"/>
        <v>setlist</v>
      </c>
      <c r="D19" s="106" t="s">
        <v>1720</v>
      </c>
      <c r="E19" s="106" t="s">
        <v>1721</v>
      </c>
      <c r="F19" s="107" t="s">
        <v>980</v>
      </c>
      <c r="G19" s="107" t="s">
        <v>36</v>
      </c>
      <c r="H19" s="105" t="str">
        <f>HYPERLINK("http://www.mediafire.com/download/28ip7n9n8yk8k5w/1996-07-18_-_Theatre_de_Verdure_-_Nice%2C_France.rar", "download link")</f>
        <v>download link</v>
      </c>
      <c r="I19" s="134" t="s">
        <v>1207</v>
      </c>
      <c r="J19" s="109"/>
    </row>
    <row r="20">
      <c r="A20" s="110">
        <v>35265.0</v>
      </c>
      <c r="B20" s="111"/>
      <c r="C20" s="135" t="str">
        <f t="shared" si="2"/>
        <v>setlist</v>
      </c>
      <c r="D20" s="113" t="s">
        <v>1722</v>
      </c>
      <c r="E20" s="113" t="s">
        <v>1723</v>
      </c>
      <c r="F20" s="114" t="s">
        <v>980</v>
      </c>
      <c r="G20" s="114" t="s">
        <v>36</v>
      </c>
      <c r="H20" s="116" t="str">
        <f>HYPERLINK("http://www.mediafire.com/download/ytfk7rjddezr9s6/1996-07-19_-_Les_Arenes_Romaines_-_Arles%2C_France.rar", "download link")</f>
        <v>download link</v>
      </c>
      <c r="I20" s="136" t="s">
        <v>1710</v>
      </c>
      <c r="J20" s="80"/>
    </row>
    <row r="21">
      <c r="A21" s="103">
        <v>35267.0</v>
      </c>
      <c r="B21" s="104"/>
      <c r="C21" s="105" t="str">
        <f t="shared" si="2"/>
        <v>setlist</v>
      </c>
      <c r="D21" s="106" t="s">
        <v>1724</v>
      </c>
      <c r="E21" s="106" t="s">
        <v>973</v>
      </c>
      <c r="F21" s="107" t="s">
        <v>966</v>
      </c>
      <c r="G21" s="107" t="s">
        <v>36</v>
      </c>
      <c r="H21" s="105" t="str">
        <f>HYPERLINK("http://www.mediafire.com/download/vnp1xxjn48r3mbn/1996-07-21_-_The_Forum_-_Nuremberg%2C_Germany.rar", "download link")</f>
        <v>download link</v>
      </c>
      <c r="I21" s="134" t="s">
        <v>1725</v>
      </c>
      <c r="J21" s="109"/>
    </row>
    <row r="22">
      <c r="A22" s="110">
        <v>35268.0</v>
      </c>
      <c r="B22" s="111"/>
      <c r="C22" s="135" t="str">
        <f t="shared" si="2"/>
        <v>setlist</v>
      </c>
      <c r="D22" s="113" t="s">
        <v>1726</v>
      </c>
      <c r="E22" s="113" t="s">
        <v>1727</v>
      </c>
      <c r="F22" s="114" t="s">
        <v>966</v>
      </c>
      <c r="G22" s="114" t="s">
        <v>36</v>
      </c>
      <c r="H22" s="116" t="str">
        <f>HYPERLINK("http://www.mediafire.com/download/tz76ca752mawzzc/1996-07-22_-_Tanzbrunnen_-_Cologne%2C_Germany.rar", "download link")</f>
        <v>download link</v>
      </c>
      <c r="I22" s="136" t="s">
        <v>543</v>
      </c>
      <c r="J22" s="80"/>
    </row>
    <row r="23">
      <c r="A23" s="103">
        <v>35269.0</v>
      </c>
      <c r="B23" s="104"/>
      <c r="C23" s="105" t="str">
        <f t="shared" si="2"/>
        <v>setlist</v>
      </c>
      <c r="D23" s="106" t="s">
        <v>1728</v>
      </c>
      <c r="E23" s="106" t="s">
        <v>965</v>
      </c>
      <c r="F23" s="107" t="s">
        <v>966</v>
      </c>
      <c r="G23" s="107" t="s">
        <v>36</v>
      </c>
      <c r="H23" s="105" t="str">
        <f>HYPERLINK("http://www.mediafire.com/download/v8odrmrn2i9qx0v/1996-07-23_-_Markethalle_-_Hamburg%2C_Germany.rar", "download link")</f>
        <v>download link</v>
      </c>
      <c r="I23" s="134" t="s">
        <v>1729</v>
      </c>
      <c r="J23" s="109"/>
    </row>
    <row r="24">
      <c r="A24" s="110">
        <v>35270.0</v>
      </c>
      <c r="B24" s="111"/>
      <c r="C24" s="135" t="str">
        <f t="shared" si="2"/>
        <v>setlist</v>
      </c>
      <c r="D24" s="113" t="s">
        <v>633</v>
      </c>
      <c r="E24" s="113" t="s">
        <v>1730</v>
      </c>
      <c r="F24" s="114" t="s">
        <v>966</v>
      </c>
      <c r="G24" s="114" t="s">
        <v>36</v>
      </c>
      <c r="H24" s="116" t="str">
        <f>HYPERLINK("http://www.mediafire.com/download/1xg4oqcb616dyev/1996-07-24_-_The_Music_Hall_-_Hanover%2C_Germany.rar", "download link")</f>
        <v>download link</v>
      </c>
      <c r="I24" s="136" t="s">
        <v>1731</v>
      </c>
      <c r="J24" s="80"/>
    </row>
    <row r="25">
      <c r="A25" s="186">
        <v>35271.0</v>
      </c>
      <c r="B25" s="187"/>
      <c r="C25" s="123" t="str">
        <f t="shared" si="2"/>
        <v>setlist</v>
      </c>
      <c r="D25" s="122" t="s">
        <v>964</v>
      </c>
      <c r="E25" s="122" t="s">
        <v>965</v>
      </c>
      <c r="F25" s="120" t="s">
        <v>966</v>
      </c>
      <c r="G25" s="120" t="s">
        <v>36</v>
      </c>
      <c r="H25" s="105" t="str">
        <f>HYPERLINK("http://www.mediafire.com/download/ia1itan5q280b2v/1996-07-25_-_Stadtpark_-_Hamburg%2C_Germany.rar", "download link")</f>
        <v>download link</v>
      </c>
      <c r="I25" s="137" t="s">
        <v>1731</v>
      </c>
      <c r="J25" s="189"/>
    </row>
    <row r="26">
      <c r="A26" s="92"/>
      <c r="B26" s="93"/>
      <c r="C26" s="94"/>
      <c r="D26" s="83" t="s">
        <v>1732</v>
      </c>
      <c r="E26" s="95"/>
      <c r="F26" s="93"/>
      <c r="G26" s="93"/>
      <c r="H26" s="93"/>
      <c r="I26" s="95"/>
      <c r="J26" s="95"/>
    </row>
    <row r="27">
      <c r="A27" s="125">
        <v>35279.0</v>
      </c>
      <c r="B27" s="126"/>
      <c r="C27" s="98" t="str">
        <f t="shared" ref="C27:C39" si="3">HYPERLINK("http://www.phish.net/setlists/?d="&amp;RIGHT(TEXT(A27,"mm/dd/yyyy"),4)&amp;"-"&amp;LEFT(TEXT(A27,"mm/dd/yyyy"),2)&amp;"-"&amp;MID(TEXT(A27,"mm/dd/yyyy"),4,2), "setlist")</f>
        <v>setlist</v>
      </c>
      <c r="D27" s="102" t="s">
        <v>1733</v>
      </c>
      <c r="E27" s="102" t="s">
        <v>1734</v>
      </c>
      <c r="F27" s="127" t="s">
        <v>1302</v>
      </c>
      <c r="G27" s="127" t="s">
        <v>36</v>
      </c>
      <c r="H27" s="98" t="str">
        <f>HYPERLINK("http://www.mediafire.com/download/6v76erbvuye0rkr/1996-08-02_-_Wolf_Mountain_Amphitheatre_-_Park_City%2C_UT.rar", "download link")</f>
        <v>download link</v>
      </c>
      <c r="I27" s="101" t="s">
        <v>1735</v>
      </c>
      <c r="J27" s="129"/>
    </row>
    <row r="28">
      <c r="A28" s="103">
        <v>35281.0</v>
      </c>
      <c r="B28" s="104"/>
      <c r="C28" s="105" t="str">
        <f t="shared" si="3"/>
        <v>setlist</v>
      </c>
      <c r="D28" s="106" t="s">
        <v>1297</v>
      </c>
      <c r="E28" s="106" t="s">
        <v>1298</v>
      </c>
      <c r="F28" s="107" t="s">
        <v>203</v>
      </c>
      <c r="G28" s="107" t="s">
        <v>36</v>
      </c>
      <c r="H28" s="105" t="str">
        <f>HYPERLINK("http://www.mediafire.com/download/uz89vkl18ce3a63/1996-08-04_-_Red_Rocks_Amphitheatre_-_Morrison%2C_CO.rar", "download link")</f>
        <v>download link</v>
      </c>
      <c r="I28" s="134" t="s">
        <v>1736</v>
      </c>
      <c r="J28" s="109"/>
    </row>
    <row r="29">
      <c r="A29" s="110">
        <v>35282.0</v>
      </c>
      <c r="B29" s="111"/>
      <c r="C29" s="135" t="str">
        <f t="shared" si="3"/>
        <v>setlist</v>
      </c>
      <c r="D29" s="113" t="s">
        <v>1297</v>
      </c>
      <c r="E29" s="113" t="s">
        <v>1298</v>
      </c>
      <c r="F29" s="114" t="s">
        <v>203</v>
      </c>
      <c r="G29" s="114" t="s">
        <v>36</v>
      </c>
      <c r="H29" s="116" t="str">
        <f>HYPERLINK("http://www.mediafire.com/download/bg1qvjbrui341tn/1996-08-05_-_Red_Rocks_Amphitheatre_-_Morrison%2C_CO.rar", "download link")</f>
        <v>download link</v>
      </c>
      <c r="I29" s="136" t="s">
        <v>1736</v>
      </c>
      <c r="J29" s="80"/>
    </row>
    <row r="30">
      <c r="A30" s="103">
        <v>35283.0</v>
      </c>
      <c r="B30" s="104"/>
      <c r="C30" s="105" t="str">
        <f t="shared" si="3"/>
        <v>setlist</v>
      </c>
      <c r="D30" s="106" t="s">
        <v>1297</v>
      </c>
      <c r="E30" s="106" t="s">
        <v>1298</v>
      </c>
      <c r="F30" s="107" t="s">
        <v>203</v>
      </c>
      <c r="G30" s="107" t="s">
        <v>36</v>
      </c>
      <c r="H30" s="105" t="str">
        <f>HYPERLINK("http://www.mediafire.com/download/j99zpqg571c1grz/1996-08-06_-_Red_Rocks_Amphitheatre_-_Morrison%2C_CO.rar", "download link")</f>
        <v>download link</v>
      </c>
      <c r="I30" s="134" t="s">
        <v>1736</v>
      </c>
      <c r="J30" s="109"/>
    </row>
    <row r="31">
      <c r="A31" s="110">
        <v>35284.0</v>
      </c>
      <c r="B31" s="111"/>
      <c r="C31" s="135" t="str">
        <f t="shared" si="3"/>
        <v>setlist</v>
      </c>
      <c r="D31" s="113" t="s">
        <v>1297</v>
      </c>
      <c r="E31" s="113" t="s">
        <v>1298</v>
      </c>
      <c r="F31" s="114" t="s">
        <v>203</v>
      </c>
      <c r="G31" s="114" t="s">
        <v>36</v>
      </c>
      <c r="H31" s="116" t="str">
        <f>HYPERLINK("http://www.mediafire.com/download/ivaal6g01rv1ydy/1996-08-07_-_Red_Rocks_Amphitheatre_-_Morrison%2C_CO.rar", "download link")</f>
        <v>download link</v>
      </c>
      <c r="I31" s="136" t="s">
        <v>1736</v>
      </c>
      <c r="J31" s="80"/>
    </row>
    <row r="32">
      <c r="A32" s="103">
        <v>35287.0</v>
      </c>
      <c r="B32" s="104"/>
      <c r="C32" s="105" t="str">
        <f t="shared" si="3"/>
        <v>setlist</v>
      </c>
      <c r="D32" s="106" t="s">
        <v>1737</v>
      </c>
      <c r="E32" s="106" t="s">
        <v>1738</v>
      </c>
      <c r="F32" s="107" t="s">
        <v>483</v>
      </c>
      <c r="G32" s="107" t="s">
        <v>36</v>
      </c>
      <c r="H32" s="105" t="str">
        <f>HYPERLINK("http://www.mediafire.com/download/0mc59i07refeff0/1996-08-10_-_Alpine_Valley_Music_Theatre_-_East_Troy%2C_WI.rar", "download link")</f>
        <v>download link</v>
      </c>
      <c r="I32" s="134" t="s">
        <v>1739</v>
      </c>
      <c r="J32" s="109"/>
    </row>
    <row r="33">
      <c r="A33" s="110">
        <v>35289.0</v>
      </c>
      <c r="B33" s="111"/>
      <c r="C33" s="135" t="str">
        <f t="shared" si="3"/>
        <v>setlist</v>
      </c>
      <c r="D33" s="113" t="s">
        <v>1578</v>
      </c>
      <c r="E33" s="113" t="s">
        <v>1579</v>
      </c>
      <c r="F33" s="114" t="s">
        <v>508</v>
      </c>
      <c r="G33" s="114" t="s">
        <v>36</v>
      </c>
      <c r="H33" s="116" t="str">
        <f>HYPERLINK("http://www.mediafire.com/download/zfrly2ca055g0my/1996-08-12_-_Deer_Creek_Music_Center_-_Noblesville%2C_IN.rar", "download link")</f>
        <v>download link</v>
      </c>
      <c r="I33" s="136" t="s">
        <v>1740</v>
      </c>
      <c r="J33" s="80"/>
    </row>
    <row r="34">
      <c r="A34" s="103">
        <v>35290.0</v>
      </c>
      <c r="B34" s="104"/>
      <c r="C34" s="105" t="str">
        <f t="shared" si="3"/>
        <v>setlist</v>
      </c>
      <c r="D34" s="106" t="s">
        <v>1578</v>
      </c>
      <c r="E34" s="106" t="s">
        <v>1579</v>
      </c>
      <c r="F34" s="107" t="s">
        <v>508</v>
      </c>
      <c r="G34" s="107" t="s">
        <v>36</v>
      </c>
      <c r="H34" s="105" t="str">
        <f>HYPERLINK("http://www.mediafire.com/download/n6zx9rno3toc3hu/1996-08-13_-_Deer_Creek_Music_Center_-_Noblesville%2C_IN.rar", "download link")</f>
        <v>download link</v>
      </c>
      <c r="I34" s="134" t="s">
        <v>1740</v>
      </c>
      <c r="J34" s="109"/>
    </row>
    <row r="35">
      <c r="A35" s="110">
        <v>35291.0</v>
      </c>
      <c r="B35" s="111"/>
      <c r="C35" s="135" t="str">
        <f t="shared" si="3"/>
        <v>setlist</v>
      </c>
      <c r="D35" s="113" t="s">
        <v>1741</v>
      </c>
      <c r="E35" s="113" t="s">
        <v>1667</v>
      </c>
      <c r="F35" s="114" t="s">
        <v>212</v>
      </c>
      <c r="G35" s="114" t="s">
        <v>36</v>
      </c>
      <c r="H35" s="116" t="str">
        <f>HYPERLINK("http://www.mediafire.com/download/nb7kr7iubu60d8z/1996-08-14_-_Hersheypark_Stadium_-_Hershey%2C_PA.rar", "download link")</f>
        <v>download link</v>
      </c>
      <c r="I35" s="136" t="s">
        <v>1742</v>
      </c>
      <c r="J35" s="80"/>
    </row>
    <row r="36">
      <c r="A36" s="103">
        <v>35292.0</v>
      </c>
      <c r="B36" s="104"/>
      <c r="C36" s="105" t="str">
        <f t="shared" si="3"/>
        <v>setlist</v>
      </c>
      <c r="D36" s="106" t="s">
        <v>1743</v>
      </c>
      <c r="E36" s="106" t="s">
        <v>841</v>
      </c>
      <c r="F36" s="107" t="s">
        <v>129</v>
      </c>
      <c r="G36" s="107" t="s">
        <v>36</v>
      </c>
      <c r="H36" s="105" t="str">
        <f>HYPERLINK("http://www.mediafire.com/download/1xgsu8d2lq0ire4/1996-08-15_-_The_Clifford_Ball_-_Soundcheck_-_Plattsburgh%2C_NY.rar", "download link")</f>
        <v>download link</v>
      </c>
      <c r="I36" s="134" t="s">
        <v>1744</v>
      </c>
      <c r="J36" s="109"/>
    </row>
    <row r="37">
      <c r="A37" s="142">
        <v>35293.0</v>
      </c>
      <c r="B37" s="115" t="s">
        <v>32</v>
      </c>
      <c r="C37" s="116" t="str">
        <f t="shared" si="3"/>
        <v>setlist</v>
      </c>
      <c r="D37" s="118" t="s">
        <v>1745</v>
      </c>
      <c r="E37" s="118" t="s">
        <v>841</v>
      </c>
      <c r="F37" s="115" t="s">
        <v>129</v>
      </c>
      <c r="G37" s="115" t="s">
        <v>36</v>
      </c>
      <c r="H37" s="116" t="str">
        <f>HYPERLINK("http://www.mediafire.com/download/2gs8l3fdhr4bj1o/1996-08-16_-_The_Clifford_Ball_-_Plattsburgh_Air_Force_Base_-_Plattsburgh%2C_NY.rar", "download link")</f>
        <v>download link</v>
      </c>
      <c r="I37" s="117" t="s">
        <v>23</v>
      </c>
      <c r="J37" s="146"/>
    </row>
    <row r="38">
      <c r="A38" s="103">
        <v>35294.0</v>
      </c>
      <c r="B38" s="104"/>
      <c r="C38" s="105" t="str">
        <f t="shared" si="3"/>
        <v>setlist</v>
      </c>
      <c r="D38" s="134" t="s">
        <v>1746</v>
      </c>
      <c r="E38" s="106" t="s">
        <v>841</v>
      </c>
      <c r="F38" s="107" t="s">
        <v>129</v>
      </c>
      <c r="G38" s="107" t="s">
        <v>36</v>
      </c>
      <c r="H38" s="105" t="str">
        <f>HYPERLINK("http://www.mediafire.com/download/2iivj5rpx2l7nnx/1996-08-17_-_The_Clifford_Ball_-_Flatbed_Jam_-_Plattsburgh%2C_NY.rar", "download link")</f>
        <v>download link</v>
      </c>
      <c r="I38" s="134" t="s">
        <v>1747</v>
      </c>
      <c r="J38" s="109"/>
    </row>
    <row r="39">
      <c r="A39" s="167">
        <v>35294.0</v>
      </c>
      <c r="B39" s="168" t="s">
        <v>32</v>
      </c>
      <c r="C39" s="166" t="str">
        <f t="shared" si="3"/>
        <v>setlist</v>
      </c>
      <c r="D39" s="169" t="s">
        <v>1745</v>
      </c>
      <c r="E39" s="169" t="s">
        <v>841</v>
      </c>
      <c r="F39" s="168" t="s">
        <v>129</v>
      </c>
      <c r="G39" s="168" t="s">
        <v>36</v>
      </c>
      <c r="H39" s="116" t="str">
        <f>HYPERLINK("http://www.mediafire.com/download/psjcskio8p17rwr/1996-08-17_-_The_Clifford_Ball_-_Plattsburgh_Air_Force_Base_-_Plattsburgh%2C_NY.rar", "download link")</f>
        <v>download link</v>
      </c>
      <c r="I39" s="171" t="s">
        <v>572</v>
      </c>
      <c r="J39" s="176"/>
    </row>
    <row r="40">
      <c r="A40" s="92"/>
      <c r="B40" s="93"/>
      <c r="C40" s="94"/>
      <c r="D40" s="83" t="s">
        <v>1748</v>
      </c>
      <c r="E40" s="95"/>
      <c r="F40" s="93"/>
      <c r="G40" s="93"/>
      <c r="H40" s="93"/>
      <c r="I40" s="95"/>
      <c r="J40" s="95"/>
    </row>
    <row r="41">
      <c r="A41" s="125">
        <v>35354.0</v>
      </c>
      <c r="B41" s="126"/>
      <c r="C41" s="98" t="str">
        <f t="shared" ref="C41:C75" si="4">HYPERLINK("http://www.phish.net/setlists/?d="&amp;RIGHT(TEXT(A41,"mm/dd/yyyy"),4)&amp;"-"&amp;LEFT(TEXT(A41,"mm/dd/yyyy"),2)&amp;"-"&amp;MID(TEXT(A41,"mm/dd/yyyy"),4,2), "setlist")</f>
        <v>setlist</v>
      </c>
      <c r="D41" s="102" t="s">
        <v>1680</v>
      </c>
      <c r="E41" s="102" t="s">
        <v>1681</v>
      </c>
      <c r="F41" s="127" t="s">
        <v>129</v>
      </c>
      <c r="G41" s="127" t="s">
        <v>36</v>
      </c>
      <c r="H41" s="178" t="str">
        <f>HYPERLINK("http://www.mediafire.com/download/7zkd68b0ztq3om8/1996-10-16_-_Olympic_Center_-_Lake_Placid%2C_NY.rar", "download link")</f>
        <v>download link</v>
      </c>
      <c r="I41" s="101" t="s">
        <v>1749</v>
      </c>
      <c r="J41" s="129"/>
    </row>
    <row r="42">
      <c r="A42" s="103">
        <v>35355.0</v>
      </c>
      <c r="B42" s="104"/>
      <c r="C42" s="105" t="str">
        <f t="shared" si="4"/>
        <v>setlist</v>
      </c>
      <c r="D42" s="106" t="s">
        <v>1750</v>
      </c>
      <c r="E42" s="106" t="s">
        <v>1751</v>
      </c>
      <c r="F42" s="107" t="s">
        <v>212</v>
      </c>
      <c r="G42" s="107" t="s">
        <v>36</v>
      </c>
      <c r="H42" s="105" t="str">
        <f>HYPERLINK("http://www.mediafire.com/download/ztasiz0r0dqde9c/1996-10-17_-_Bryce_Jordan_Center%2C_Penn_State_University_-_State_College%2C_PA.rar", "download link")</f>
        <v>download link</v>
      </c>
      <c r="I42" s="134" t="s">
        <v>1752</v>
      </c>
      <c r="J42" s="109"/>
    </row>
    <row r="43">
      <c r="A43" s="110">
        <v>35356.0</v>
      </c>
      <c r="B43" s="111"/>
      <c r="C43" s="135" t="str">
        <f t="shared" si="4"/>
        <v>setlist</v>
      </c>
      <c r="D43" s="113" t="s">
        <v>1657</v>
      </c>
      <c r="E43" s="113" t="s">
        <v>1073</v>
      </c>
      <c r="F43" s="114" t="s">
        <v>212</v>
      </c>
      <c r="G43" s="114" t="s">
        <v>36</v>
      </c>
      <c r="H43" s="116" t="str">
        <f>HYPERLINK("http://www.mediafire.com/download/3eioayc30q995fn/1996-10-18_-_Civic_Arena_-_Pittsburgh%2C_PA.rar", "download link")</f>
        <v>download link</v>
      </c>
      <c r="I43" s="136" t="s">
        <v>1753</v>
      </c>
      <c r="J43" s="80"/>
    </row>
    <row r="44">
      <c r="A44" s="103">
        <v>35357.0</v>
      </c>
      <c r="B44" s="104"/>
      <c r="C44" s="105" t="str">
        <f t="shared" si="4"/>
        <v>setlist</v>
      </c>
      <c r="D44" s="106" t="s">
        <v>1754</v>
      </c>
      <c r="E44" s="106" t="s">
        <v>715</v>
      </c>
      <c r="F44" s="107" t="s">
        <v>129</v>
      </c>
      <c r="G44" s="107" t="s">
        <v>36</v>
      </c>
      <c r="H44" s="105" t="str">
        <f>HYPERLINK("http://www.mediafire.com/download/1fuxm56iq72dttk/1996-10-19_-_Marine_Midland_Arena_-_Buffalo%2C_NY.rar", "download link")</f>
        <v>download link</v>
      </c>
      <c r="I44" s="134" t="s">
        <v>1755</v>
      </c>
      <c r="J44" s="109"/>
    </row>
    <row r="45">
      <c r="A45" s="110">
        <v>35359.0</v>
      </c>
      <c r="B45" s="111"/>
      <c r="C45" s="135" t="str">
        <f t="shared" si="4"/>
        <v>setlist</v>
      </c>
      <c r="D45" s="113" t="s">
        <v>1553</v>
      </c>
      <c r="E45" s="113" t="s">
        <v>162</v>
      </c>
      <c r="F45" s="114" t="s">
        <v>129</v>
      </c>
      <c r="G45" s="114" t="s">
        <v>36</v>
      </c>
      <c r="H45" s="116" t="str">
        <f>HYPERLINK("http://www.mediafire.com/download/se91r51e4btqksb/1996-10-21_-_Madison_Square_Garden_-_New_York%2C_NY.rar", "download link")</f>
        <v>download link</v>
      </c>
      <c r="I45" s="136" t="s">
        <v>1756</v>
      </c>
      <c r="J45" s="80"/>
    </row>
    <row r="46">
      <c r="A46" s="103">
        <v>35360.0</v>
      </c>
      <c r="B46" s="104"/>
      <c r="C46" s="105" t="str">
        <f t="shared" si="4"/>
        <v>setlist</v>
      </c>
      <c r="D46" s="106" t="s">
        <v>1553</v>
      </c>
      <c r="E46" s="106" t="s">
        <v>162</v>
      </c>
      <c r="F46" s="107" t="s">
        <v>129</v>
      </c>
      <c r="G46" s="107" t="s">
        <v>36</v>
      </c>
      <c r="H46" s="105" t="str">
        <f>HYPERLINK("http://www.mediafire.com/download/t8a0a5fgcfygjg8/1996-10-22_-_Madison_Square_Garden_-_New_York%2C_NY.rar", "download link")</f>
        <v>download link</v>
      </c>
      <c r="I46" s="134" t="s">
        <v>1757</v>
      </c>
      <c r="J46" s="109"/>
    </row>
    <row r="47">
      <c r="A47" s="110">
        <v>35361.0</v>
      </c>
      <c r="B47" s="111"/>
      <c r="C47" s="135" t="str">
        <f t="shared" si="4"/>
        <v>setlist</v>
      </c>
      <c r="D47" s="113" t="s">
        <v>1758</v>
      </c>
      <c r="E47" s="113" t="s">
        <v>323</v>
      </c>
      <c r="F47" s="114" t="s">
        <v>171</v>
      </c>
      <c r="G47" s="114" t="s">
        <v>36</v>
      </c>
      <c r="H47" s="116" t="str">
        <f>HYPERLINK("http://www.mediafire.com/download/04ydayfxxu12qd9/1996-10-23_-_Hartford_Civic_Center_-_Hartford%2C_CT.rar", "download link")</f>
        <v>download link</v>
      </c>
      <c r="I47" s="136" t="s">
        <v>1756</v>
      </c>
      <c r="J47" s="80"/>
    </row>
    <row r="48">
      <c r="A48" s="103">
        <v>35363.0</v>
      </c>
      <c r="B48" s="104"/>
      <c r="C48" s="105" t="str">
        <f t="shared" si="4"/>
        <v>setlist</v>
      </c>
      <c r="D48" s="106" t="s">
        <v>1659</v>
      </c>
      <c r="E48" s="106" t="s">
        <v>1660</v>
      </c>
      <c r="F48" s="107" t="s">
        <v>446</v>
      </c>
      <c r="G48" s="107" t="s">
        <v>36</v>
      </c>
      <c r="H48" s="105" t="str">
        <f>HYPERLINK("http://www.mediafire.com/download/8blur7qz2n1yvbf/1996-10-25_-_Hampton_Coliseum_-_Hampton%2C_VA.rar", "download link")</f>
        <v>download link</v>
      </c>
      <c r="I48" s="134" t="s">
        <v>1759</v>
      </c>
      <c r="J48" s="109"/>
    </row>
    <row r="49">
      <c r="A49" s="110">
        <v>35364.0</v>
      </c>
      <c r="B49" s="111"/>
      <c r="C49" s="135" t="str">
        <f t="shared" si="4"/>
        <v>setlist</v>
      </c>
      <c r="D49" s="113" t="s">
        <v>1650</v>
      </c>
      <c r="E49" s="113" t="s">
        <v>541</v>
      </c>
      <c r="F49" s="114" t="s">
        <v>443</v>
      </c>
      <c r="G49" s="114" t="s">
        <v>36</v>
      </c>
      <c r="H49" s="116" t="str">
        <f>HYPERLINK("http://www.mediafire.com/download/djj73e77t2pd0r0/1996-10-26_-_Charlotte_Coliseum_-_Charlotte%2C_NC.rar", "download link")</f>
        <v>download link</v>
      </c>
      <c r="I49" s="136" t="s">
        <v>1665</v>
      </c>
      <c r="J49" s="80"/>
    </row>
    <row r="50">
      <c r="A50" s="103">
        <v>35365.0</v>
      </c>
      <c r="B50" s="104"/>
      <c r="C50" s="105" t="str">
        <f t="shared" si="4"/>
        <v>setlist</v>
      </c>
      <c r="D50" s="106" t="s">
        <v>1647</v>
      </c>
      <c r="E50" s="106" t="s">
        <v>1648</v>
      </c>
      <c r="F50" s="107" t="s">
        <v>430</v>
      </c>
      <c r="G50" s="107" t="s">
        <v>36</v>
      </c>
      <c r="H50" s="105" t="str">
        <f>HYPERLINK("http://www.mediafire.com/download/anl6n3cn11hl5bg/1996-10-27_-_North_Charleston_Coliseum_-_North_Charleston%2C_SC.rar", "download link")</f>
        <v>download link</v>
      </c>
      <c r="I50" s="134" t="s">
        <v>1760</v>
      </c>
      <c r="J50" s="109"/>
    </row>
    <row r="51">
      <c r="A51" s="110">
        <v>35367.0</v>
      </c>
      <c r="B51" s="111"/>
      <c r="C51" s="135" t="str">
        <f t="shared" si="4"/>
        <v>setlist</v>
      </c>
      <c r="D51" s="113" t="s">
        <v>1761</v>
      </c>
      <c r="E51" s="113" t="s">
        <v>1132</v>
      </c>
      <c r="F51" s="114" t="s">
        <v>1133</v>
      </c>
      <c r="G51" s="114" t="s">
        <v>36</v>
      </c>
      <c r="H51" s="116" t="str">
        <f>HYPERLINK("http://www.mediafire.com/download/dn5foglf41vp3cs/1996-10-29_-_Leon_County_Civic_Center_-_Tallahassee%2C_FL.rar", "download link")</f>
        <v>download link</v>
      </c>
      <c r="I51" s="136" t="s">
        <v>1762</v>
      </c>
      <c r="J51" s="80"/>
    </row>
    <row r="52">
      <c r="A52" s="103">
        <v>35369.0</v>
      </c>
      <c r="B52" s="104"/>
      <c r="C52" s="105" t="str">
        <f t="shared" si="4"/>
        <v>setlist</v>
      </c>
      <c r="D52" s="106" t="s">
        <v>1763</v>
      </c>
      <c r="E52" s="106" t="s">
        <v>437</v>
      </c>
      <c r="F52" s="107" t="s">
        <v>433</v>
      </c>
      <c r="G52" s="107" t="s">
        <v>36</v>
      </c>
      <c r="H52" s="105" t="str">
        <f>HYPERLINK("http://www.mediafire.com/download/sw1s135s83m7du8/1996-10-31_-_The_Omni_-_Atlanta%2C_GA.rar", "download link")</f>
        <v>download link</v>
      </c>
      <c r="I52" s="134" t="s">
        <v>1764</v>
      </c>
      <c r="J52" s="109"/>
    </row>
    <row r="53">
      <c r="A53" s="110">
        <v>35371.0</v>
      </c>
      <c r="B53" s="111"/>
      <c r="C53" s="135" t="str">
        <f t="shared" si="4"/>
        <v>setlist</v>
      </c>
      <c r="D53" s="113" t="s">
        <v>1765</v>
      </c>
      <c r="E53" s="113" t="s">
        <v>1353</v>
      </c>
      <c r="F53" s="114" t="s">
        <v>1133</v>
      </c>
      <c r="G53" s="114" t="s">
        <v>36</v>
      </c>
      <c r="H53" s="116" t="str">
        <f>HYPERLINK("http://www.mediafire.com/download/1xopo46moqfxecg/1996-11-02_-_Coral_Sky_Amphitheater_-_West_Palm_Beach%2C_FL.rar", "download link")</f>
        <v>download link</v>
      </c>
      <c r="I53" s="136" t="s">
        <v>1766</v>
      </c>
      <c r="J53" s="80"/>
    </row>
    <row r="54">
      <c r="A54" s="103">
        <v>35372.0</v>
      </c>
      <c r="B54" s="104"/>
      <c r="C54" s="105" t="str">
        <f t="shared" si="4"/>
        <v>setlist</v>
      </c>
      <c r="D54" s="106" t="s">
        <v>1641</v>
      </c>
      <c r="E54" s="106" t="s">
        <v>1144</v>
      </c>
      <c r="F54" s="107" t="s">
        <v>1133</v>
      </c>
      <c r="G54" s="107" t="s">
        <v>36</v>
      </c>
      <c r="H54" s="105" t="str">
        <f>HYPERLINK("http://www.mediafire.com/download/7yzjauqjb43im47/1996-11-03_-_O%27Connell_Center%2C_University_of_Florida_-_Gainesville%2C_FL.rar", "download link")</f>
        <v>download link</v>
      </c>
      <c r="I54" s="134" t="s">
        <v>1767</v>
      </c>
      <c r="J54" s="109"/>
    </row>
    <row r="55">
      <c r="A55" s="110">
        <v>35375.0</v>
      </c>
      <c r="B55" s="111"/>
      <c r="C55" s="135" t="str">
        <f t="shared" si="4"/>
        <v>setlist</v>
      </c>
      <c r="D55" s="113" t="s">
        <v>1661</v>
      </c>
      <c r="E55" s="113" t="s">
        <v>649</v>
      </c>
      <c r="F55" s="114" t="s">
        <v>650</v>
      </c>
      <c r="G55" s="114" t="s">
        <v>36</v>
      </c>
      <c r="H55" s="116" t="str">
        <f>HYPERLINK("http://www.mediafire.com/download/67eghkb56rycpye/1996-11-06_-_Knoxville_Civic_Coliseum_-_Knoxville%2C_TN.rar", "download link")</f>
        <v>download link</v>
      </c>
      <c r="I55" s="136" t="s">
        <v>1768</v>
      </c>
      <c r="J55" s="80"/>
    </row>
    <row r="56">
      <c r="A56" s="103">
        <v>35376.0</v>
      </c>
      <c r="B56" s="104"/>
      <c r="C56" s="105" t="str">
        <f t="shared" si="4"/>
        <v>setlist</v>
      </c>
      <c r="D56" s="106" t="s">
        <v>1769</v>
      </c>
      <c r="E56" s="106" t="s">
        <v>1341</v>
      </c>
      <c r="F56" s="107" t="s">
        <v>1210</v>
      </c>
      <c r="G56" s="107" t="s">
        <v>36</v>
      </c>
      <c r="H56" s="105" t="str">
        <f>HYPERLINK("http://www.mediafire.com/download/wcw3q9llz7bocug/1996-11-07_-_Rupp_Arena_-_Lexington%2C_KY.rar", "download link")</f>
        <v>download link</v>
      </c>
      <c r="I56" s="134" t="s">
        <v>1770</v>
      </c>
      <c r="J56" s="109"/>
    </row>
    <row r="57">
      <c r="A57" s="110">
        <v>35377.0</v>
      </c>
      <c r="B57" s="111"/>
      <c r="C57" s="135" t="str">
        <f t="shared" si="4"/>
        <v>setlist</v>
      </c>
      <c r="D57" s="113" t="s">
        <v>1622</v>
      </c>
      <c r="E57" s="113" t="s">
        <v>781</v>
      </c>
      <c r="F57" s="114" t="s">
        <v>480</v>
      </c>
      <c r="G57" s="114" t="s">
        <v>36</v>
      </c>
      <c r="H57" s="116" t="str">
        <f>HYPERLINK("http://www.mediafire.com/download/ojfpv1b8doym4en/1996-11-08_-_Assembly_Hall%2C_University_of_Illinois_-_Champaign%2C_IL.rar", "download link")</f>
        <v>download link</v>
      </c>
      <c r="I57" s="136" t="s">
        <v>1770</v>
      </c>
      <c r="J57" s="80"/>
    </row>
    <row r="58">
      <c r="A58" s="103">
        <v>35378.0</v>
      </c>
      <c r="B58" s="104"/>
      <c r="C58" s="105" t="str">
        <f t="shared" si="4"/>
        <v>setlist</v>
      </c>
      <c r="D58" s="106" t="s">
        <v>1630</v>
      </c>
      <c r="E58" s="106" t="s">
        <v>1631</v>
      </c>
      <c r="F58" s="107" t="s">
        <v>712</v>
      </c>
      <c r="G58" s="107" t="s">
        <v>36</v>
      </c>
      <c r="H58" s="105" t="str">
        <f>HYPERLINK("http://www.mediafire.com/download/m28s2qwrtqqeogp/1996-11-09_-_The_Palace_of_Auburn_Hills_-_Auburn_Hills%2C_MI.rar", "download link")</f>
        <v>download link</v>
      </c>
      <c r="I58" s="134" t="s">
        <v>1771</v>
      </c>
      <c r="J58" s="109"/>
    </row>
    <row r="59">
      <c r="A59" s="110">
        <v>35380.0</v>
      </c>
      <c r="B59" s="111"/>
      <c r="C59" s="135" t="str">
        <f t="shared" si="4"/>
        <v>setlist</v>
      </c>
      <c r="D59" s="113" t="s">
        <v>1772</v>
      </c>
      <c r="E59" s="113" t="s">
        <v>1285</v>
      </c>
      <c r="F59" s="114" t="s">
        <v>712</v>
      </c>
      <c r="G59" s="114" t="s">
        <v>36</v>
      </c>
      <c r="H59" s="116" t="str">
        <f>HYPERLINK("http://www.mediafire.com/download/rwby4u6uf9up032/1996-11-11_-_Van_Andel_Arena_-_Grand_Rapids%2C_MI.rar", "download link")</f>
        <v>download link</v>
      </c>
      <c r="I59" s="136" t="s">
        <v>1773</v>
      </c>
      <c r="J59" s="80"/>
    </row>
    <row r="60">
      <c r="A60" s="103">
        <v>35382.0</v>
      </c>
      <c r="B60" s="104"/>
      <c r="C60" s="105" t="str">
        <f t="shared" si="4"/>
        <v>setlist</v>
      </c>
      <c r="D60" s="106" t="s">
        <v>1774</v>
      </c>
      <c r="E60" s="106" t="s">
        <v>485</v>
      </c>
      <c r="F60" s="107" t="s">
        <v>486</v>
      </c>
      <c r="G60" s="107" t="s">
        <v>36</v>
      </c>
      <c r="H60" s="105" t="str">
        <f>HYPERLINK("http://www.mediafire.com/download/pq1a64cn0n1a427/1996-11-13_-_Target_Center_-_Minneapolis%2C_MN.rar", "download link")</f>
        <v>download link</v>
      </c>
      <c r="I60" s="134" t="s">
        <v>1775</v>
      </c>
      <c r="J60" s="109"/>
    </row>
    <row r="61">
      <c r="A61" s="110">
        <v>35383.0</v>
      </c>
      <c r="B61" s="111"/>
      <c r="C61" s="135" t="str">
        <f t="shared" si="4"/>
        <v>setlist</v>
      </c>
      <c r="D61" s="113" t="s">
        <v>1776</v>
      </c>
      <c r="E61" s="113" t="s">
        <v>1777</v>
      </c>
      <c r="F61" s="114" t="s">
        <v>1201</v>
      </c>
      <c r="G61" s="114" t="s">
        <v>36</v>
      </c>
      <c r="H61" s="116" t="str">
        <f>HYPERLINK("http://www.mediafire.com/download/ga6f1w0xurr309i/1996-11-14_-_Hilton_Coliseum_-_Ames%2C_IA.rar", "download link")</f>
        <v>download link</v>
      </c>
      <c r="I61" s="136" t="s">
        <v>1778</v>
      </c>
      <c r="J61" s="80"/>
    </row>
    <row r="62">
      <c r="A62" s="103">
        <v>35384.0</v>
      </c>
      <c r="B62" s="104"/>
      <c r="C62" s="105" t="str">
        <f t="shared" si="4"/>
        <v>setlist</v>
      </c>
      <c r="D62" s="106" t="s">
        <v>1779</v>
      </c>
      <c r="E62" s="106" t="s">
        <v>885</v>
      </c>
      <c r="F62" s="107" t="s">
        <v>886</v>
      </c>
      <c r="G62" s="107" t="s">
        <v>36</v>
      </c>
      <c r="H62" s="105" t="str">
        <f>HYPERLINK("http://www.mediafire.com/download/uwjh3i0s3wr464o/1996-11-15_-_Kiel_Center_-_St._Louis%2C_MO.rar", "download link")</f>
        <v>download link</v>
      </c>
      <c r="I62" s="134" t="s">
        <v>1780</v>
      </c>
      <c r="J62" s="109"/>
    </row>
    <row r="63">
      <c r="A63" s="110">
        <v>35385.0</v>
      </c>
      <c r="B63" s="111"/>
      <c r="C63" s="135" t="str">
        <f t="shared" si="4"/>
        <v>setlist</v>
      </c>
      <c r="D63" s="113" t="s">
        <v>1348</v>
      </c>
      <c r="E63" s="113" t="s">
        <v>1781</v>
      </c>
      <c r="F63" s="114" t="s">
        <v>1620</v>
      </c>
      <c r="G63" s="114" t="s">
        <v>36</v>
      </c>
      <c r="H63" s="116" t="str">
        <f>HYPERLINK("http://www.mediafire.com/download/7k5dfxxuvja73hz/1996-11-16_-_Civic_Auditorium_-_Omaha%2C_NE.rar", "download link")</f>
        <v>download link</v>
      </c>
      <c r="I63" s="136" t="s">
        <v>1782</v>
      </c>
      <c r="J63" s="80"/>
    </row>
    <row r="64">
      <c r="A64" s="103">
        <v>35387.0</v>
      </c>
      <c r="B64" s="104"/>
      <c r="C64" s="105" t="str">
        <f t="shared" si="4"/>
        <v>setlist</v>
      </c>
      <c r="D64" s="106" t="s">
        <v>1783</v>
      </c>
      <c r="E64" s="106" t="s">
        <v>656</v>
      </c>
      <c r="F64" s="107" t="s">
        <v>650</v>
      </c>
      <c r="G64" s="107" t="s">
        <v>36</v>
      </c>
      <c r="H64" s="105" t="str">
        <f>HYPERLINK("http://www.mediafire.com/download/rpunk8b6q5spyo5/1996-11-18_-_Mid-South_Coliseum_-_Memphis%2C_TN.rar", "download link")</f>
        <v>download link</v>
      </c>
      <c r="I64" s="134" t="s">
        <v>1784</v>
      </c>
      <c r="J64" s="109"/>
    </row>
    <row r="65">
      <c r="A65" s="110">
        <v>35388.0</v>
      </c>
      <c r="B65" s="111"/>
      <c r="C65" s="135" t="str">
        <f t="shared" si="4"/>
        <v>setlist</v>
      </c>
      <c r="D65" s="113" t="s">
        <v>1424</v>
      </c>
      <c r="E65" s="113" t="s">
        <v>1204</v>
      </c>
      <c r="F65" s="114" t="s">
        <v>886</v>
      </c>
      <c r="G65" s="114" t="s">
        <v>36</v>
      </c>
      <c r="H65" s="116" t="str">
        <f>HYPERLINK("http://www.mediafire.com/download/1oovw4445h0p4m2/1996-11-19_-_Municipal_Auditorium_-_Kansas_City%2C_MO.rar", "download link")</f>
        <v>download link</v>
      </c>
      <c r="I65" s="136" t="s">
        <v>1785</v>
      </c>
      <c r="J65" s="80"/>
    </row>
    <row r="66">
      <c r="A66" s="103">
        <v>35391.0</v>
      </c>
      <c r="B66" s="104"/>
      <c r="C66" s="105" t="str">
        <f t="shared" si="4"/>
        <v>setlist</v>
      </c>
      <c r="D66" s="106" t="s">
        <v>1786</v>
      </c>
      <c r="E66" s="106" t="s">
        <v>1603</v>
      </c>
      <c r="F66" s="107" t="s">
        <v>701</v>
      </c>
      <c r="G66" s="107" t="s">
        <v>36</v>
      </c>
      <c r="H66" s="105" t="str">
        <f>HYPERLINK("http://www.mediafire.com/download/c7x54i2muagnmy4/1996-11-22_-_Spokane_Arena_-_Spokane%2C_WA.rar", "download link")</f>
        <v>download link</v>
      </c>
      <c r="I66" s="134" t="s">
        <v>1787</v>
      </c>
      <c r="J66" s="109"/>
    </row>
    <row r="67">
      <c r="A67" s="110">
        <v>35392.0</v>
      </c>
      <c r="B67" s="111"/>
      <c r="C67" s="135" t="str">
        <f t="shared" si="4"/>
        <v>setlist</v>
      </c>
      <c r="D67" s="113" t="s">
        <v>1788</v>
      </c>
      <c r="E67" s="113" t="s">
        <v>1188</v>
      </c>
      <c r="F67" s="114" t="s">
        <v>1189</v>
      </c>
      <c r="G67" s="114" t="s">
        <v>36</v>
      </c>
      <c r="H67" s="116" t="str">
        <f>HYPERLINK("http://www.mediafire.com/download/pesdjox1xiooyk5/1996-11-23_-_Pacific_Coliseum_-_Vancouver%2C_British_Columbia%2C_Canada.rar", "download link")</f>
        <v>download link</v>
      </c>
      <c r="I67" s="136" t="s">
        <v>1789</v>
      </c>
      <c r="J67" s="80"/>
    </row>
    <row r="68">
      <c r="A68" s="103">
        <v>35393.0</v>
      </c>
      <c r="B68" s="104"/>
      <c r="C68" s="105" t="str">
        <f t="shared" si="4"/>
        <v>setlist</v>
      </c>
      <c r="D68" s="106" t="s">
        <v>1599</v>
      </c>
      <c r="E68" s="106" t="s">
        <v>279</v>
      </c>
      <c r="F68" s="107" t="s">
        <v>692</v>
      </c>
      <c r="G68" s="107" t="s">
        <v>36</v>
      </c>
      <c r="H68" s="105" t="str">
        <f>HYPERLINK("http://www.mediafire.com/download/qibj5ysyj1lw675/1996-11-24_-_Memorial_Coliseum_-_Portland%2C_OR.rar", "download link")</f>
        <v>download link</v>
      </c>
      <c r="I68" s="134" t="s">
        <v>1790</v>
      </c>
      <c r="J68" s="109"/>
    </row>
    <row r="69">
      <c r="A69" s="110">
        <v>35396.0</v>
      </c>
      <c r="B69" s="111"/>
      <c r="C69" s="135" t="str">
        <f t="shared" si="4"/>
        <v>setlist</v>
      </c>
      <c r="D69" s="113" t="s">
        <v>1791</v>
      </c>
      <c r="E69" s="113" t="s">
        <v>791</v>
      </c>
      <c r="F69" s="114" t="s">
        <v>701</v>
      </c>
      <c r="G69" s="114" t="s">
        <v>36</v>
      </c>
      <c r="H69" s="116" t="str">
        <f>HYPERLINK("http://www.mediafire.com/download/y9i22w7qhvwfbt9/1996-11-27_-_Key_Arena_-_Seattle%2C_WA.rar", "download link")</f>
        <v>download link</v>
      </c>
      <c r="I69" s="136" t="s">
        <v>1792</v>
      </c>
      <c r="J69" s="80"/>
    </row>
    <row r="70">
      <c r="A70" s="103">
        <v>35398.0</v>
      </c>
      <c r="B70" s="104"/>
      <c r="C70" s="105" t="str">
        <f t="shared" si="4"/>
        <v>setlist</v>
      </c>
      <c r="D70" s="106" t="s">
        <v>1793</v>
      </c>
      <c r="E70" s="106" t="s">
        <v>683</v>
      </c>
      <c r="F70" s="107" t="s">
        <v>679</v>
      </c>
      <c r="G70" s="107" t="s">
        <v>36</v>
      </c>
      <c r="H70" s="105" t="str">
        <f>HYPERLINK("http://www.mediafire.com/download/j12apo2zubd71o6/1996-11-29_-_The_Cow_Palace_-_Daly_City%2C_CA.rar", "download link")</f>
        <v>download link</v>
      </c>
      <c r="I70" s="134" t="s">
        <v>1794</v>
      </c>
      <c r="J70" s="109"/>
    </row>
    <row r="71">
      <c r="A71" s="110">
        <v>35399.0</v>
      </c>
      <c r="B71" s="111"/>
      <c r="C71" s="135" t="str">
        <f t="shared" si="4"/>
        <v>setlist</v>
      </c>
      <c r="D71" s="113" t="s">
        <v>1795</v>
      </c>
      <c r="E71" s="113" t="s">
        <v>1056</v>
      </c>
      <c r="F71" s="114" t="s">
        <v>679</v>
      </c>
      <c r="G71" s="114" t="s">
        <v>36</v>
      </c>
      <c r="H71" s="116" t="str">
        <f>HYPERLINK("http://www.mediafire.com/download/ngx3667qz9smlu2/1996-11-30_-_ARCO_Arena_-_Sacramento%2C_CA.rar", "download link")</f>
        <v>download link</v>
      </c>
      <c r="I71" s="136" t="s">
        <v>1796</v>
      </c>
      <c r="J71" s="80"/>
    </row>
    <row r="72">
      <c r="A72" s="103">
        <v>35400.0</v>
      </c>
      <c r="B72" s="104"/>
      <c r="C72" s="105" t="str">
        <f t="shared" si="4"/>
        <v>setlist</v>
      </c>
      <c r="D72" s="106" t="s">
        <v>1797</v>
      </c>
      <c r="E72" s="106" t="s">
        <v>911</v>
      </c>
      <c r="F72" s="107" t="s">
        <v>679</v>
      </c>
      <c r="G72" s="107" t="s">
        <v>36</v>
      </c>
      <c r="H72" s="105" t="str">
        <f>HYPERLINK("http://www.mediafire.com/download/4wsvngqp9av2ech/1996-12-01_-_Pauley_Pavillion%2C_University_of_California_Los_Angeles_-_Los_Angeles%2C_CA.rar", "download link")</f>
        <v>download link</v>
      </c>
      <c r="I72" s="134" t="s">
        <v>1798</v>
      </c>
      <c r="J72" s="109"/>
    </row>
    <row r="73">
      <c r="A73" s="110">
        <v>35401.0</v>
      </c>
      <c r="B73" s="111"/>
      <c r="C73" s="135" t="str">
        <f t="shared" si="4"/>
        <v>setlist</v>
      </c>
      <c r="D73" s="113" t="s">
        <v>1799</v>
      </c>
      <c r="E73" s="113" t="s">
        <v>1160</v>
      </c>
      <c r="F73" s="114" t="s">
        <v>805</v>
      </c>
      <c r="G73" s="114" t="s">
        <v>36</v>
      </c>
      <c r="H73" s="116" t="str">
        <f>HYPERLINK("http://www.mediafire.com/download/swnv9owufkb8m7v/1996-12-02_-_America_West_Arena_-_Phoenix%2C_AZ.rar", "download link")</f>
        <v>download link</v>
      </c>
      <c r="I73" s="136" t="s">
        <v>1800</v>
      </c>
      <c r="J73" s="80"/>
    </row>
    <row r="74">
      <c r="A74" s="130">
        <v>35403.0</v>
      </c>
      <c r="B74" s="107" t="s">
        <v>32</v>
      </c>
      <c r="C74" s="105" t="str">
        <f t="shared" si="4"/>
        <v>setlist</v>
      </c>
      <c r="D74" s="132" t="s">
        <v>1801</v>
      </c>
      <c r="E74" s="132" t="s">
        <v>1381</v>
      </c>
      <c r="F74" s="133" t="s">
        <v>679</v>
      </c>
      <c r="G74" s="107" t="s">
        <v>36</v>
      </c>
      <c r="H74" s="105" t="str">
        <f>HYPERLINK("http://www.mediafire.com/download/ewbx787dgw7ufjs/1996-12-04_-_Sports_Arena_-_San_Diego%2C_CA.rar", "download link")</f>
        <v>download link</v>
      </c>
      <c r="I74" s="134" t="s">
        <v>1802</v>
      </c>
      <c r="J74" s="106"/>
    </row>
    <row r="75">
      <c r="A75" s="202">
        <v>35405.0</v>
      </c>
      <c r="B75" s="78"/>
      <c r="C75" s="203" t="str">
        <f t="shared" si="4"/>
        <v>setlist</v>
      </c>
      <c r="D75" s="204" t="s">
        <v>1803</v>
      </c>
      <c r="E75" s="204" t="s">
        <v>1804</v>
      </c>
      <c r="F75" s="205" t="s">
        <v>1805</v>
      </c>
      <c r="G75" s="205" t="s">
        <v>36</v>
      </c>
      <c r="H75" s="116" t="str">
        <f>HYPERLINK("http://www.mediafire.com/download/21ngnaq0daj8f2w/1996-12-06_-_The_Aladdin_Theatre_-_Las_Vegas%2C_NV.rar", "download link")</f>
        <v>download link</v>
      </c>
      <c r="I75" s="206" t="s">
        <v>1806</v>
      </c>
      <c r="J75" s="204" t="s">
        <v>287</v>
      </c>
    </row>
    <row r="76">
      <c r="A76" s="92"/>
      <c r="B76" s="93"/>
      <c r="C76" s="94"/>
      <c r="D76" s="83" t="s">
        <v>1807</v>
      </c>
      <c r="E76" s="95"/>
      <c r="F76" s="93"/>
      <c r="G76" s="93"/>
      <c r="H76" s="93"/>
      <c r="I76" s="95"/>
      <c r="J76" s="95"/>
    </row>
    <row r="77">
      <c r="A77" s="125">
        <v>35427.0</v>
      </c>
      <c r="B77" s="126"/>
      <c r="C77" s="98" t="str">
        <f t="shared" ref="C77:C80" si="5">HYPERLINK("http://www.phish.net/setlists/?d="&amp;RIGHT(TEXT(A77,"mm/dd/yyyy"),4)&amp;"-"&amp;LEFT(TEXT(A77,"mm/dd/yyyy"),2)&amp;"-"&amp;MID(TEXT(A77,"mm/dd/yyyy"),4,2), "setlist")</f>
        <v>setlist</v>
      </c>
      <c r="D77" s="102" t="s">
        <v>1678</v>
      </c>
      <c r="E77" s="102" t="s">
        <v>871</v>
      </c>
      <c r="F77" s="127" t="s">
        <v>212</v>
      </c>
      <c r="G77" s="127" t="s">
        <v>36</v>
      </c>
      <c r="H77" s="98" t="str">
        <f>HYPERLINK("http://www.mediafire.com/file/q6kzf5rg9xi8dmm/1996-12-28_-_CoreStates_Spectrum_-_Philadelphia%2C_PA.rar", "download link")</f>
        <v>download link</v>
      </c>
      <c r="I77" s="101" t="s">
        <v>1808</v>
      </c>
      <c r="J77" s="129"/>
    </row>
    <row r="78">
      <c r="A78" s="103">
        <v>35428.0</v>
      </c>
      <c r="B78" s="104"/>
      <c r="C78" s="105" t="str">
        <f t="shared" si="5"/>
        <v>setlist</v>
      </c>
      <c r="D78" s="106" t="s">
        <v>1678</v>
      </c>
      <c r="E78" s="106" t="s">
        <v>871</v>
      </c>
      <c r="F78" s="107" t="s">
        <v>212</v>
      </c>
      <c r="G78" s="107" t="s">
        <v>36</v>
      </c>
      <c r="H78" s="105" t="str">
        <f>HYPERLINK("http://www.mediafire.com/file/bqdddba42zt65r9/1996-12-29_-_CoreStates_Spectrum_-_Philadelphia%2C_PA.rar", "download link")</f>
        <v>download link</v>
      </c>
      <c r="I78" s="134" t="s">
        <v>1809</v>
      </c>
      <c r="J78" s="109"/>
    </row>
    <row r="79">
      <c r="A79" s="110">
        <v>35429.0</v>
      </c>
      <c r="B79" s="111"/>
      <c r="C79" s="135" t="str">
        <f t="shared" si="5"/>
        <v>setlist</v>
      </c>
      <c r="D79" s="113" t="s">
        <v>1810</v>
      </c>
      <c r="E79" s="113" t="s">
        <v>94</v>
      </c>
      <c r="F79" s="114" t="s">
        <v>95</v>
      </c>
      <c r="G79" s="114" t="s">
        <v>36</v>
      </c>
      <c r="H79" s="135" t="str">
        <f>HYPERLINK("http://www.mediafire.com/download/8s79s83ywf9u9jq/1996-12-30_-_FleetCenter_-_Boston%2C_MA.rar", "download link")</f>
        <v>download link</v>
      </c>
      <c r="I79" s="136" t="s">
        <v>1811</v>
      </c>
      <c r="J79" s="80"/>
    </row>
    <row r="80">
      <c r="A80" s="103">
        <v>35430.0</v>
      </c>
      <c r="B80" s="107" t="s">
        <v>32</v>
      </c>
      <c r="C80" s="105" t="str">
        <f t="shared" si="5"/>
        <v>setlist</v>
      </c>
      <c r="D80" s="106" t="s">
        <v>1810</v>
      </c>
      <c r="E80" s="106" t="s">
        <v>94</v>
      </c>
      <c r="F80" s="107" t="s">
        <v>95</v>
      </c>
      <c r="G80" s="107" t="s">
        <v>36</v>
      </c>
      <c r="H80" s="105" t="str">
        <f>HYPERLINK("http://www.mediafire.com/download/s5joqrgwjhy2dnv/1996-12-31_-_FleetCenter_-_Boston%2C_MA.rar", "download link")</f>
        <v>download link</v>
      </c>
      <c r="I80" s="134" t="s">
        <v>1316</v>
      </c>
      <c r="J80" s="10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9.88"/>
  </cols>
  <sheetData>
    <row r="1">
      <c r="A1" s="77"/>
      <c r="B1" s="78"/>
      <c r="C1" s="78"/>
      <c r="D1" s="82"/>
      <c r="E1" s="82"/>
      <c r="F1" s="78"/>
      <c r="G1" s="237"/>
      <c r="H1" s="81"/>
      <c r="I1" s="82"/>
      <c r="J1" s="82"/>
    </row>
    <row r="2">
      <c r="A2" s="83" t="s">
        <v>22</v>
      </c>
      <c r="B2" s="60" t="s">
        <v>23</v>
      </c>
      <c r="C2" s="60" t="s">
        <v>24</v>
      </c>
      <c r="D2" s="60" t="s">
        <v>25</v>
      </c>
      <c r="E2" s="83" t="s">
        <v>26</v>
      </c>
      <c r="F2" s="60" t="s">
        <v>27</v>
      </c>
      <c r="G2" s="60" t="s">
        <v>28</v>
      </c>
      <c r="H2" s="60" t="s">
        <v>29</v>
      </c>
      <c r="I2" s="85" t="s">
        <v>30</v>
      </c>
      <c r="J2" s="83" t="s">
        <v>31</v>
      </c>
    </row>
    <row r="3">
      <c r="A3" s="86"/>
      <c r="B3" s="87"/>
      <c r="C3" s="87"/>
      <c r="D3" s="89"/>
      <c r="E3" s="89"/>
      <c r="F3" s="87"/>
      <c r="G3" s="87"/>
      <c r="H3" s="240"/>
      <c r="I3" s="91"/>
      <c r="J3" s="91"/>
    </row>
    <row r="4">
      <c r="A4" s="92"/>
      <c r="B4" s="93"/>
      <c r="C4" s="93"/>
      <c r="D4" s="83" t="s">
        <v>1812</v>
      </c>
      <c r="E4" s="95"/>
      <c r="F4" s="93"/>
      <c r="G4" s="93"/>
      <c r="H4" s="93"/>
      <c r="I4" s="95"/>
      <c r="J4" s="95"/>
    </row>
    <row r="5">
      <c r="A5" s="125">
        <v>35474.0</v>
      </c>
      <c r="B5" s="126"/>
      <c r="C5" s="98" t="str">
        <f t="shared" ref="C5:C19" si="1">HYPERLINK("http://www.phish.net/setlists/?d="&amp;RIGHT(TEXT(A5,"mm/dd/yyyy"),4)&amp;"-"&amp;LEFT(TEXT(A5,"mm/dd/yyyy"),2)&amp;"-"&amp;MID(TEXT(A5,"mm/dd/yyyy"),4,2), "setlist")</f>
        <v>setlist</v>
      </c>
      <c r="D5" s="102" t="s">
        <v>1706</v>
      </c>
      <c r="E5" s="102" t="s">
        <v>985</v>
      </c>
      <c r="F5" s="127" t="s">
        <v>986</v>
      </c>
      <c r="G5" s="127" t="s">
        <v>36</v>
      </c>
      <c r="H5" s="98" t="str">
        <f>HYPERLINK("http://www.mediafire.com/download/x0blt2rf98tsrkc/1997-02-13_-_Shepherd%27s_Bush_Empire_-_London%2C_England.rar", "download link")</f>
        <v>download link</v>
      </c>
      <c r="I5" s="101" t="s">
        <v>1813</v>
      </c>
      <c r="J5" s="129"/>
    </row>
    <row r="6">
      <c r="A6" s="103">
        <v>35475.0</v>
      </c>
      <c r="B6" s="104"/>
      <c r="C6" s="105" t="str">
        <f t="shared" si="1"/>
        <v>setlist</v>
      </c>
      <c r="D6" s="106" t="s">
        <v>1814</v>
      </c>
      <c r="E6" s="106" t="s">
        <v>982</v>
      </c>
      <c r="F6" s="107" t="s">
        <v>983</v>
      </c>
      <c r="G6" s="107" t="s">
        <v>36</v>
      </c>
      <c r="H6" s="105" t="str">
        <f>HYPERLINK("http://www.mediafire.com/download/ibudj9qdukezqpe/1997-02-14_-_Le_Botanique_-_Brussels%2C_Belgium.rar", "download link")</f>
        <v>download link</v>
      </c>
      <c r="I6" s="134" t="s">
        <v>1815</v>
      </c>
      <c r="J6" s="109"/>
    </row>
    <row r="7">
      <c r="A7" s="110">
        <v>35477.0</v>
      </c>
      <c r="B7" s="114" t="s">
        <v>32</v>
      </c>
      <c r="C7" s="135" t="str">
        <f t="shared" si="1"/>
        <v>setlist</v>
      </c>
      <c r="D7" s="113" t="s">
        <v>1816</v>
      </c>
      <c r="E7" s="113" t="s">
        <v>1727</v>
      </c>
      <c r="F7" s="114" t="s">
        <v>966</v>
      </c>
      <c r="G7" s="114" t="s">
        <v>36</v>
      </c>
      <c r="H7" s="116" t="str">
        <f>HYPERLINK("http://www.mediafire.com/download/mq538iqjkcntrhb/1997-02-16_-_Alter_Watesaal_-_Cologne%2C_Germany.rar", "download link")</f>
        <v>download link</v>
      </c>
      <c r="I7" s="136" t="s">
        <v>572</v>
      </c>
      <c r="J7" s="80"/>
    </row>
    <row r="8">
      <c r="A8" s="103">
        <v>35478.0</v>
      </c>
      <c r="B8" s="104"/>
      <c r="C8" s="105" t="str">
        <f t="shared" si="1"/>
        <v>setlist</v>
      </c>
      <c r="D8" s="106" t="s">
        <v>1817</v>
      </c>
      <c r="E8" s="106" t="s">
        <v>1708</v>
      </c>
      <c r="F8" s="107" t="s">
        <v>1709</v>
      </c>
      <c r="G8" s="107" t="s">
        <v>36</v>
      </c>
      <c r="H8" s="105" t="str">
        <f>HYPERLINK("http://www.mediafire.com/download/7ari5far1j57sma/1997-02-17_-_Paradiso_-_Amsterdam%2C_Netherlands.rar", "download link")</f>
        <v>download link</v>
      </c>
      <c r="I8" s="134" t="s">
        <v>1818</v>
      </c>
      <c r="J8" s="109"/>
    </row>
    <row r="9">
      <c r="A9" s="110">
        <v>35479.0</v>
      </c>
      <c r="B9" s="111"/>
      <c r="C9" s="135" t="str">
        <f t="shared" si="1"/>
        <v>setlist</v>
      </c>
      <c r="D9" s="113" t="s">
        <v>1819</v>
      </c>
      <c r="E9" s="113" t="s">
        <v>979</v>
      </c>
      <c r="F9" s="114" t="s">
        <v>980</v>
      </c>
      <c r="G9" s="114" t="s">
        <v>36</v>
      </c>
      <c r="H9" s="116" t="str">
        <f>HYPERLINK("http://www.mediafire.com/download/chtm3ccsc99998h/1997-02-18_-_Bataclan_-_Paris%2C_France.rar", "download link")</f>
        <v>download link</v>
      </c>
      <c r="I9" s="136" t="s">
        <v>1820</v>
      </c>
      <c r="J9" s="80"/>
    </row>
    <row r="10">
      <c r="A10" s="103">
        <v>35481.0</v>
      </c>
      <c r="B10" s="107" t="s">
        <v>32</v>
      </c>
      <c r="C10" s="105" t="str">
        <f t="shared" si="1"/>
        <v>setlist</v>
      </c>
      <c r="D10" s="106" t="s">
        <v>1821</v>
      </c>
      <c r="E10" s="106" t="s">
        <v>1701</v>
      </c>
      <c r="F10" s="107" t="s">
        <v>1694</v>
      </c>
      <c r="G10" s="107" t="s">
        <v>36</v>
      </c>
      <c r="H10" s="105" t="str">
        <f>HYPERLINK("http://www.mediafire.com/download/5l73t4c8gz8fstj/1997-02-20_-_Teatro_Smeraldo_-_Milan%2C_Italy.rar", "download link")</f>
        <v>download link</v>
      </c>
      <c r="I10" s="134" t="s">
        <v>1822</v>
      </c>
      <c r="J10" s="134"/>
    </row>
    <row r="11">
      <c r="A11" s="110">
        <v>35482.0</v>
      </c>
      <c r="B11" s="111"/>
      <c r="C11" s="135" t="str">
        <f t="shared" si="1"/>
        <v>setlist</v>
      </c>
      <c r="D11" s="113" t="s">
        <v>1823</v>
      </c>
      <c r="E11" s="113" t="s">
        <v>1824</v>
      </c>
      <c r="F11" s="114" t="s">
        <v>1694</v>
      </c>
      <c r="G11" s="114" t="s">
        <v>36</v>
      </c>
      <c r="H11" s="116" t="str">
        <f>HYPERLINK("http://www.mediafire.com/download/g51mfh21vt0t38f/1997-02-21_-_Tenax_-_Florence%2C_Italy.rar", "download link")</f>
        <v>download link</v>
      </c>
      <c r="I11" s="136" t="s">
        <v>1825</v>
      </c>
      <c r="J11" s="80"/>
    </row>
    <row r="12">
      <c r="A12" s="103">
        <v>35483.0</v>
      </c>
      <c r="B12" s="104"/>
      <c r="C12" s="105" t="str">
        <f t="shared" si="1"/>
        <v>setlist</v>
      </c>
      <c r="D12" s="106" t="s">
        <v>1826</v>
      </c>
      <c r="E12" s="106" t="s">
        <v>1696</v>
      </c>
      <c r="F12" s="107" t="s">
        <v>1694</v>
      </c>
      <c r="G12" s="107" t="s">
        <v>36</v>
      </c>
      <c r="H12" s="105" t="str">
        <f>HYPERLINK("http://www.mediafire.com/download/8y4ze69z89tnfh9/1997-02-22_-_Teatro_Olimpico_-_Rome%2C_Italy.rar", "download link")</f>
        <v>download link</v>
      </c>
      <c r="I12" s="134" t="s">
        <v>1827</v>
      </c>
      <c r="J12" s="109"/>
    </row>
    <row r="13">
      <c r="A13" s="110">
        <v>35484.0</v>
      </c>
      <c r="B13" s="111"/>
      <c r="C13" s="135" t="str">
        <f t="shared" si="1"/>
        <v>setlist</v>
      </c>
      <c r="D13" s="113" t="s">
        <v>1828</v>
      </c>
      <c r="E13" s="113" t="s">
        <v>1829</v>
      </c>
      <c r="F13" s="114" t="s">
        <v>1694</v>
      </c>
      <c r="G13" s="114" t="s">
        <v>36</v>
      </c>
      <c r="H13" s="116" t="str">
        <f>HYPERLINK("http://www.mediafire.com/download/a0cevz25qa6n6e2/1997-02-23_-_Fillmore_-_Cortemaggiore%2C_Italy.rar", "download link")</f>
        <v>download link</v>
      </c>
      <c r="I13" s="136" t="s">
        <v>1830</v>
      </c>
      <c r="J13" s="80"/>
    </row>
    <row r="14">
      <c r="A14" s="103">
        <v>35486.0</v>
      </c>
      <c r="B14" s="104"/>
      <c r="C14" s="105" t="str">
        <f t="shared" si="1"/>
        <v>setlist</v>
      </c>
      <c r="D14" s="106" t="s">
        <v>1831</v>
      </c>
      <c r="E14" s="106" t="s">
        <v>1832</v>
      </c>
      <c r="F14" s="107" t="s">
        <v>966</v>
      </c>
      <c r="G14" s="107" t="s">
        <v>36</v>
      </c>
      <c r="H14" s="105" t="str">
        <f>HYPERLINK("http://www.mediafire.com/download/45ttm4w5acnp9ac/1997-02-25_-_Incognito_-_Munich%2C_Germany.rar", "download link")</f>
        <v>download link</v>
      </c>
      <c r="I14" s="134" t="s">
        <v>1833</v>
      </c>
      <c r="J14" s="109"/>
    </row>
    <row r="15">
      <c r="A15" s="110">
        <v>35487.0</v>
      </c>
      <c r="B15" s="114" t="s">
        <v>32</v>
      </c>
      <c r="C15" s="135" t="str">
        <f t="shared" si="1"/>
        <v>setlist</v>
      </c>
      <c r="D15" s="113" t="s">
        <v>1834</v>
      </c>
      <c r="E15" s="113" t="s">
        <v>1835</v>
      </c>
      <c r="F15" s="114" t="s">
        <v>966</v>
      </c>
      <c r="G15" s="114" t="s">
        <v>36</v>
      </c>
      <c r="H15" s="116" t="str">
        <f>HYPERLINK("http://www.mediafire.com/download/foi66306q4rs0n2/1997-02-26_-_Longhorn_-_Stuttgart%2C_Germany.rar", "download link")</f>
        <v>download link</v>
      </c>
      <c r="I15" s="136" t="s">
        <v>1836</v>
      </c>
      <c r="J15" s="80"/>
    </row>
    <row r="16">
      <c r="A16" s="103">
        <v>35487.0</v>
      </c>
      <c r="B16" s="104"/>
      <c r="C16" s="105" t="str">
        <f t="shared" si="1"/>
        <v>setlist</v>
      </c>
      <c r="D16" s="106" t="s">
        <v>1837</v>
      </c>
      <c r="E16" s="106" t="s">
        <v>1838</v>
      </c>
      <c r="F16" s="107" t="s">
        <v>966</v>
      </c>
      <c r="G16" s="107" t="s">
        <v>36</v>
      </c>
      <c r="H16" s="105" t="str">
        <f>HYPERLINK("http://www.mediafire.com/download/g8gdd8qu5dy2bna/1997-02-26_-_SWF3_Studios_-_Baden-Baden%2C_Germany.rar", "download link")</f>
        <v>download link</v>
      </c>
      <c r="I16" s="134" t="s">
        <v>1839</v>
      </c>
      <c r="J16" s="109"/>
    </row>
    <row r="17">
      <c r="A17" s="110">
        <v>35489.0</v>
      </c>
      <c r="B17" s="111"/>
      <c r="C17" s="135" t="str">
        <f t="shared" si="1"/>
        <v>setlist</v>
      </c>
      <c r="D17" s="113" t="s">
        <v>1840</v>
      </c>
      <c r="E17" s="113" t="s">
        <v>1841</v>
      </c>
      <c r="F17" s="114" t="s">
        <v>966</v>
      </c>
      <c r="G17" s="114" t="s">
        <v>36</v>
      </c>
      <c r="H17" s="116" t="str">
        <f>HYPERLINK("http://www.mediafire.com/file/8krz9cfn8tke5cc/1997-02-28_-_Huxley%2527s_Neue_Welt_-_Berlin%252C_Germany.rar/file", "download link")</f>
        <v>download link</v>
      </c>
      <c r="I17" s="136" t="s">
        <v>1842</v>
      </c>
      <c r="J17" s="136" t="s">
        <v>287</v>
      </c>
    </row>
    <row r="18">
      <c r="A18" s="103">
        <v>35490.0</v>
      </c>
      <c r="B18" s="107" t="s">
        <v>32</v>
      </c>
      <c r="C18" s="105" t="str">
        <f t="shared" si="1"/>
        <v>setlist</v>
      </c>
      <c r="D18" s="106" t="s">
        <v>1843</v>
      </c>
      <c r="E18" s="106" t="s">
        <v>965</v>
      </c>
      <c r="F18" s="107" t="s">
        <v>966</v>
      </c>
      <c r="G18" s="107" t="s">
        <v>36</v>
      </c>
      <c r="H18" s="105" t="str">
        <f>HYPERLINK("http://www.mediafire.com/download/madrrr0abvdf7bd/1997-03-01_-_Markethalle_-_Hamburg%2C_Germany.rar", "download link")</f>
        <v>download link</v>
      </c>
      <c r="I18" s="134" t="s">
        <v>575</v>
      </c>
      <c r="J18" s="106" t="s">
        <v>1844</v>
      </c>
    </row>
    <row r="19">
      <c r="A19" s="202">
        <v>35491.0</v>
      </c>
      <c r="B19" s="78"/>
      <c r="C19" s="203" t="str">
        <f t="shared" si="1"/>
        <v>setlist</v>
      </c>
      <c r="D19" s="204" t="s">
        <v>1845</v>
      </c>
      <c r="E19" s="204" t="s">
        <v>1846</v>
      </c>
      <c r="F19" s="205" t="s">
        <v>976</v>
      </c>
      <c r="G19" s="205" t="s">
        <v>36</v>
      </c>
      <c r="H19" s="116" t="str">
        <f>HYPERLINK("http://www.mediafire.com/download/h0dalom2flaa0xp/1997-03-02_-_Pumpehuset_-_Copenhagen%2C_Denmark.rar", "download link")</f>
        <v>download link</v>
      </c>
      <c r="I19" s="206" t="s">
        <v>1847</v>
      </c>
      <c r="J19" s="82"/>
    </row>
    <row r="20">
      <c r="A20" s="92"/>
      <c r="B20" s="93"/>
      <c r="C20" s="94"/>
      <c r="D20" s="83" t="s">
        <v>1848</v>
      </c>
      <c r="E20" s="95"/>
      <c r="F20" s="93"/>
      <c r="G20" s="93"/>
      <c r="H20" s="93"/>
      <c r="I20" s="95"/>
      <c r="J20" s="95"/>
    </row>
    <row r="21">
      <c r="A21" s="125">
        <v>35494.0</v>
      </c>
      <c r="B21" s="127" t="s">
        <v>32</v>
      </c>
      <c r="C21" s="98" t="str">
        <f t="shared" ref="C21:C23" si="2">HYPERLINK("http://www.phish.net/setlists/?d="&amp;RIGHT(TEXT(A21,"mm/dd/yyyy"),4)&amp;"-"&amp;LEFT(TEXT(A21,"mm/dd/yyyy"),2)&amp;"-"&amp;MID(TEXT(A21,"mm/dd/yyyy"),4,2), "setlist")</f>
        <v>setlist</v>
      </c>
      <c r="D21" s="102" t="s">
        <v>1551</v>
      </c>
      <c r="E21" s="102" t="s">
        <v>162</v>
      </c>
      <c r="F21" s="127" t="s">
        <v>129</v>
      </c>
      <c r="G21" s="127" t="s">
        <v>36</v>
      </c>
      <c r="H21" s="116" t="str">
        <f>HYPERLINK("http://www.mediafire.com/download/h7q2f2jf3iqgmsx/1997-03-05_-_Ed_Sullivan_Theater_-_New_York%2C_NY.rar", "download link")</f>
        <v>download link</v>
      </c>
      <c r="I21" s="101" t="s">
        <v>1552</v>
      </c>
      <c r="J21" s="129"/>
    </row>
    <row r="22">
      <c r="A22" s="103">
        <v>35507.0</v>
      </c>
      <c r="B22" s="107" t="s">
        <v>32</v>
      </c>
      <c r="C22" s="105" t="str">
        <f t="shared" si="2"/>
        <v>setlist</v>
      </c>
      <c r="D22" s="106" t="s">
        <v>860</v>
      </c>
      <c r="E22" s="106" t="s">
        <v>34</v>
      </c>
      <c r="F22" s="107" t="s">
        <v>35</v>
      </c>
      <c r="G22" s="107" t="s">
        <v>36</v>
      </c>
      <c r="H22" s="105" t="str">
        <f>HYPERLINK("http://www.mediafire.com/download/mm373ipm1on11dp/1997-03-18_-_The_Flynn_Theatre_-_Burlington%2C_VT.rar", "download link")</f>
        <v>download link</v>
      </c>
      <c r="I22" s="134" t="s">
        <v>1849</v>
      </c>
      <c r="J22" s="106"/>
    </row>
    <row r="23">
      <c r="A23" s="230">
        <v>35587.0</v>
      </c>
      <c r="B23" s="232" t="s">
        <v>32</v>
      </c>
      <c r="C23" s="203" t="str">
        <f t="shared" si="2"/>
        <v>setlist</v>
      </c>
      <c r="D23" s="231" t="s">
        <v>1850</v>
      </c>
      <c r="E23" s="231" t="s">
        <v>541</v>
      </c>
      <c r="F23" s="232" t="s">
        <v>35</v>
      </c>
      <c r="G23" s="232" t="s">
        <v>36</v>
      </c>
      <c r="H23" s="116" t="str">
        <f>HYPERLINK("http://www.mediafire.com/download/9330fy236m1kwgb/1997-06-06_-_Brad_Sands%27_and_Pete_Carini%27s_House_-_Charlotte%2C_VT.rar", "download link")</f>
        <v>download link</v>
      </c>
      <c r="I23" s="206" t="s">
        <v>1851</v>
      </c>
      <c r="J23" s="206" t="s">
        <v>1852</v>
      </c>
    </row>
    <row r="24">
      <c r="A24" s="92"/>
      <c r="B24" s="93"/>
      <c r="C24" s="94"/>
      <c r="D24" s="83" t="s">
        <v>1853</v>
      </c>
      <c r="E24" s="95"/>
      <c r="F24" s="93"/>
      <c r="G24" s="93"/>
      <c r="H24" s="93"/>
      <c r="I24" s="95"/>
      <c r="J24" s="95"/>
    </row>
    <row r="25">
      <c r="A25" s="125">
        <v>35594.0</v>
      </c>
      <c r="B25" s="126"/>
      <c r="C25" s="98" t="str">
        <f t="shared" ref="C25:C43" si="3">HYPERLINK("http://www.phish.net/setlists/?d="&amp;RIGHT(TEXT(A25,"mm/dd/yyyy"),4)&amp;"-"&amp;LEFT(TEXT(A25,"mm/dd/yyyy"),2)&amp;"-"&amp;MID(TEXT(A25,"mm/dd/yyyy"),4,2), "setlist")</f>
        <v>setlist</v>
      </c>
      <c r="D25" s="102" t="s">
        <v>1854</v>
      </c>
      <c r="E25" s="102" t="s">
        <v>1855</v>
      </c>
      <c r="F25" s="127" t="s">
        <v>1856</v>
      </c>
      <c r="G25" s="127" t="s">
        <v>36</v>
      </c>
      <c r="H25" s="116" t="str">
        <f>HYPERLINK("http://www.mediafire.com/download/qhgql32zk1kfehf/1997-06-13_-_The_S.F.X._Centre_-_Dublin%2C_Ireland.rar", "download link")</f>
        <v>download link</v>
      </c>
      <c r="I25" s="101" t="s">
        <v>1857</v>
      </c>
      <c r="J25" s="129"/>
    </row>
    <row r="26">
      <c r="A26" s="103">
        <v>35595.0</v>
      </c>
      <c r="B26" s="104"/>
      <c r="C26" s="105" t="str">
        <f t="shared" si="3"/>
        <v>setlist</v>
      </c>
      <c r="D26" s="106" t="s">
        <v>1854</v>
      </c>
      <c r="E26" s="106" t="s">
        <v>1855</v>
      </c>
      <c r="F26" s="107" t="s">
        <v>1856</v>
      </c>
      <c r="G26" s="107" t="s">
        <v>36</v>
      </c>
      <c r="H26" s="105" t="str">
        <f>HYPERLINK("http://www.mediafire.com/download/tqs2hwwcyw2wwm7/1997-06-14_-_The_S.F.X._Centre_-_Dublin%2C_Ireland.rar", "download link")</f>
        <v>download link</v>
      </c>
      <c r="I26" s="134" t="s">
        <v>1858</v>
      </c>
      <c r="J26" s="109"/>
    </row>
    <row r="27">
      <c r="A27" s="110">
        <v>35597.0</v>
      </c>
      <c r="B27" s="111"/>
      <c r="C27" s="135" t="str">
        <f t="shared" si="3"/>
        <v>setlist</v>
      </c>
      <c r="D27" s="113" t="s">
        <v>1859</v>
      </c>
      <c r="E27" s="113" t="s">
        <v>985</v>
      </c>
      <c r="F27" s="114" t="s">
        <v>986</v>
      </c>
      <c r="G27" s="114" t="s">
        <v>36</v>
      </c>
      <c r="H27" s="116" t="str">
        <f>HYPERLINK("http://www.mediafire.com/download/f7x1xwecjo3fk7d/1997-06-16_-_Royal_Albert_Hall_-_London%2C_England.rar", "download link")</f>
        <v>download link</v>
      </c>
      <c r="I27" s="136" t="s">
        <v>1860</v>
      </c>
      <c r="J27" s="80"/>
    </row>
    <row r="28">
      <c r="A28" s="103">
        <v>35600.0</v>
      </c>
      <c r="B28" s="104"/>
      <c r="C28" s="105" t="str">
        <f t="shared" si="3"/>
        <v>setlist</v>
      </c>
      <c r="D28" s="106" t="s">
        <v>1861</v>
      </c>
      <c r="E28" s="106" t="s">
        <v>1250</v>
      </c>
      <c r="F28" s="107" t="s">
        <v>1862</v>
      </c>
      <c r="G28" s="107" t="s">
        <v>36</v>
      </c>
      <c r="H28" s="105" t="str">
        <f>HYPERLINK("http://www.mediafire.com/download/fqf88g4i12g8zuj/1997-06-19_-_Arena_-_Vienna%2C_Austria.rar", "download link")</f>
        <v>download link</v>
      </c>
      <c r="I28" s="134" t="s">
        <v>1863</v>
      </c>
      <c r="J28" s="109"/>
    </row>
    <row r="29">
      <c r="A29" s="110">
        <v>35601.0</v>
      </c>
      <c r="B29" s="111"/>
      <c r="C29" s="135" t="str">
        <f t="shared" si="3"/>
        <v>setlist</v>
      </c>
      <c r="D29" s="113" t="s">
        <v>1864</v>
      </c>
      <c r="E29" s="113" t="s">
        <v>1865</v>
      </c>
      <c r="F29" s="114" t="s">
        <v>1866</v>
      </c>
      <c r="G29" s="114" t="s">
        <v>36</v>
      </c>
      <c r="H29" s="116" t="str">
        <f>HYPERLINK("http://www.mediafire.com/download/2xll21q9bz040ea/1997-06-20_-_Archa_Theater_-_Prague%2C_Czech_Republic.rar", "download link")</f>
        <v>download link</v>
      </c>
      <c r="I29" s="136" t="s">
        <v>1867</v>
      </c>
      <c r="J29" s="80"/>
    </row>
    <row r="30">
      <c r="A30" s="103">
        <v>35602.0</v>
      </c>
      <c r="B30" s="104"/>
      <c r="C30" s="105" t="str">
        <f t="shared" si="3"/>
        <v>setlist</v>
      </c>
      <c r="D30" s="106" t="s">
        <v>1868</v>
      </c>
      <c r="E30" s="106" t="s">
        <v>1869</v>
      </c>
      <c r="F30" s="107" t="s">
        <v>966</v>
      </c>
      <c r="G30" s="107" t="s">
        <v>36</v>
      </c>
      <c r="H30" s="105" t="str">
        <f>HYPERLINK("http://www.mediafire.com/download/5ed4q8b30iic4nz/1997-06-21_-_Hurricane_Festival_-_Scheessel%2C_Germany.rar", "download link")</f>
        <v>download link</v>
      </c>
      <c r="I30" s="134" t="s">
        <v>1870</v>
      </c>
      <c r="J30" s="109"/>
    </row>
    <row r="31">
      <c r="A31" s="110">
        <v>35603.0</v>
      </c>
      <c r="B31" s="114" t="s">
        <v>32</v>
      </c>
      <c r="C31" s="135" t="str">
        <f t="shared" si="3"/>
        <v>setlist</v>
      </c>
      <c r="D31" s="113" t="s">
        <v>1871</v>
      </c>
      <c r="E31" s="113" t="s">
        <v>1872</v>
      </c>
      <c r="F31" s="114" t="s">
        <v>966</v>
      </c>
      <c r="G31" s="114" t="s">
        <v>36</v>
      </c>
      <c r="H31" s="116" t="str">
        <f>HYPERLINK("http://www.mediafire.com/download/vmatgx5ti084n99/1997-06-22_-_Loreley_-_St._Goarshausen%2C_Koblenz%2C_Germany.rar", "download link")</f>
        <v>download link</v>
      </c>
      <c r="I31" s="136" t="s">
        <v>1873</v>
      </c>
      <c r="J31" s="80"/>
    </row>
    <row r="32">
      <c r="A32" s="103">
        <v>35605.0</v>
      </c>
      <c r="B32" s="104"/>
      <c r="C32" s="105" t="str">
        <f t="shared" si="3"/>
        <v>setlist</v>
      </c>
      <c r="D32" s="106" t="s">
        <v>1874</v>
      </c>
      <c r="E32" s="106" t="s">
        <v>1875</v>
      </c>
      <c r="F32" s="107" t="s">
        <v>980</v>
      </c>
      <c r="G32" s="107" t="s">
        <v>36</v>
      </c>
      <c r="H32" s="105" t="str">
        <f>HYPERLINK("http://www.mediafire.com/download/s4p5tie8875gk0f/1997-06-24_-_La_Laiterie_-_Strasbourg%2C_France.rar", "download link")</f>
        <v>download link</v>
      </c>
      <c r="I32" s="134" t="s">
        <v>1876</v>
      </c>
      <c r="J32" s="109"/>
    </row>
    <row r="33">
      <c r="A33" s="110">
        <v>35606.0</v>
      </c>
      <c r="B33" s="111"/>
      <c r="C33" s="135" t="str">
        <f t="shared" si="3"/>
        <v>setlist</v>
      </c>
      <c r="D33" s="113" t="s">
        <v>1877</v>
      </c>
      <c r="E33" s="113" t="s">
        <v>1878</v>
      </c>
      <c r="F33" s="114" t="s">
        <v>980</v>
      </c>
      <c r="G33" s="114" t="s">
        <v>36</v>
      </c>
      <c r="H33" s="116" t="str">
        <f>HYPERLINK("http://www.mediafire.com/download/m2du0d8td64zup5/1997-06-25_-_L%27Aeronef_-_Lille%2C_France.rar", "download link")</f>
        <v>download link</v>
      </c>
      <c r="I33" s="136" t="s">
        <v>1879</v>
      </c>
      <c r="J33" s="80"/>
    </row>
    <row r="34">
      <c r="A34" s="103">
        <v>35608.0</v>
      </c>
      <c r="B34" s="104"/>
      <c r="C34" s="105" t="str">
        <f t="shared" si="3"/>
        <v>setlist</v>
      </c>
      <c r="D34" s="106" t="s">
        <v>1880</v>
      </c>
      <c r="E34" s="106" t="s">
        <v>1881</v>
      </c>
      <c r="F34" s="107" t="s">
        <v>986</v>
      </c>
      <c r="G34" s="107" t="s">
        <v>36</v>
      </c>
      <c r="H34" s="105" t="str">
        <f>HYPERLINK("http://www.mediafire.com/download/xfhg7gyy48kmsyc/1997-06-27_-_Worthy_Farm_-_Somerset%2C_England.rar", "download link")</f>
        <v>download link</v>
      </c>
      <c r="I34" s="134" t="s">
        <v>1882</v>
      </c>
      <c r="J34" s="109"/>
    </row>
    <row r="35">
      <c r="A35" s="110">
        <v>35610.0</v>
      </c>
      <c r="B35" s="111"/>
      <c r="C35" s="135" t="str">
        <f t="shared" si="3"/>
        <v>setlist</v>
      </c>
      <c r="D35" s="113" t="s">
        <v>974</v>
      </c>
      <c r="E35" s="113" t="s">
        <v>975</v>
      </c>
      <c r="F35" s="114" t="s">
        <v>976</v>
      </c>
      <c r="G35" s="114" t="s">
        <v>36</v>
      </c>
      <c r="H35" s="116" t="str">
        <f>HYPERLINK("http://www.mediafire.com/download/g0nsjx85t6k541e/1997-06-29_-_Roskilde_Festival_-_Roskilde%2C_Denmark.rar", "download link")</f>
        <v>download link</v>
      </c>
      <c r="I35" s="136" t="s">
        <v>1883</v>
      </c>
      <c r="J35" s="80"/>
    </row>
    <row r="36">
      <c r="A36" s="103">
        <v>35612.0</v>
      </c>
      <c r="B36" s="104"/>
      <c r="C36" s="105" t="str">
        <f t="shared" si="3"/>
        <v>setlist</v>
      </c>
      <c r="D36" s="106" t="s">
        <v>1817</v>
      </c>
      <c r="E36" s="106" t="s">
        <v>1708</v>
      </c>
      <c r="F36" s="107" t="s">
        <v>1709</v>
      </c>
      <c r="G36" s="107" t="s">
        <v>36</v>
      </c>
      <c r="H36" s="105" t="str">
        <f>HYPERLINK("http://www.mediafire.com/download/92yk372qwglwn98/1997-07-01_-_Paradiso_-_Amsterdam%2C_Netherlands.rar", "download link")</f>
        <v>download link</v>
      </c>
      <c r="I36" s="134" t="s">
        <v>1884</v>
      </c>
      <c r="J36" s="109"/>
    </row>
    <row r="37">
      <c r="A37" s="110">
        <v>35613.0</v>
      </c>
      <c r="B37" s="111"/>
      <c r="C37" s="135" t="str">
        <f t="shared" si="3"/>
        <v>setlist</v>
      </c>
      <c r="D37" s="113" t="s">
        <v>1817</v>
      </c>
      <c r="E37" s="113" t="s">
        <v>1708</v>
      </c>
      <c r="F37" s="114" t="s">
        <v>1709</v>
      </c>
      <c r="G37" s="114" t="s">
        <v>36</v>
      </c>
      <c r="H37" s="116" t="str">
        <f>HYPERLINK("http://www.mediafire.com/download/2hzol6x2a2zqba2/1997-07-02_-_Paradiso_-_Amsterdam%2C_Netherlands.rar", "download link")</f>
        <v>download link</v>
      </c>
      <c r="I37" s="136" t="s">
        <v>1885</v>
      </c>
      <c r="J37" s="80"/>
    </row>
    <row r="38">
      <c r="A38" s="103">
        <v>35614.0</v>
      </c>
      <c r="B38" s="104"/>
      <c r="C38" s="105" t="str">
        <f t="shared" si="3"/>
        <v>setlist</v>
      </c>
      <c r="D38" s="106" t="s">
        <v>1886</v>
      </c>
      <c r="E38" s="106" t="s">
        <v>1887</v>
      </c>
      <c r="F38" s="107" t="s">
        <v>966</v>
      </c>
      <c r="G38" s="107" t="s">
        <v>36</v>
      </c>
      <c r="H38" s="105" t="str">
        <f>HYPERLINK("http://www.mediafire.com/download/gff1c1pgdoln1np/1997-07-03_-_Serenadenhof_-_Nuremberg%2C_Germany.rar", "download link")</f>
        <v>download link</v>
      </c>
      <c r="I38" s="134" t="s">
        <v>1888</v>
      </c>
      <c r="J38" s="109"/>
    </row>
    <row r="39">
      <c r="A39" s="110">
        <v>35616.0</v>
      </c>
      <c r="B39" s="111"/>
      <c r="C39" s="135" t="str">
        <f t="shared" si="3"/>
        <v>setlist</v>
      </c>
      <c r="D39" s="113" t="s">
        <v>1889</v>
      </c>
      <c r="E39" s="113" t="s">
        <v>1890</v>
      </c>
      <c r="F39" s="114" t="s">
        <v>1694</v>
      </c>
      <c r="G39" s="114" t="s">
        <v>36</v>
      </c>
      <c r="H39" s="116" t="str">
        <f>HYPERLINK("http://www.mediafire.com/download/0hplg5h3jg6bqie/1997-07-05_-_Piazza_Risorgimento_-_Como%2C_Italy.rar", "download link")</f>
        <v>download link</v>
      </c>
      <c r="I39" s="136" t="s">
        <v>1891</v>
      </c>
      <c r="J39" s="113" t="s">
        <v>287</v>
      </c>
    </row>
    <row r="40">
      <c r="A40" s="103">
        <v>35617.0</v>
      </c>
      <c r="B40" s="104"/>
      <c r="C40" s="105" t="str">
        <f t="shared" si="3"/>
        <v>setlist</v>
      </c>
      <c r="D40" s="106" t="s">
        <v>1892</v>
      </c>
      <c r="E40" s="106" t="s">
        <v>1893</v>
      </c>
      <c r="F40" s="107" t="s">
        <v>1694</v>
      </c>
      <c r="G40" s="107" t="s">
        <v>36</v>
      </c>
      <c r="H40" s="105" t="str">
        <f>HYPERLINK("http://www.mediafire.com/download/bm5sjgusewqa79s/1997-07-06_-_Spiaggia_di_Rivoltella_-_Desenzano%2C_Italy.rar", "download link")</f>
        <v>download link</v>
      </c>
      <c r="I40" s="134" t="s">
        <v>1894</v>
      </c>
      <c r="J40" s="106" t="s">
        <v>287</v>
      </c>
    </row>
    <row r="41">
      <c r="A41" s="110">
        <v>35620.0</v>
      </c>
      <c r="B41" s="111"/>
      <c r="C41" s="135" t="str">
        <f t="shared" si="3"/>
        <v>setlist</v>
      </c>
      <c r="D41" s="113" t="s">
        <v>1895</v>
      </c>
      <c r="E41" s="113" t="s">
        <v>1896</v>
      </c>
      <c r="F41" s="114" t="s">
        <v>980</v>
      </c>
      <c r="G41" s="114" t="s">
        <v>36</v>
      </c>
      <c r="H41" s="116" t="str">
        <f>HYPERLINK("http://www.mediafire.com/download/4fr8k5dswh13q5w/1997-07-09_-_Le_Transbordeur_-_Lyon%2C_France.rar", "download link")</f>
        <v>download link</v>
      </c>
      <c r="I41" s="136" t="s">
        <v>1897</v>
      </c>
      <c r="J41" s="80"/>
    </row>
    <row r="42">
      <c r="A42" s="103">
        <v>35621.0</v>
      </c>
      <c r="B42" s="104"/>
      <c r="C42" s="105" t="str">
        <f t="shared" si="3"/>
        <v>setlist</v>
      </c>
      <c r="D42" s="106" t="s">
        <v>1898</v>
      </c>
      <c r="E42" s="106" t="s">
        <v>1899</v>
      </c>
      <c r="F42" s="107" t="s">
        <v>980</v>
      </c>
      <c r="G42" s="107" t="s">
        <v>36</v>
      </c>
      <c r="H42" s="105" t="str">
        <f>HYPERLINK("http://www.mediafire.com/download/8jucydpkod7mutr/1997-07-10_-_Espace_Julien_-_Marseilles%2C_France.rar", "download link")</f>
        <v>download link</v>
      </c>
      <c r="I42" s="134" t="s">
        <v>1900</v>
      </c>
      <c r="J42" s="109"/>
    </row>
    <row r="43">
      <c r="A43" s="202">
        <v>35622.0</v>
      </c>
      <c r="B43" s="78"/>
      <c r="C43" s="203" t="str">
        <f t="shared" si="3"/>
        <v>setlist</v>
      </c>
      <c r="D43" s="204" t="s">
        <v>1901</v>
      </c>
      <c r="E43" s="204" t="s">
        <v>1902</v>
      </c>
      <c r="F43" s="205" t="s">
        <v>1903</v>
      </c>
      <c r="G43" s="205" t="s">
        <v>36</v>
      </c>
      <c r="H43" s="116" t="str">
        <f>HYPERLINK("http://www.mediafire.com/download/pjmf3kcg76ljaxp/1997-07-11_-_Doctor_Music_Festival_-_Escalarre%2C_Spain.rar", "download link")</f>
        <v>download link</v>
      </c>
      <c r="I43" s="206" t="s">
        <v>1594</v>
      </c>
      <c r="J43" s="82"/>
    </row>
    <row r="44">
      <c r="A44" s="92"/>
      <c r="B44" s="93"/>
      <c r="C44" s="94"/>
      <c r="D44" s="83" t="s">
        <v>1904</v>
      </c>
      <c r="E44" s="95"/>
      <c r="F44" s="93"/>
      <c r="G44" s="93"/>
      <c r="H44" s="93"/>
      <c r="I44" s="95"/>
      <c r="J44" s="95"/>
    </row>
    <row r="45">
      <c r="A45" s="125">
        <v>35632.0</v>
      </c>
      <c r="B45" s="126"/>
      <c r="C45" s="98" t="str">
        <f t="shared" ref="C45:C64" si="4">HYPERLINK("http://www.phish.net/setlists/?d="&amp;RIGHT(TEXT(A45,"mm/dd/yyyy"),4)&amp;"-"&amp;LEFT(TEXT(A45,"mm/dd/yyyy"),2)&amp;"-"&amp;MID(TEXT(A45,"mm/dd/yyyy"),4,2), "setlist")</f>
        <v>setlist</v>
      </c>
      <c r="D45" s="102" t="s">
        <v>1905</v>
      </c>
      <c r="E45" s="102" t="s">
        <v>1906</v>
      </c>
      <c r="F45" s="127" t="s">
        <v>446</v>
      </c>
      <c r="G45" s="127" t="s">
        <v>36</v>
      </c>
      <c r="H45" s="98" t="str">
        <f>HYPERLINK("http://www.mediafire.com/download/cgyai0j06wqbuwd/1997-07-21_-_Virginia_Beach_Amphitheater_-_Virginia_Beach%2C_VA.rar", "download link")</f>
        <v>download link</v>
      </c>
      <c r="I45" s="101" t="s">
        <v>1907</v>
      </c>
      <c r="J45" s="129"/>
    </row>
    <row r="46">
      <c r="A46" s="103">
        <v>35633.0</v>
      </c>
      <c r="B46" s="104"/>
      <c r="C46" s="105" t="str">
        <f t="shared" si="4"/>
        <v>setlist</v>
      </c>
      <c r="D46" s="106" t="s">
        <v>1426</v>
      </c>
      <c r="E46" s="106" t="s">
        <v>536</v>
      </c>
      <c r="F46" s="107" t="s">
        <v>443</v>
      </c>
      <c r="G46" s="107" t="s">
        <v>36</v>
      </c>
      <c r="H46" s="105" t="str">
        <f>HYPERLINK("http://www.mediafire.com/download/9g41w5993szxh1w/1997-07-22_-_Walnut_Creek_Amphitheater_-_Raleigh%2C_NC.rar", "download link")</f>
        <v>download link</v>
      </c>
      <c r="I46" s="134" t="s">
        <v>1908</v>
      </c>
      <c r="J46" s="106" t="s">
        <v>287</v>
      </c>
    </row>
    <row r="47">
      <c r="A47" s="110">
        <v>35634.0</v>
      </c>
      <c r="B47" s="111"/>
      <c r="C47" s="135" t="str">
        <f t="shared" si="4"/>
        <v>setlist</v>
      </c>
      <c r="D47" s="113" t="s">
        <v>1573</v>
      </c>
      <c r="E47" s="113" t="s">
        <v>437</v>
      </c>
      <c r="F47" s="114" t="s">
        <v>433</v>
      </c>
      <c r="G47" s="114" t="s">
        <v>36</v>
      </c>
      <c r="H47" s="135" t="str">
        <f>HYPERLINK("http://www.mediafire.com/download/0it685d7vhd2w00/1997-07-23_-_Lakewood_Amphitheatre_-_Atlanta%2C_GA.rar", "download link")</f>
        <v>download link</v>
      </c>
      <c r="I47" s="136" t="s">
        <v>1909</v>
      </c>
      <c r="J47" s="80"/>
    </row>
    <row r="48">
      <c r="A48" s="103">
        <v>35636.0</v>
      </c>
      <c r="B48" s="104"/>
      <c r="C48" s="105" t="str">
        <f t="shared" si="4"/>
        <v>setlist</v>
      </c>
      <c r="D48" s="106" t="s">
        <v>1910</v>
      </c>
      <c r="E48" s="106" t="s">
        <v>593</v>
      </c>
      <c r="F48" s="107" t="s">
        <v>589</v>
      </c>
      <c r="G48" s="107" t="s">
        <v>36</v>
      </c>
      <c r="H48" s="105" t="str">
        <f>HYPERLINK("http://www.mediafire.com/download/8aihz3d08tx7adi/1997-07-25_-_Starplex_Amphitheatre_-_Dallas%2C_TX.rar", "download link")</f>
        <v>download link</v>
      </c>
      <c r="I48" s="134" t="s">
        <v>1911</v>
      </c>
      <c r="J48" s="109"/>
    </row>
    <row r="49">
      <c r="A49" s="110">
        <v>35637.0</v>
      </c>
      <c r="B49" s="111"/>
      <c r="C49" s="135" t="str">
        <f t="shared" si="4"/>
        <v>setlist</v>
      </c>
      <c r="D49" s="113" t="s">
        <v>1912</v>
      </c>
      <c r="E49" s="113" t="s">
        <v>591</v>
      </c>
      <c r="F49" s="114" t="s">
        <v>589</v>
      </c>
      <c r="G49" s="114" t="s">
        <v>36</v>
      </c>
      <c r="H49" s="135" t="str">
        <f>HYPERLINK("http://www.mediafire.com/download/5qgjazc14ccsigp/1997-07-26_-_South_Park_Meadows_-_Austin%2C_TX.rar", "download link")</f>
        <v>download link</v>
      </c>
      <c r="I49" s="136" t="s">
        <v>1770</v>
      </c>
      <c r="J49" s="80"/>
    </row>
    <row r="50">
      <c r="A50" s="103">
        <v>35640.0</v>
      </c>
      <c r="B50" s="104"/>
      <c r="C50" s="105" t="str">
        <f t="shared" si="4"/>
        <v>setlist</v>
      </c>
      <c r="D50" s="106" t="s">
        <v>1913</v>
      </c>
      <c r="E50" s="106" t="s">
        <v>1160</v>
      </c>
      <c r="F50" s="107" t="s">
        <v>805</v>
      </c>
      <c r="G50" s="107" t="s">
        <v>36</v>
      </c>
      <c r="H50" s="105" t="str">
        <f>HYPERLINK("http://www.mediafire.com/download/gblx7maz6mztc9s/1997-07-29_-_Desert_Sky_Pavilion_-_Phoenix%2C_AZ.rar", "download link")</f>
        <v>download link</v>
      </c>
      <c r="I50" s="134" t="s">
        <v>1914</v>
      </c>
      <c r="J50" s="109"/>
    </row>
    <row r="51">
      <c r="A51" s="110">
        <v>35641.0</v>
      </c>
      <c r="B51" s="111"/>
      <c r="C51" s="116" t="str">
        <f t="shared" si="4"/>
        <v>setlist</v>
      </c>
      <c r="D51" s="113" t="s">
        <v>1915</v>
      </c>
      <c r="E51" s="113" t="s">
        <v>1168</v>
      </c>
      <c r="F51" s="114" t="s">
        <v>679</v>
      </c>
      <c r="G51" s="114" t="s">
        <v>36</v>
      </c>
      <c r="H51" s="135" t="str">
        <f>HYPERLINK("http://www.mediafire.com/download/j0mtktms0kjup1l/1997-07-30_-_Ventura_County_Fairgrounds_-_Ventura%2C_CA.rar", "download link")</f>
        <v>download link</v>
      </c>
      <c r="I51" s="136" t="s">
        <v>1916</v>
      </c>
      <c r="J51" s="80"/>
    </row>
    <row r="52">
      <c r="A52" s="103">
        <v>35642.0</v>
      </c>
      <c r="B52" s="104"/>
      <c r="C52" s="105" t="str">
        <f t="shared" si="4"/>
        <v>setlist</v>
      </c>
      <c r="D52" s="106" t="s">
        <v>1052</v>
      </c>
      <c r="E52" s="106" t="s">
        <v>1053</v>
      </c>
      <c r="F52" s="107" t="s">
        <v>679</v>
      </c>
      <c r="G52" s="107" t="s">
        <v>36</v>
      </c>
      <c r="H52" s="105" t="str">
        <f>HYPERLINK("http://www.mediafire.com/download/4ky826ceo16fos1/1997-07-31_-_Shoreline_Amphitheatre_-_Mountain_View%2C_CA.rar", "download link")</f>
        <v>download link</v>
      </c>
      <c r="I52" s="134" t="s">
        <v>1917</v>
      </c>
      <c r="J52" s="109"/>
    </row>
    <row r="53">
      <c r="A53" s="110">
        <v>35644.0</v>
      </c>
      <c r="B53" s="111"/>
      <c r="C53" s="135" t="str">
        <f t="shared" si="4"/>
        <v>setlist</v>
      </c>
      <c r="D53" s="113" t="s">
        <v>1918</v>
      </c>
      <c r="E53" s="113" t="s">
        <v>1919</v>
      </c>
      <c r="F53" s="114" t="s">
        <v>701</v>
      </c>
      <c r="G53" s="114" t="s">
        <v>36</v>
      </c>
      <c r="H53" s="135" t="str">
        <f>HYPERLINK("http://www.mediafire.com/download/gi098cx92e90bru/1997-08-02_-_Gorge_Amphitheatre_-_George%2C_WA.rar", "download link")</f>
        <v>download link</v>
      </c>
      <c r="I53" s="136" t="s">
        <v>1192</v>
      </c>
      <c r="J53" s="80"/>
    </row>
    <row r="54">
      <c r="A54" s="103">
        <v>35645.0</v>
      </c>
      <c r="B54" s="104"/>
      <c r="C54" s="105" t="str">
        <f t="shared" si="4"/>
        <v>setlist</v>
      </c>
      <c r="D54" s="106" t="s">
        <v>1918</v>
      </c>
      <c r="E54" s="106" t="s">
        <v>1919</v>
      </c>
      <c r="F54" s="107" t="s">
        <v>701</v>
      </c>
      <c r="G54" s="107" t="s">
        <v>36</v>
      </c>
      <c r="H54" s="105" t="str">
        <f>HYPERLINK("http://www.mediafire.com/download/7d1gv8kyts6bds5/1997-08-03_-_Gorge_Amphitheatre_-_George%2C_WA.rar", "download link")</f>
        <v>download link</v>
      </c>
      <c r="I54" s="134" t="s">
        <v>1192</v>
      </c>
      <c r="J54" s="109"/>
    </row>
    <row r="55">
      <c r="A55" s="110">
        <v>35648.0</v>
      </c>
      <c r="B55" s="111"/>
      <c r="C55" s="135" t="str">
        <f t="shared" si="4"/>
        <v>setlist</v>
      </c>
      <c r="D55" s="113" t="s">
        <v>1028</v>
      </c>
      <c r="E55" s="113" t="s">
        <v>1569</v>
      </c>
      <c r="F55" s="114" t="s">
        <v>886</v>
      </c>
      <c r="G55" s="114" t="s">
        <v>36</v>
      </c>
      <c r="H55" s="135" t="str">
        <f>HYPERLINK("http://www.mediafire.com/download/nbuj6ppuurwz8pk/1997-08-06_-_Riverport_Amphitheater_-_Maryland_Heights%2C_MO.rar", "download link")</f>
        <v>download link</v>
      </c>
      <c r="I55" s="136" t="s">
        <v>1920</v>
      </c>
      <c r="J55" s="80"/>
    </row>
    <row r="56">
      <c r="A56" s="103">
        <v>35650.0</v>
      </c>
      <c r="B56" s="104"/>
      <c r="C56" s="105" t="str">
        <f t="shared" si="4"/>
        <v>setlist</v>
      </c>
      <c r="D56" s="106" t="s">
        <v>1921</v>
      </c>
      <c r="E56" s="106" t="s">
        <v>1292</v>
      </c>
      <c r="F56" s="107" t="s">
        <v>480</v>
      </c>
      <c r="G56" s="107" t="s">
        <v>36</v>
      </c>
      <c r="H56" s="105" t="str">
        <f>HYPERLINK("http://www.mediafire.com/download/f5v5ozcrg1cegef/1997-08-08_-_New_World_Music_Theatre_-_Tinley_Park%2C_IL.rar", "download link")</f>
        <v>download link</v>
      </c>
      <c r="I56" s="134" t="s">
        <v>1922</v>
      </c>
      <c r="J56" s="109"/>
    </row>
    <row r="57">
      <c r="A57" s="110">
        <v>35651.0</v>
      </c>
      <c r="B57" s="111"/>
      <c r="C57" s="135" t="str">
        <f t="shared" si="4"/>
        <v>setlist</v>
      </c>
      <c r="D57" s="113" t="s">
        <v>1737</v>
      </c>
      <c r="E57" s="113" t="s">
        <v>1738</v>
      </c>
      <c r="F57" s="114" t="s">
        <v>483</v>
      </c>
      <c r="G57" s="114" t="s">
        <v>36</v>
      </c>
      <c r="H57" s="135" t="str">
        <f>HYPERLINK("http://www.mediafire.com/download/cno64xf197h5p2d/1997-08-09_-_Alpine_Valley_Music_Theatre_-_East_Troy%2C_WI.rar", "download link")</f>
        <v>download link</v>
      </c>
      <c r="I57" s="136" t="s">
        <v>1192</v>
      </c>
      <c r="J57" s="80"/>
    </row>
    <row r="58">
      <c r="A58" s="103">
        <v>35652.0</v>
      </c>
      <c r="B58" s="104"/>
      <c r="C58" s="105" t="str">
        <f t="shared" si="4"/>
        <v>setlist</v>
      </c>
      <c r="D58" s="106" t="s">
        <v>1578</v>
      </c>
      <c r="E58" s="106" t="s">
        <v>1579</v>
      </c>
      <c r="F58" s="107" t="s">
        <v>508</v>
      </c>
      <c r="G58" s="107" t="s">
        <v>36</v>
      </c>
      <c r="H58" s="105" t="str">
        <f>HYPERLINK("http://www.mediafire.com/download/kue74g24ihnk0la/1997-08-10_-_Deer_Creek_Music_Center_-_Noblesville%2C_IN.rar", "download link")</f>
        <v>download link</v>
      </c>
      <c r="I58" s="134" t="s">
        <v>1923</v>
      </c>
      <c r="J58" s="109"/>
    </row>
    <row r="59">
      <c r="A59" s="110">
        <v>35653.0</v>
      </c>
      <c r="B59" s="111"/>
      <c r="C59" s="135" t="str">
        <f t="shared" si="4"/>
        <v>setlist</v>
      </c>
      <c r="D59" s="113" t="s">
        <v>1578</v>
      </c>
      <c r="E59" s="113" t="s">
        <v>1579</v>
      </c>
      <c r="F59" s="114" t="s">
        <v>508</v>
      </c>
      <c r="G59" s="114" t="s">
        <v>36</v>
      </c>
      <c r="H59" s="135" t="str">
        <f>HYPERLINK("http://www.mediafire.com/download/32btmsw0cnr9da0/1997-08-11_-_Deer_Creek_Music_Center_-_Noblesville%2C_IN.rar", "download link")</f>
        <v>download link</v>
      </c>
      <c r="I59" s="136" t="s">
        <v>1924</v>
      </c>
      <c r="J59" s="80"/>
    </row>
    <row r="60">
      <c r="A60" s="103">
        <v>35655.0</v>
      </c>
      <c r="B60" s="104"/>
      <c r="C60" s="105" t="str">
        <f t="shared" si="4"/>
        <v>setlist</v>
      </c>
      <c r="D60" s="106" t="s">
        <v>1925</v>
      </c>
      <c r="E60" s="106" t="s">
        <v>1926</v>
      </c>
      <c r="F60" s="107" t="s">
        <v>212</v>
      </c>
      <c r="G60" s="107" t="s">
        <v>36</v>
      </c>
      <c r="H60" s="105" t="str">
        <f>HYPERLINK("http://www.mediafire.com/download/rd7mgup20clcf1w/1997-08-13_-_Star_Lake_Amphitheatre_-_Burgettstown%2C_PA.rar", "download link")</f>
        <v>download link</v>
      </c>
      <c r="I60" s="134" t="s">
        <v>1927</v>
      </c>
      <c r="J60" s="109"/>
    </row>
    <row r="61">
      <c r="A61" s="110">
        <v>35656.0</v>
      </c>
      <c r="B61" s="111"/>
      <c r="C61" s="135" t="str">
        <f t="shared" si="4"/>
        <v>setlist</v>
      </c>
      <c r="D61" s="113" t="s">
        <v>1278</v>
      </c>
      <c r="E61" s="113" t="s">
        <v>1279</v>
      </c>
      <c r="F61" s="114" t="s">
        <v>129</v>
      </c>
      <c r="G61" s="114" t="s">
        <v>36</v>
      </c>
      <c r="H61" s="135" t="str">
        <f>HYPERLINK("http://www.mediafire.com/download/jxf9fdxdaeqe3ff/1997-08-14_-_Darien_Lake_Performing_Arts_Center_-_Darien_Center%2C_NY.rar", "download link")</f>
        <v>download link</v>
      </c>
      <c r="I61" s="136" t="s">
        <v>1928</v>
      </c>
      <c r="J61" s="80"/>
    </row>
    <row r="62">
      <c r="A62" s="103">
        <v>35658.0</v>
      </c>
      <c r="B62" s="107" t="s">
        <v>32</v>
      </c>
      <c r="C62" s="105" t="str">
        <f t="shared" si="4"/>
        <v>setlist</v>
      </c>
      <c r="D62" s="106" t="s">
        <v>1929</v>
      </c>
      <c r="E62" s="106" t="s">
        <v>1930</v>
      </c>
      <c r="F62" s="107" t="s">
        <v>257</v>
      </c>
      <c r="G62" s="107" t="s">
        <v>36</v>
      </c>
      <c r="H62" s="105" t="str">
        <f>HYPERLINK("http://www.mediafire.com/download/k27lh8da2ldlt1o/1997-08-16_-_The_Great_Went_-_Loring_Air_Force_Base_-_Limestone%2C_ME.rar", "download link")</f>
        <v>download link</v>
      </c>
      <c r="I62" s="134" t="s">
        <v>1931</v>
      </c>
      <c r="J62" s="109"/>
    </row>
    <row r="63">
      <c r="A63" s="110">
        <v>35659.0</v>
      </c>
      <c r="B63" s="111"/>
      <c r="C63" s="135" t="str">
        <f t="shared" si="4"/>
        <v>setlist</v>
      </c>
      <c r="D63" s="136" t="s">
        <v>1932</v>
      </c>
      <c r="E63" s="113" t="s">
        <v>1930</v>
      </c>
      <c r="F63" s="114" t="s">
        <v>257</v>
      </c>
      <c r="G63" s="114" t="s">
        <v>36</v>
      </c>
      <c r="H63" s="135" t="str">
        <f>HYPERLINK("http://www.mediafire.com/download/f3ebt94weet646z/1997-08-17_-_The_Great_Went_-_Disco_Set_-_Limestone%2C_ME.rar", "download link")</f>
        <v>download link</v>
      </c>
      <c r="I63" s="136" t="s">
        <v>1933</v>
      </c>
      <c r="J63" s="80"/>
    </row>
    <row r="64">
      <c r="A64" s="186">
        <v>35659.0</v>
      </c>
      <c r="B64" s="120" t="s">
        <v>32</v>
      </c>
      <c r="C64" s="123" t="str">
        <f t="shared" si="4"/>
        <v>setlist</v>
      </c>
      <c r="D64" s="122" t="s">
        <v>1929</v>
      </c>
      <c r="E64" s="122" t="s">
        <v>1930</v>
      </c>
      <c r="F64" s="120" t="s">
        <v>257</v>
      </c>
      <c r="G64" s="120" t="s">
        <v>36</v>
      </c>
      <c r="H64" s="105" t="str">
        <f>HYPERLINK("http://www.mediafire.com/download/w7c20fhz0abt0kq/1997-08-17_-_The_Great_Went_-_Loring_Air_Force_Base_-_Limestone%2C_ME.rar", "download link")</f>
        <v>download link</v>
      </c>
      <c r="I64" s="137" t="s">
        <v>1934</v>
      </c>
      <c r="J64" s="189"/>
    </row>
    <row r="65">
      <c r="A65" s="92"/>
      <c r="B65" s="93"/>
      <c r="C65" s="94"/>
      <c r="D65" s="83" t="s">
        <v>1935</v>
      </c>
      <c r="E65" s="95"/>
      <c r="F65" s="93"/>
      <c r="G65" s="93"/>
      <c r="H65" s="224"/>
      <c r="I65" s="95"/>
      <c r="J65" s="95"/>
    </row>
    <row r="66">
      <c r="A66" s="190">
        <v>35741.0</v>
      </c>
      <c r="B66" s="241"/>
      <c r="C66" s="98" t="str">
        <f t="shared" ref="C66:C87" si="5">HYPERLINK("http://www.phish.net/setlists/?d="&amp;RIGHT(TEXT(A66,"mm/dd/yyyy"),4)&amp;"-"&amp;LEFT(TEXT(A66,"mm/dd/yyyy"),2)&amp;"-"&amp;MID(TEXT(A66,"mm/dd/yyyy"),4,2), "setlist")</f>
        <v>setlist</v>
      </c>
      <c r="D66" s="192" t="s">
        <v>1936</v>
      </c>
      <c r="E66" s="192" t="s">
        <v>162</v>
      </c>
      <c r="F66" s="191" t="s">
        <v>129</v>
      </c>
      <c r="G66" s="191" t="s">
        <v>36</v>
      </c>
      <c r="H66" s="178" t="str">
        <f>HYPERLINK("http://www.mediafire.com/download/dzh0djik46btmso/1997-11-07_-_NBC_Television_Studios%2C_Studio_6A_-_New_York%2C_NY.rar", "download link")</f>
        <v>download link</v>
      </c>
      <c r="I66" s="193" t="s">
        <v>1937</v>
      </c>
      <c r="J66" s="194"/>
    </row>
    <row r="67">
      <c r="A67" s="103">
        <v>35747.0</v>
      </c>
      <c r="B67" s="104"/>
      <c r="C67" s="105" t="str">
        <f t="shared" si="5"/>
        <v>setlist</v>
      </c>
      <c r="D67" s="106" t="s">
        <v>1938</v>
      </c>
      <c r="E67" s="106" t="s">
        <v>1804</v>
      </c>
      <c r="F67" s="107" t="s">
        <v>1805</v>
      </c>
      <c r="G67" s="107" t="s">
        <v>36</v>
      </c>
      <c r="H67" s="105" t="str">
        <f>HYPERLINK("http://www.mediafire.com/download/vnnpkflbj0iutbk/1997-11-13_-_Thomas_%26_Mack_Center_-_Las_Vegas%2C_NV.rar", "download link")</f>
        <v>download link</v>
      </c>
      <c r="I67" s="134" t="s">
        <v>1665</v>
      </c>
      <c r="J67" s="109"/>
    </row>
    <row r="68">
      <c r="A68" s="142">
        <v>35748.0</v>
      </c>
      <c r="B68" s="144"/>
      <c r="C68" s="135" t="str">
        <f t="shared" si="5"/>
        <v>setlist</v>
      </c>
      <c r="D68" s="118" t="s">
        <v>1939</v>
      </c>
      <c r="E68" s="118" t="s">
        <v>1940</v>
      </c>
      <c r="F68" s="115" t="s">
        <v>1302</v>
      </c>
      <c r="G68" s="115" t="s">
        <v>36</v>
      </c>
      <c r="H68" s="116" t="str">
        <f>HYPERLINK("http://www.mediafire.com/download/560u00n3u0v7319/1997-11-14_-_The_%27E%27_Center_-_West_Valley_City%2C_UT.rar", "download link")</f>
        <v>download link</v>
      </c>
      <c r="I68" s="117" t="s">
        <v>1651</v>
      </c>
      <c r="J68" s="146"/>
    </row>
    <row r="69">
      <c r="A69" s="103">
        <v>35750.0</v>
      </c>
      <c r="B69" s="104"/>
      <c r="C69" s="105" t="str">
        <f t="shared" si="5"/>
        <v>setlist</v>
      </c>
      <c r="D69" s="106" t="s">
        <v>1941</v>
      </c>
      <c r="E69" s="106" t="s">
        <v>499</v>
      </c>
      <c r="F69" s="107" t="s">
        <v>203</v>
      </c>
      <c r="G69" s="107" t="s">
        <v>36</v>
      </c>
      <c r="H69" s="105" t="str">
        <f>HYPERLINK("http://www.mediafire.com/download/vbh415ynw11f211/1997-11-16_-_McNichols_Arena_-_Denver%2C_CO.rar", "download link")</f>
        <v>download link</v>
      </c>
      <c r="I69" s="134" t="s">
        <v>1942</v>
      </c>
      <c r="J69" s="109"/>
    </row>
    <row r="70">
      <c r="A70" s="142">
        <v>35751.0</v>
      </c>
      <c r="B70" s="144"/>
      <c r="C70" s="135" t="str">
        <f t="shared" si="5"/>
        <v>setlist</v>
      </c>
      <c r="D70" s="118" t="s">
        <v>1941</v>
      </c>
      <c r="E70" s="118" t="s">
        <v>499</v>
      </c>
      <c r="F70" s="115" t="s">
        <v>203</v>
      </c>
      <c r="G70" s="115" t="s">
        <v>36</v>
      </c>
      <c r="H70" s="116" t="str">
        <f>HYPERLINK("http://www.mediafire.com/download/h4hson5q69a902f/1997-11-17_-_McNichols_Arena_-_Denver%2C_CO.rar", "download link")</f>
        <v>download link</v>
      </c>
      <c r="I70" s="117" t="s">
        <v>1943</v>
      </c>
      <c r="J70" s="146"/>
    </row>
    <row r="71">
      <c r="A71" s="103">
        <v>35753.0</v>
      </c>
      <c r="B71" s="104"/>
      <c r="C71" s="105" t="str">
        <f t="shared" si="5"/>
        <v>setlist</v>
      </c>
      <c r="D71" s="106" t="s">
        <v>1622</v>
      </c>
      <c r="E71" s="106" t="s">
        <v>781</v>
      </c>
      <c r="F71" s="107" t="s">
        <v>480</v>
      </c>
      <c r="G71" s="107" t="s">
        <v>36</v>
      </c>
      <c r="H71" s="105" t="str">
        <f>HYPERLINK("http://www.mediafire.com/download/nvarwxzzfwityc0/1997-11-19_-_Assembly_Hall%2C_University_of_Illinois_-_Champaign%2C_IL.rar", "download link")</f>
        <v>download link</v>
      </c>
      <c r="I71" s="134" t="s">
        <v>1944</v>
      </c>
      <c r="J71" s="109"/>
    </row>
    <row r="72">
      <c r="A72" s="142">
        <v>35755.0</v>
      </c>
      <c r="B72" s="144"/>
      <c r="C72" s="135" t="str">
        <f t="shared" si="5"/>
        <v>setlist</v>
      </c>
      <c r="D72" s="118" t="s">
        <v>1659</v>
      </c>
      <c r="E72" s="118" t="s">
        <v>1660</v>
      </c>
      <c r="F72" s="115" t="s">
        <v>446</v>
      </c>
      <c r="G72" s="115" t="s">
        <v>36</v>
      </c>
      <c r="H72" s="116" t="str">
        <f>HYPERLINK("http://www.mediafire.com/download/1tw893zoo6ae4a1/1997-11-21_-_Hampton_Coliseum_-_Hampton%2C_VA.rar", "download link")</f>
        <v>download link</v>
      </c>
      <c r="I72" s="117" t="s">
        <v>1945</v>
      </c>
      <c r="J72" s="146"/>
    </row>
    <row r="73">
      <c r="A73" s="103">
        <v>35756.0</v>
      </c>
      <c r="B73" s="104"/>
      <c r="C73" s="105" t="str">
        <f t="shared" si="5"/>
        <v>setlist</v>
      </c>
      <c r="D73" s="106" t="s">
        <v>1659</v>
      </c>
      <c r="E73" s="106" t="s">
        <v>1660</v>
      </c>
      <c r="F73" s="107" t="s">
        <v>446</v>
      </c>
      <c r="G73" s="107" t="s">
        <v>36</v>
      </c>
      <c r="H73" s="105" t="str">
        <f>HYPERLINK("http://www.mediafire.com/download/8cfj6hmw9ulheyf/1997-11-22_-_Hampton_Coliseum_-_Hampton%2C_VA.rar", "download link")</f>
        <v>download link</v>
      </c>
      <c r="I73" s="134" t="s">
        <v>1945</v>
      </c>
      <c r="J73" s="109"/>
    </row>
    <row r="74">
      <c r="A74" s="142">
        <v>35757.0</v>
      </c>
      <c r="B74" s="144"/>
      <c r="C74" s="135" t="str">
        <f t="shared" si="5"/>
        <v>setlist</v>
      </c>
      <c r="D74" s="118" t="s">
        <v>1343</v>
      </c>
      <c r="E74" s="118" t="s">
        <v>879</v>
      </c>
      <c r="F74" s="115" t="s">
        <v>443</v>
      </c>
      <c r="G74" s="115" t="s">
        <v>36</v>
      </c>
      <c r="H74" s="116" t="str">
        <f>HYPERLINK("http://www.mediafire.com/download/ddn81l1m3wl8twd/1997-11-23_-_Lawrence_Joel_Veterans_Memorial_Coliseum_-_Winston-Salem%2C_NC.rar", "download link")</f>
        <v>download link</v>
      </c>
      <c r="I74" s="117" t="s">
        <v>1759</v>
      </c>
      <c r="J74" s="146"/>
    </row>
    <row r="75">
      <c r="A75" s="103">
        <v>35760.0</v>
      </c>
      <c r="B75" s="104"/>
      <c r="C75" s="105" t="str">
        <f t="shared" si="5"/>
        <v>setlist</v>
      </c>
      <c r="D75" s="106" t="s">
        <v>1758</v>
      </c>
      <c r="E75" s="106" t="s">
        <v>323</v>
      </c>
      <c r="F75" s="107" t="s">
        <v>171</v>
      </c>
      <c r="G75" s="107" t="s">
        <v>36</v>
      </c>
      <c r="H75" s="105" t="str">
        <f>HYPERLINK("http://www.mediafire.com/download/88kcly17bhvltg7/1997-11-26_-_Hartford_Civic_Center_-_Hartford%2C_CT.rar", "download link")</f>
        <v>download link</v>
      </c>
      <c r="I75" s="134" t="s">
        <v>1946</v>
      </c>
      <c r="J75" s="109"/>
    </row>
    <row r="76">
      <c r="A76" s="142">
        <v>35762.0</v>
      </c>
      <c r="B76" s="115" t="s">
        <v>32</v>
      </c>
      <c r="C76" s="135" t="str">
        <f t="shared" si="5"/>
        <v>setlist</v>
      </c>
      <c r="D76" s="118" t="s">
        <v>1315</v>
      </c>
      <c r="E76" s="118" t="s">
        <v>417</v>
      </c>
      <c r="F76" s="115" t="s">
        <v>95</v>
      </c>
      <c r="G76" s="115" t="s">
        <v>36</v>
      </c>
      <c r="H76" s="116" t="str">
        <f>HYPERLINK("http://www.mediafire.com/download/wu9phaqtiyp4zns/1997-11-28_-_Worcester_Centrum_Centre_-_Worcester%2C_MA.rar", "download link")</f>
        <v>download link</v>
      </c>
      <c r="I76" s="117" t="s">
        <v>1947</v>
      </c>
      <c r="J76" s="118"/>
    </row>
    <row r="77">
      <c r="A77" s="103">
        <v>35763.0</v>
      </c>
      <c r="B77" s="104"/>
      <c r="C77" s="105" t="str">
        <f t="shared" si="5"/>
        <v>setlist</v>
      </c>
      <c r="D77" s="106" t="s">
        <v>1315</v>
      </c>
      <c r="E77" s="106" t="s">
        <v>417</v>
      </c>
      <c r="F77" s="107" t="s">
        <v>95</v>
      </c>
      <c r="G77" s="107" t="s">
        <v>36</v>
      </c>
      <c r="H77" s="105" t="str">
        <f>HYPERLINK("http://www.mediafire.com/download/l57l5vhxy2q915p/1997-11-29_-_Worcester_Centrum_Centre_-_Worcester%2C_MA.rar", "download link")</f>
        <v>download link</v>
      </c>
      <c r="I77" s="134" t="s">
        <v>1948</v>
      </c>
      <c r="J77" s="109"/>
    </row>
    <row r="78">
      <c r="A78" s="142">
        <v>35764.0</v>
      </c>
      <c r="B78" s="144"/>
      <c r="C78" s="135" t="str">
        <f t="shared" si="5"/>
        <v>setlist</v>
      </c>
      <c r="D78" s="118" t="s">
        <v>1315</v>
      </c>
      <c r="E78" s="118" t="s">
        <v>417</v>
      </c>
      <c r="F78" s="115" t="s">
        <v>95</v>
      </c>
      <c r="G78" s="115" t="s">
        <v>36</v>
      </c>
      <c r="H78" s="116" t="str">
        <f>HYPERLINK("http://www.mediafire.com/download/o8gybkdhg76ofrc/1997-11-30_-_Worcester_Centrum_Centre_-_Worcester%2C_MA.rar", "download link")</f>
        <v>download link</v>
      </c>
      <c r="I78" s="117" t="s">
        <v>1949</v>
      </c>
      <c r="J78" s="146"/>
    </row>
    <row r="79">
      <c r="A79" s="103">
        <v>35766.0</v>
      </c>
      <c r="B79" s="104"/>
      <c r="C79" s="105" t="str">
        <f t="shared" si="5"/>
        <v>setlist</v>
      </c>
      <c r="D79" s="106" t="s">
        <v>1678</v>
      </c>
      <c r="E79" s="106" t="s">
        <v>871</v>
      </c>
      <c r="F79" s="107" t="s">
        <v>212</v>
      </c>
      <c r="G79" s="107" t="s">
        <v>36</v>
      </c>
      <c r="H79" s="105" t="str">
        <f>HYPERLINK("http://www.mediafire.com/download/bgbttasngjquvai/1997-12-02_-_CoreStates_Spectrum_-_Philadelphia%2C_PA.rar", "download link")</f>
        <v>download link</v>
      </c>
      <c r="I79" s="134" t="s">
        <v>1811</v>
      </c>
      <c r="J79" s="109"/>
    </row>
    <row r="80">
      <c r="A80" s="142">
        <v>35767.0</v>
      </c>
      <c r="B80" s="144"/>
      <c r="C80" s="135" t="str">
        <f t="shared" si="5"/>
        <v>setlist</v>
      </c>
      <c r="D80" s="118" t="s">
        <v>1678</v>
      </c>
      <c r="E80" s="118" t="s">
        <v>871</v>
      </c>
      <c r="F80" s="115" t="s">
        <v>212</v>
      </c>
      <c r="G80" s="115" t="s">
        <v>36</v>
      </c>
      <c r="H80" s="116" t="str">
        <f>HYPERLINK("http://www.mediafire.com/download/89khfhhk7d5iwfh/1997-12-03_-_CoreStates_Spectrum_-_Philadelphia%2C_PA.rar", "download link")</f>
        <v>download link</v>
      </c>
      <c r="I80" s="117" t="s">
        <v>1950</v>
      </c>
      <c r="J80" s="146"/>
    </row>
    <row r="81">
      <c r="A81" s="103">
        <v>35769.0</v>
      </c>
      <c r="B81" s="104"/>
      <c r="C81" s="105" t="str">
        <f t="shared" si="5"/>
        <v>setlist</v>
      </c>
      <c r="D81" s="106" t="s">
        <v>1673</v>
      </c>
      <c r="E81" s="106" t="s">
        <v>773</v>
      </c>
      <c r="F81" s="107" t="s">
        <v>472</v>
      </c>
      <c r="G81" s="107" t="s">
        <v>36</v>
      </c>
      <c r="H81" s="105" t="str">
        <f>HYPERLINK("http://www.mediafire.com/download/k8cga0wk5hmsh50/1997-12-05_-_CSU_Convocation_Center_-_Cleveland%2C_OH.rar", "download link")</f>
        <v>download link</v>
      </c>
      <c r="I81" s="134" t="s">
        <v>1951</v>
      </c>
      <c r="J81" s="109"/>
    </row>
    <row r="82">
      <c r="A82" s="142">
        <v>35770.0</v>
      </c>
      <c r="B82" s="144"/>
      <c r="C82" s="135" t="str">
        <f t="shared" si="5"/>
        <v>setlist</v>
      </c>
      <c r="D82" s="118" t="s">
        <v>1630</v>
      </c>
      <c r="E82" s="118" t="s">
        <v>1631</v>
      </c>
      <c r="F82" s="115" t="s">
        <v>712</v>
      </c>
      <c r="G82" s="115" t="s">
        <v>36</v>
      </c>
      <c r="H82" s="116" t="str">
        <f>HYPERLINK("http://www.mediafire.com/download/tns9nd6cb7nek02/1997-12-06_-_The_Palace_-_Aubrun_Hills%2C_MI.rar", "download link")</f>
        <v>download link</v>
      </c>
      <c r="I82" s="117" t="s">
        <v>1952</v>
      </c>
      <c r="J82" s="146"/>
    </row>
    <row r="83">
      <c r="A83" s="103">
        <v>35771.0</v>
      </c>
      <c r="B83" s="104"/>
      <c r="C83" s="105" t="str">
        <f t="shared" si="5"/>
        <v>setlist</v>
      </c>
      <c r="D83" s="106" t="s">
        <v>1664</v>
      </c>
      <c r="E83" s="106" t="s">
        <v>477</v>
      </c>
      <c r="F83" s="107" t="s">
        <v>472</v>
      </c>
      <c r="G83" s="107" t="s">
        <v>36</v>
      </c>
      <c r="H83" s="105" t="str">
        <f>HYPERLINK("http://www.mediafire.com/file/36lk5lop1idg76y/1997-12-07_-_Ervin_J._Nutter_Center%252C_Wright_State_University_-_Dayton%252C_OH.rar/file", "download link")</f>
        <v>download link</v>
      </c>
      <c r="I83" s="134" t="s">
        <v>1953</v>
      </c>
      <c r="J83" s="134" t="s">
        <v>287</v>
      </c>
    </row>
    <row r="84">
      <c r="A84" s="142">
        <v>35773.0</v>
      </c>
      <c r="B84" s="144"/>
      <c r="C84" s="135" t="str">
        <f t="shared" si="5"/>
        <v>setlist</v>
      </c>
      <c r="D84" s="118" t="s">
        <v>1750</v>
      </c>
      <c r="E84" s="118" t="s">
        <v>1751</v>
      </c>
      <c r="F84" s="115" t="s">
        <v>212</v>
      </c>
      <c r="G84" s="115" t="s">
        <v>36</v>
      </c>
      <c r="H84" s="116" t="str">
        <f>HYPERLINK("http://www.mediafire.com/download/odyu63awuxgt439/1997-12-09_-_Bryce_Jordan_Center%2C_Penn_State_University_-_State_College%2C_PA.rar", "download link")</f>
        <v>download link</v>
      </c>
      <c r="I84" s="117" t="s">
        <v>1954</v>
      </c>
      <c r="J84" s="146"/>
    </row>
    <row r="85">
      <c r="A85" s="103">
        <v>35775.0</v>
      </c>
      <c r="B85" s="107" t="s">
        <v>32</v>
      </c>
      <c r="C85" s="105" t="str">
        <f t="shared" si="5"/>
        <v>setlist</v>
      </c>
      <c r="D85" s="106" t="s">
        <v>1955</v>
      </c>
      <c r="E85" s="106" t="s">
        <v>718</v>
      </c>
      <c r="F85" s="107" t="s">
        <v>129</v>
      </c>
      <c r="G85" s="107" t="s">
        <v>36</v>
      </c>
      <c r="H85" s="105" t="str">
        <f>HYPERLINK("http://www.mediafire.com/download/n2hp1rf0memcb7z/1997-12-11_-_Rochester_War_Memorial_-_Rochester%2C_NY.rar", "download link")</f>
        <v>download link</v>
      </c>
      <c r="I85" s="134" t="s">
        <v>1956</v>
      </c>
      <c r="J85" s="106" t="s">
        <v>287</v>
      </c>
    </row>
    <row r="86">
      <c r="A86" s="142">
        <v>35776.0</v>
      </c>
      <c r="B86" s="144"/>
      <c r="C86" s="135" t="str">
        <f t="shared" si="5"/>
        <v>setlist</v>
      </c>
      <c r="D86" s="118" t="s">
        <v>1957</v>
      </c>
      <c r="E86" s="118" t="s">
        <v>309</v>
      </c>
      <c r="F86" s="115" t="s">
        <v>129</v>
      </c>
      <c r="G86" s="115" t="s">
        <v>36</v>
      </c>
      <c r="H86" s="116" t="str">
        <f>HYPERLINK("http://www.mediafire.com/download/2ed4da8wn3w1a52/1997-12-12_-_Pepsi_Arena_-_Albany%2C_NY.rar", "download link")</f>
        <v>download link</v>
      </c>
      <c r="I86" s="117" t="s">
        <v>1958</v>
      </c>
      <c r="J86" s="146"/>
    </row>
    <row r="87">
      <c r="A87" s="186">
        <v>35777.0</v>
      </c>
      <c r="B87" s="187"/>
      <c r="C87" s="123" t="str">
        <f t="shared" si="5"/>
        <v>setlist</v>
      </c>
      <c r="D87" s="122" t="s">
        <v>1957</v>
      </c>
      <c r="E87" s="122" t="s">
        <v>309</v>
      </c>
      <c r="F87" s="120" t="s">
        <v>129</v>
      </c>
      <c r="G87" s="120" t="s">
        <v>36</v>
      </c>
      <c r="H87" s="105" t="str">
        <f>HYPERLINK("http://www.mediafire.com/download/jstxeu41wgs2r71/1997-12-13_-_Pepsi_Arena_-_Albany%2C_NY.rar", "download link")</f>
        <v>download link</v>
      </c>
      <c r="I87" s="137" t="s">
        <v>1959</v>
      </c>
      <c r="J87" s="189"/>
    </row>
    <row r="88">
      <c r="A88" s="92"/>
      <c r="B88" s="93"/>
      <c r="C88" s="94"/>
      <c r="D88" s="83" t="s">
        <v>1960</v>
      </c>
      <c r="E88" s="95"/>
      <c r="F88" s="93"/>
      <c r="G88" s="93"/>
      <c r="H88" s="93"/>
      <c r="I88" s="95"/>
      <c r="J88" s="95"/>
    </row>
    <row r="89">
      <c r="A89" s="96">
        <v>35792.0</v>
      </c>
      <c r="B89" s="242"/>
      <c r="C89" s="98" t="str">
        <f t="shared" ref="C89:C92" si="6">HYPERLINK("http://www.phish.net/setlists/?d="&amp;RIGHT(TEXT(A89,"mm/dd/yyyy"),4)&amp;"-"&amp;LEFT(TEXT(A89,"mm/dd/yyyy"),2)&amp;"-"&amp;MID(TEXT(A89,"mm/dd/yyyy"),4,2), "setlist")</f>
        <v>setlist</v>
      </c>
      <c r="D89" s="100" t="s">
        <v>1654</v>
      </c>
      <c r="E89" s="100" t="s">
        <v>1655</v>
      </c>
      <c r="F89" s="97" t="s">
        <v>397</v>
      </c>
      <c r="G89" s="97" t="s">
        <v>36</v>
      </c>
      <c r="H89" s="116" t="str">
        <f>HYPERLINK("http://www.mediafire.com/download/pno3du3504bea5b/1997-12-28_-_USAir_Arena_-_Landover%2C_MD.rar", "download link")</f>
        <v>download link</v>
      </c>
      <c r="I89" s="101" t="s">
        <v>1961</v>
      </c>
      <c r="J89" s="129"/>
    </row>
    <row r="90">
      <c r="A90" s="103">
        <v>35793.0</v>
      </c>
      <c r="B90" s="104"/>
      <c r="C90" s="105" t="str">
        <f t="shared" si="6"/>
        <v>setlist</v>
      </c>
      <c r="D90" s="106" t="s">
        <v>1553</v>
      </c>
      <c r="E90" s="106" t="s">
        <v>162</v>
      </c>
      <c r="F90" s="107" t="s">
        <v>129</v>
      </c>
      <c r="G90" s="107" t="s">
        <v>36</v>
      </c>
      <c r="H90" s="105" t="str">
        <f>HYPERLINK("http://www.mediafire.com/download/ne84ms9aorz5y89/1997-12-29_-_Madison_Square_Garden_-_New_York%2C_NY.rar", "download link")</f>
        <v>download link</v>
      </c>
      <c r="I90" s="134" t="s">
        <v>1962</v>
      </c>
      <c r="J90" s="109"/>
    </row>
    <row r="91">
      <c r="A91" s="110">
        <v>35794.0</v>
      </c>
      <c r="B91" s="111"/>
      <c r="C91" s="135" t="str">
        <f t="shared" si="6"/>
        <v>setlist</v>
      </c>
      <c r="D91" s="113" t="s">
        <v>1553</v>
      </c>
      <c r="E91" s="113" t="s">
        <v>162</v>
      </c>
      <c r="F91" s="114" t="s">
        <v>129</v>
      </c>
      <c r="G91" s="114" t="s">
        <v>36</v>
      </c>
      <c r="H91" s="116" t="str">
        <f>HYPERLINK("http://www.mediafire.com/download/2zsm1nu66o4g1w5/1997-12-30_-_Madison_Square_Garden_-_New_York%2C_NY.rar", "download link")</f>
        <v>download link</v>
      </c>
      <c r="I91" s="136" t="s">
        <v>1958</v>
      </c>
      <c r="J91" s="80"/>
    </row>
    <row r="92">
      <c r="A92" s="103">
        <v>35795.0</v>
      </c>
      <c r="B92" s="104"/>
      <c r="C92" s="105" t="str">
        <f t="shared" si="6"/>
        <v>setlist</v>
      </c>
      <c r="D92" s="106" t="s">
        <v>1553</v>
      </c>
      <c r="E92" s="106" t="s">
        <v>162</v>
      </c>
      <c r="F92" s="107" t="s">
        <v>129</v>
      </c>
      <c r="G92" s="107" t="s">
        <v>36</v>
      </c>
      <c r="H92" s="105" t="str">
        <f>HYPERLINK("http://www.mediafire.com/download/yvha4ua4d25cltq/1997-12-31_-_Madison_Square_Garden_-_New_York%2C_NY.rar", "download link")</f>
        <v>download link</v>
      </c>
      <c r="I92" s="134" t="s">
        <v>1963</v>
      </c>
      <c r="J92" s="10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85.75"/>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3"/>
      <c r="J2" s="83" t="s">
        <v>31</v>
      </c>
    </row>
    <row r="3">
      <c r="A3" s="86"/>
      <c r="B3" s="87"/>
      <c r="C3" s="87"/>
      <c r="D3" s="87"/>
      <c r="E3" s="87"/>
      <c r="F3" s="87"/>
      <c r="G3" s="87"/>
      <c r="H3" s="87"/>
      <c r="I3" s="89"/>
      <c r="J3" s="89"/>
    </row>
    <row r="4">
      <c r="A4" s="92"/>
      <c r="B4" s="93"/>
      <c r="C4" s="238"/>
      <c r="D4" s="83" t="s">
        <v>1964</v>
      </c>
      <c r="E4" s="93"/>
      <c r="F4" s="93"/>
      <c r="G4" s="93"/>
      <c r="H4" s="65"/>
      <c r="I4" s="95"/>
      <c r="J4" s="95"/>
    </row>
    <row r="5">
      <c r="A5" s="125">
        <v>35887.0</v>
      </c>
      <c r="B5" s="126"/>
      <c r="C5" s="98" t="str">
        <f t="shared" ref="C5:C8" si="1">HYPERLINK("http://www.phish.net/setlists/?d="&amp;RIGHT(TEXT(A5,"mm/dd/yyyy"),4)&amp;"-"&amp;LEFT(TEXT(A5,"mm/dd/yyyy"),2)&amp;"-"&amp;MID(TEXT(A5,"mm/dd/yyyy"),4,2), "setlist")</f>
        <v>setlist</v>
      </c>
      <c r="D5" s="102" t="s">
        <v>1965</v>
      </c>
      <c r="E5" s="102" t="s">
        <v>1966</v>
      </c>
      <c r="F5" s="127" t="s">
        <v>129</v>
      </c>
      <c r="G5" s="127" t="s">
        <v>36</v>
      </c>
      <c r="H5" s="116" t="str">
        <f>HYPERLINK("http://www.mediafire.com/download/bp5fessqdc7mdpl/1998-04-02_-_Nassau_Coliseum_-_Uniondale%2C_NY.rar", "download link")</f>
        <v>download link</v>
      </c>
      <c r="I5" s="101" t="s">
        <v>1958</v>
      </c>
      <c r="J5" s="129"/>
    </row>
    <row r="6">
      <c r="A6" s="103">
        <v>35888.0</v>
      </c>
      <c r="B6" s="104"/>
      <c r="C6" s="105" t="str">
        <f t="shared" si="1"/>
        <v>setlist</v>
      </c>
      <c r="D6" s="106" t="s">
        <v>1965</v>
      </c>
      <c r="E6" s="106" t="s">
        <v>1966</v>
      </c>
      <c r="F6" s="107" t="s">
        <v>129</v>
      </c>
      <c r="G6" s="107" t="s">
        <v>36</v>
      </c>
      <c r="H6" s="105" t="str">
        <f>HYPERLINK("http://www.mediafire.com/download/kfi28k8hq1qq69w/1998-04-03_-_Nassau_Coliseum_-_Uniondale%2C_NY.rar", "download link")</f>
        <v>download link</v>
      </c>
      <c r="I6" s="134" t="s">
        <v>1967</v>
      </c>
      <c r="J6" s="109"/>
    </row>
    <row r="7">
      <c r="A7" s="110">
        <v>35889.0</v>
      </c>
      <c r="B7" s="111"/>
      <c r="C7" s="135" t="str">
        <f t="shared" si="1"/>
        <v>setlist</v>
      </c>
      <c r="D7" s="113" t="s">
        <v>1549</v>
      </c>
      <c r="E7" s="113" t="s">
        <v>297</v>
      </c>
      <c r="F7" s="114" t="s">
        <v>298</v>
      </c>
      <c r="G7" s="114" t="s">
        <v>36</v>
      </c>
      <c r="H7" s="116" t="str">
        <f>HYPERLINK("http://www.mediafire.com/download/ta2wn2ttgrwdjdd/1998-04-04_-_Providence_Civic_Center_-_Providence%2C_RI.rar", "download link")</f>
        <v>download link</v>
      </c>
      <c r="I7" s="136" t="s">
        <v>1968</v>
      </c>
      <c r="J7" s="80"/>
    </row>
    <row r="8">
      <c r="A8" s="186">
        <v>35890.0</v>
      </c>
      <c r="B8" s="187"/>
      <c r="C8" s="123" t="str">
        <f t="shared" si="1"/>
        <v>setlist</v>
      </c>
      <c r="D8" s="122" t="s">
        <v>1549</v>
      </c>
      <c r="E8" s="122" t="s">
        <v>297</v>
      </c>
      <c r="F8" s="120" t="s">
        <v>298</v>
      </c>
      <c r="G8" s="120" t="s">
        <v>36</v>
      </c>
      <c r="H8" s="105" t="str">
        <f>HYPERLINK("http://www.mediafire.com/download/m9bgjq61xoiverr/1998-04-05_-_Providence_Civic_Center_-_Providence%2C_RI.rar", "download link")</f>
        <v>download link</v>
      </c>
      <c r="I8" s="137" t="s">
        <v>1969</v>
      </c>
      <c r="J8" s="189"/>
    </row>
    <row r="9">
      <c r="A9" s="92"/>
      <c r="B9" s="93"/>
      <c r="C9" s="94"/>
      <c r="D9" s="83" t="s">
        <v>1970</v>
      </c>
      <c r="E9" s="95"/>
      <c r="F9" s="93"/>
      <c r="G9" s="93"/>
      <c r="H9" s="243"/>
      <c r="I9" s="95"/>
      <c r="J9" s="95"/>
    </row>
    <row r="10">
      <c r="A10" s="125">
        <v>35922.0</v>
      </c>
      <c r="B10" s="127" t="s">
        <v>32</v>
      </c>
      <c r="C10" s="244" t="s">
        <v>40</v>
      </c>
      <c r="D10" s="102" t="s">
        <v>1971</v>
      </c>
      <c r="E10" s="102" t="s">
        <v>1972</v>
      </c>
      <c r="F10" s="127" t="s">
        <v>129</v>
      </c>
      <c r="G10" s="127" t="s">
        <v>36</v>
      </c>
      <c r="H10" s="98" t="str">
        <f>HYPERLINK("http://www.mediafire.com/download/c5286j5lsrei6z6/1998-05-07_-_Bearsville_Studios_-_Bearsville%2C_NY.rar", "download link")</f>
        <v>download link</v>
      </c>
      <c r="I10" s="101" t="s">
        <v>572</v>
      </c>
      <c r="J10" s="129"/>
    </row>
    <row r="11">
      <c r="A11" s="245"/>
      <c r="B11" s="224"/>
      <c r="C11" s="246"/>
      <c r="D11" s="84" t="s">
        <v>1973</v>
      </c>
      <c r="E11" s="247"/>
      <c r="F11" s="224"/>
      <c r="G11" s="224"/>
      <c r="H11" s="243"/>
      <c r="I11" s="247"/>
      <c r="J11" s="247"/>
    </row>
    <row r="12">
      <c r="A12" s="125">
        <v>35976.0</v>
      </c>
      <c r="B12" s="126"/>
      <c r="C12" s="98" t="str">
        <f t="shared" ref="C12:C20" si="2">HYPERLINK("http://www.phish.net/setlists/?d="&amp;RIGHT(TEXT(A12,"mm/dd/yyyy"),4)&amp;"-"&amp;LEFT(TEXT(A12,"mm/dd/yyyy"),2)&amp;"-"&amp;MID(TEXT(A12,"mm/dd/yyyy"),4,2), "setlist")</f>
        <v>setlist</v>
      </c>
      <c r="D12" s="102" t="s">
        <v>1974</v>
      </c>
      <c r="E12" s="102" t="s">
        <v>1846</v>
      </c>
      <c r="F12" s="127" t="s">
        <v>976</v>
      </c>
      <c r="G12" s="127" t="s">
        <v>36</v>
      </c>
      <c r="H12" s="98" t="str">
        <f>HYPERLINK("http://www.mediafire.com/file/9htq61vibc9ag1y/1998-06-30_-_The_Grey_Hall_-_Freetown_Christiana%252C_Copenhagen%252C_Denmark.rar/file", "download link")</f>
        <v>download link</v>
      </c>
      <c r="I12" s="101" t="s">
        <v>1975</v>
      </c>
      <c r="J12" s="101" t="s">
        <v>287</v>
      </c>
    </row>
    <row r="13">
      <c r="A13" s="103">
        <v>35977.0</v>
      </c>
      <c r="B13" s="104"/>
      <c r="C13" s="105" t="str">
        <f t="shared" si="2"/>
        <v>setlist</v>
      </c>
      <c r="D13" s="106" t="s">
        <v>1974</v>
      </c>
      <c r="E13" s="106" t="s">
        <v>1846</v>
      </c>
      <c r="F13" s="107" t="s">
        <v>976</v>
      </c>
      <c r="G13" s="107" t="s">
        <v>36</v>
      </c>
      <c r="H13" s="105" t="str">
        <f>HYPERLINK("http://www.mediafire.com/download/fe64xuvp2vtwx12/1998-07-01_-_The_Grey_Hall_-_Freetown_Christiana%2C_Copenhagen%2C_Denmark.rar", "download link")</f>
        <v>download link</v>
      </c>
      <c r="I13" s="134" t="s">
        <v>1976</v>
      </c>
      <c r="J13" s="109"/>
    </row>
    <row r="14">
      <c r="A14" s="110">
        <v>35978.0</v>
      </c>
      <c r="B14" s="111"/>
      <c r="C14" s="135" t="str">
        <f t="shared" si="2"/>
        <v>setlist</v>
      </c>
      <c r="D14" s="113" t="s">
        <v>1974</v>
      </c>
      <c r="E14" s="113" t="s">
        <v>1846</v>
      </c>
      <c r="F14" s="114" t="s">
        <v>976</v>
      </c>
      <c r="G14" s="114" t="s">
        <v>36</v>
      </c>
      <c r="H14" s="116" t="str">
        <f>HYPERLINK("http://www.mediafire.com/download/cdowv8bv6bwpii3/1998-07-02_-_The_Grey_Hall_-_Freetown_Christiana%2C_Copenhagen%2C_Denmark.rar", "download link")</f>
        <v>download link</v>
      </c>
      <c r="I14" s="136" t="s">
        <v>1976</v>
      </c>
      <c r="J14" s="80"/>
    </row>
    <row r="15">
      <c r="A15" s="103">
        <v>35979.0</v>
      </c>
      <c r="B15" s="104"/>
      <c r="C15" s="105" t="str">
        <f t="shared" si="2"/>
        <v>setlist</v>
      </c>
      <c r="D15" s="106" t="s">
        <v>1977</v>
      </c>
      <c r="E15" s="106" t="s">
        <v>1978</v>
      </c>
      <c r="F15" s="107" t="s">
        <v>976</v>
      </c>
      <c r="G15" s="107" t="s">
        <v>36</v>
      </c>
      <c r="H15" s="105" t="str">
        <f>HYPERLINK("http://www.mediafire.com/download/u8f4jm73s410gn5/1998-07-03_-_Dyrskuepladsen_-_Ringe%2C_Fyn%2C_Denmark.rar", "download link")</f>
        <v>download link</v>
      </c>
      <c r="I15" s="134" t="s">
        <v>1979</v>
      </c>
      <c r="J15" s="109"/>
    </row>
    <row r="16">
      <c r="A16" s="147">
        <v>35981.0</v>
      </c>
      <c r="B16" s="114" t="s">
        <v>32</v>
      </c>
      <c r="C16" s="135" t="str">
        <f t="shared" si="2"/>
        <v>setlist</v>
      </c>
      <c r="D16" s="149" t="s">
        <v>1980</v>
      </c>
      <c r="E16" s="149" t="s">
        <v>1865</v>
      </c>
      <c r="F16" s="148" t="s">
        <v>1866</v>
      </c>
      <c r="G16" s="114" t="s">
        <v>36</v>
      </c>
      <c r="H16" s="116" t="str">
        <f>HYPERLINK("http://www.mediafire.com/download/fvrooewkbrnh8oh/1998-07-05_-_Lucerna_Theatre_-_Prague%2C_Czech_Republic.rar", "download link")</f>
        <v>download link</v>
      </c>
      <c r="I16" s="136" t="s">
        <v>1981</v>
      </c>
      <c r="J16" s="113"/>
    </row>
    <row r="17">
      <c r="A17" s="103">
        <v>35982.0</v>
      </c>
      <c r="B17" s="104"/>
      <c r="C17" s="105" t="str">
        <f t="shared" si="2"/>
        <v>setlist</v>
      </c>
      <c r="D17" s="106" t="s">
        <v>1980</v>
      </c>
      <c r="E17" s="106" t="s">
        <v>1865</v>
      </c>
      <c r="F17" s="107" t="s">
        <v>1866</v>
      </c>
      <c r="G17" s="107" t="s">
        <v>36</v>
      </c>
      <c r="H17" s="105" t="str">
        <f>HYPERLINK("http://www.mediafire.com/download/1bpbhizfn531u1d/1998-07-06_-_Lucerna_Theatre_-_Prague%2C_Czech_Republic.rar", "download link")</f>
        <v>download link</v>
      </c>
      <c r="I17" s="134" t="s">
        <v>1976</v>
      </c>
      <c r="J17" s="109"/>
    </row>
    <row r="18">
      <c r="A18" s="110">
        <v>35984.0</v>
      </c>
      <c r="B18" s="114" t="s">
        <v>32</v>
      </c>
      <c r="C18" s="135" t="str">
        <f t="shared" si="2"/>
        <v>setlist</v>
      </c>
      <c r="D18" s="113" t="s">
        <v>1982</v>
      </c>
      <c r="E18" s="113" t="s">
        <v>1983</v>
      </c>
      <c r="F18" s="114" t="s">
        <v>1903</v>
      </c>
      <c r="G18" s="114" t="s">
        <v>36</v>
      </c>
      <c r="H18" s="116" t="str">
        <f>HYPERLINK("http://www.mediafire.com/download/7102wh2m0ipahm2/1998-07-08_-_Zeleste_-_Barcelona%2C_Spain.rar", "download link")</f>
        <v>download link</v>
      </c>
      <c r="I18" s="136" t="s">
        <v>1984</v>
      </c>
      <c r="J18" s="136" t="s">
        <v>1985</v>
      </c>
    </row>
    <row r="19">
      <c r="A19" s="103">
        <v>35985.0</v>
      </c>
      <c r="B19" s="104"/>
      <c r="C19" s="105" t="str">
        <f t="shared" si="2"/>
        <v>setlist</v>
      </c>
      <c r="D19" s="106" t="s">
        <v>1982</v>
      </c>
      <c r="E19" s="106" t="s">
        <v>1983</v>
      </c>
      <c r="F19" s="107" t="s">
        <v>1903</v>
      </c>
      <c r="G19" s="107" t="s">
        <v>36</v>
      </c>
      <c r="H19" s="105" t="str">
        <f>HYPERLINK("http://www.mediafire.com/download/o62nbdgs79o5fp9/1998-07-09_-_Zeleste_-_Barcelona%2C_Spain.rar", "download link")</f>
        <v>download link</v>
      </c>
      <c r="I19" s="134" t="s">
        <v>1976</v>
      </c>
      <c r="J19" s="109"/>
    </row>
    <row r="20">
      <c r="A20" s="202">
        <v>35986.0</v>
      </c>
      <c r="B20" s="78"/>
      <c r="C20" s="203" t="str">
        <f t="shared" si="2"/>
        <v>setlist</v>
      </c>
      <c r="D20" s="204" t="s">
        <v>1982</v>
      </c>
      <c r="E20" s="204" t="s">
        <v>1983</v>
      </c>
      <c r="F20" s="205" t="s">
        <v>1903</v>
      </c>
      <c r="G20" s="205" t="s">
        <v>36</v>
      </c>
      <c r="H20" s="116" t="str">
        <f>HYPERLINK("http://www.mediafire.com/download/f1n4fvv6erc5krt/1998-07-10_-_Zeleste_-_Barcelona%2C_Spain.rar", "download link")</f>
        <v>download link</v>
      </c>
      <c r="I20" s="206" t="s">
        <v>1986</v>
      </c>
      <c r="J20" s="82"/>
    </row>
    <row r="21">
      <c r="A21" s="92"/>
      <c r="B21" s="93"/>
      <c r="C21" s="94"/>
      <c r="D21" s="83" t="s">
        <v>1987</v>
      </c>
      <c r="E21" s="95"/>
      <c r="F21" s="93"/>
      <c r="G21" s="93"/>
      <c r="H21" s="65"/>
      <c r="I21" s="95"/>
      <c r="J21" s="95"/>
    </row>
    <row r="22">
      <c r="A22" s="125">
        <v>35991.0</v>
      </c>
      <c r="B22" s="126"/>
      <c r="C22" s="98" t="str">
        <f t="shared" ref="C22:C45" si="3">HYPERLINK("http://www.phish.net/setlists/?d="&amp;RIGHT(TEXT(A22,"mm/dd/yyyy"),4)&amp;"-"&amp;LEFT(TEXT(A22,"mm/dd/yyyy"),2)&amp;"-"&amp;MID(TEXT(A22,"mm/dd/yyyy"),4,2), "setlist")</f>
        <v>setlist</v>
      </c>
      <c r="D22" s="102" t="s">
        <v>1988</v>
      </c>
      <c r="E22" s="102" t="s">
        <v>279</v>
      </c>
      <c r="F22" s="127" t="s">
        <v>692</v>
      </c>
      <c r="G22" s="127" t="s">
        <v>36</v>
      </c>
      <c r="H22" s="178" t="str">
        <f>HYPERLINK("http://www.mediafire.com/download/2gg6xab1hego50y/1998-07-15_-_Portland_Meadows_-_Portland%2C_OR.rar", "download link")</f>
        <v>download link</v>
      </c>
      <c r="I22" s="101" t="s">
        <v>1989</v>
      </c>
      <c r="J22" s="129"/>
    </row>
    <row r="23">
      <c r="A23" s="103">
        <v>35992.0</v>
      </c>
      <c r="B23" s="104"/>
      <c r="C23" s="105" t="str">
        <f t="shared" si="3"/>
        <v>setlist</v>
      </c>
      <c r="D23" s="106" t="s">
        <v>1918</v>
      </c>
      <c r="E23" s="106" t="s">
        <v>1919</v>
      </c>
      <c r="F23" s="107" t="s">
        <v>701</v>
      </c>
      <c r="G23" s="107" t="s">
        <v>36</v>
      </c>
      <c r="H23" s="105" t="str">
        <f>HYPERLINK("http://www.mediafire.com/download/enbi8i71pbmio03/1998-07-16_-_Gorge_Amphitheatre_-_George%2C_WA.rar", "download link")</f>
        <v>download link</v>
      </c>
      <c r="I23" s="134" t="s">
        <v>1990</v>
      </c>
      <c r="J23" s="109"/>
    </row>
    <row r="24">
      <c r="A24" s="110">
        <v>35993.0</v>
      </c>
      <c r="B24" s="111"/>
      <c r="C24" s="135" t="str">
        <f t="shared" si="3"/>
        <v>setlist</v>
      </c>
      <c r="D24" s="113" t="s">
        <v>1918</v>
      </c>
      <c r="E24" s="113" t="s">
        <v>1919</v>
      </c>
      <c r="F24" s="114" t="s">
        <v>701</v>
      </c>
      <c r="G24" s="114" t="s">
        <v>36</v>
      </c>
      <c r="H24" s="116" t="str">
        <f>HYPERLINK("http://www.mediafire.com/download/29e5998puy4iyjq/1998-07-17_-_Gorge_Amphitheatre_-_George%2C_WA.rar", "download link")</f>
        <v>download link</v>
      </c>
      <c r="I24" s="136" t="s">
        <v>1991</v>
      </c>
      <c r="J24" s="80"/>
    </row>
    <row r="25">
      <c r="A25" s="103">
        <v>35995.0</v>
      </c>
      <c r="B25" s="104"/>
      <c r="C25" s="105" t="str">
        <f t="shared" si="3"/>
        <v>setlist</v>
      </c>
      <c r="D25" s="106" t="s">
        <v>1052</v>
      </c>
      <c r="E25" s="106" t="s">
        <v>1053</v>
      </c>
      <c r="F25" s="107" t="s">
        <v>679</v>
      </c>
      <c r="G25" s="107" t="s">
        <v>36</v>
      </c>
      <c r="H25" s="105" t="str">
        <f>HYPERLINK("http://www.mediafire.com/download/wi10so6nsr4u36a/1998-07-19_-_Shoreline_Amphitheatre_-_Mountain_View%2C_CA.rar", "download link")</f>
        <v>download link</v>
      </c>
      <c r="I25" s="134" t="s">
        <v>1992</v>
      </c>
      <c r="J25" s="109"/>
    </row>
    <row r="26">
      <c r="A26" s="110">
        <v>35996.0</v>
      </c>
      <c r="B26" s="111"/>
      <c r="C26" s="135" t="str">
        <f t="shared" si="3"/>
        <v>setlist</v>
      </c>
      <c r="D26" s="113" t="s">
        <v>1915</v>
      </c>
      <c r="E26" s="113" t="s">
        <v>1168</v>
      </c>
      <c r="F26" s="114" t="s">
        <v>679</v>
      </c>
      <c r="G26" s="114" t="s">
        <v>36</v>
      </c>
      <c r="H26" s="116" t="str">
        <f>HYPERLINK("http://www.mediafire.com/download/5z9waq3i4evqi6b/1998-07-20_-_Ventura_County_Fairgrounds_-_Ventura%2C_CA.rar", "download link")</f>
        <v>download link</v>
      </c>
      <c r="I26" s="136" t="s">
        <v>1993</v>
      </c>
      <c r="J26" s="80"/>
    </row>
    <row r="27">
      <c r="A27" s="103">
        <v>35997.0</v>
      </c>
      <c r="B27" s="104"/>
      <c r="C27" s="105" t="str">
        <f t="shared" si="3"/>
        <v>setlist</v>
      </c>
      <c r="D27" s="106" t="s">
        <v>1913</v>
      </c>
      <c r="E27" s="106" t="s">
        <v>1160</v>
      </c>
      <c r="F27" s="107" t="s">
        <v>805</v>
      </c>
      <c r="G27" s="107" t="s">
        <v>36</v>
      </c>
      <c r="H27" s="105" t="str">
        <f>HYPERLINK("http://www.mediafire.com/download/6b2kza56xrejkrq/1998-07-21_-_Desert_Sky_Pavilion_-_Phoenix%2C_AZ.rar", "download link")</f>
        <v>download link</v>
      </c>
      <c r="I27" s="134" t="s">
        <v>1994</v>
      </c>
      <c r="J27" s="109"/>
    </row>
    <row r="28">
      <c r="A28" s="110">
        <v>36000.0</v>
      </c>
      <c r="B28" s="114" t="s">
        <v>32</v>
      </c>
      <c r="C28" s="135" t="str">
        <f t="shared" si="3"/>
        <v>setlist</v>
      </c>
      <c r="D28" s="113" t="s">
        <v>1995</v>
      </c>
      <c r="E28" s="113" t="s">
        <v>1996</v>
      </c>
      <c r="F28" s="114" t="s">
        <v>589</v>
      </c>
      <c r="G28" s="114" t="s">
        <v>36</v>
      </c>
      <c r="H28" s="116" t="str">
        <f>HYPERLINK("http://www.mediafire.com/download/f1a8817a3g21v4l/1998-07-24_-_Cynthia_Woods_Mitchell_Pavilion_-_The_Woodlands%2C_TX.rar", "download link")</f>
        <v>download link</v>
      </c>
      <c r="I28" s="136" t="s">
        <v>1997</v>
      </c>
      <c r="J28" s="80"/>
    </row>
    <row r="29">
      <c r="A29" s="103">
        <v>36001.0</v>
      </c>
      <c r="B29" s="104"/>
      <c r="C29" s="105" t="str">
        <f t="shared" si="3"/>
        <v>setlist</v>
      </c>
      <c r="D29" s="106" t="s">
        <v>1912</v>
      </c>
      <c r="E29" s="106" t="s">
        <v>591</v>
      </c>
      <c r="F29" s="107" t="s">
        <v>589</v>
      </c>
      <c r="G29" s="107" t="s">
        <v>36</v>
      </c>
      <c r="H29" s="105" t="str">
        <f>HYPERLINK("http://www.mediafire.com/download/wz1c11tzv9y92tl/1998-07-25_-_South_Park_Meadows_-_Austin%2C_TX.rar", "download link")</f>
        <v>download link</v>
      </c>
      <c r="I29" s="134" t="s">
        <v>1998</v>
      </c>
      <c r="J29" s="109"/>
    </row>
    <row r="30">
      <c r="A30" s="110">
        <v>36002.0</v>
      </c>
      <c r="B30" s="114" t="s">
        <v>32</v>
      </c>
      <c r="C30" s="135" t="str">
        <f t="shared" si="3"/>
        <v>setlist</v>
      </c>
      <c r="D30" s="113" t="s">
        <v>1910</v>
      </c>
      <c r="E30" s="113" t="s">
        <v>593</v>
      </c>
      <c r="F30" s="114" t="s">
        <v>589</v>
      </c>
      <c r="G30" s="114" t="s">
        <v>36</v>
      </c>
      <c r="H30" s="116" t="str">
        <f>HYPERLINK("http://www.mediafire.com/download/6qy32vt2s2swknk/1998-07-26_-_Starplex_Amphitheatre_-_Dallas%2C_TX.rar", "download link")</f>
        <v>download link</v>
      </c>
      <c r="I30" s="136" t="s">
        <v>1999</v>
      </c>
      <c r="J30" s="136" t="s">
        <v>2000</v>
      </c>
    </row>
    <row r="31">
      <c r="A31" s="103">
        <v>36004.0</v>
      </c>
      <c r="B31" s="104"/>
      <c r="C31" s="105" t="str">
        <f t="shared" si="3"/>
        <v>setlist</v>
      </c>
      <c r="D31" s="106" t="s">
        <v>2001</v>
      </c>
      <c r="E31" s="106" t="s">
        <v>2002</v>
      </c>
      <c r="F31" s="107" t="s">
        <v>892</v>
      </c>
      <c r="G31" s="107" t="s">
        <v>36</v>
      </c>
      <c r="H31" s="105" t="str">
        <f>HYPERLINK("http://www.mediafire.com/download/k9pex1r7xyqe18j/1998-07-28_-_Sandstone_Amphitheatre_-_Bonner_Springs%2C_KS.rar", "download link")</f>
        <v>download link</v>
      </c>
      <c r="I31" s="134" t="s">
        <v>2003</v>
      </c>
      <c r="J31" s="109"/>
    </row>
    <row r="32">
      <c r="A32" s="110">
        <v>36005.0</v>
      </c>
      <c r="B32" s="111"/>
      <c r="C32" s="135" t="str">
        <f t="shared" si="3"/>
        <v>setlist</v>
      </c>
      <c r="D32" s="113" t="s">
        <v>1028</v>
      </c>
      <c r="E32" s="113" t="s">
        <v>1569</v>
      </c>
      <c r="F32" s="114" t="s">
        <v>886</v>
      </c>
      <c r="G32" s="114" t="s">
        <v>36</v>
      </c>
      <c r="H32" s="116" t="str">
        <f>HYPERLINK("http://www.mediafire.com/download/22lim1fw3i3aa3q/1998-07-29_-_Riverport_Amphitheater_-_Maryland_Heights%2C_MO.rar", "download link")</f>
        <v>download link</v>
      </c>
      <c r="I32" s="136" t="s">
        <v>2003</v>
      </c>
      <c r="J32" s="80"/>
    </row>
    <row r="33">
      <c r="A33" s="103">
        <v>36007.0</v>
      </c>
      <c r="B33" s="104"/>
      <c r="C33" s="105" t="str">
        <f t="shared" si="3"/>
        <v>setlist</v>
      </c>
      <c r="D33" s="106" t="s">
        <v>2004</v>
      </c>
      <c r="E33" s="106" t="s">
        <v>2005</v>
      </c>
      <c r="F33" s="107" t="s">
        <v>472</v>
      </c>
      <c r="G33" s="107" t="s">
        <v>36</v>
      </c>
      <c r="H33" s="105" t="str">
        <f>HYPERLINK("http://www.mediafire.com/download/5bbd10btly1go6d/1998-07-31_-_Polaris_Amphitheater_-_Lewis_Center%2C_OH.rar", "download link")</f>
        <v>download link</v>
      </c>
      <c r="I33" s="134" t="s">
        <v>1969</v>
      </c>
      <c r="J33" s="109"/>
    </row>
    <row r="34">
      <c r="A34" s="110">
        <v>36008.0</v>
      </c>
      <c r="B34" s="111"/>
      <c r="C34" s="135" t="str">
        <f t="shared" si="3"/>
        <v>setlist</v>
      </c>
      <c r="D34" s="113" t="s">
        <v>1737</v>
      </c>
      <c r="E34" s="113" t="s">
        <v>1738</v>
      </c>
      <c r="F34" s="114" t="s">
        <v>483</v>
      </c>
      <c r="G34" s="114" t="s">
        <v>36</v>
      </c>
      <c r="H34" s="116" t="str">
        <f>HYPERLINK("http://www.mediafire.com/download/pnxa5a5fe4mm7b0/1998-08-01_-_Alpine_Valley_Music_Theatre_-_East_Troy%2C_WI.rar", "download link")</f>
        <v>download link</v>
      </c>
      <c r="I34" s="136" t="s">
        <v>2006</v>
      </c>
      <c r="J34" s="80"/>
    </row>
    <row r="35">
      <c r="A35" s="103">
        <v>36009.0</v>
      </c>
      <c r="B35" s="104"/>
      <c r="C35" s="105" t="str">
        <f t="shared" si="3"/>
        <v>setlist</v>
      </c>
      <c r="D35" s="106" t="s">
        <v>1578</v>
      </c>
      <c r="E35" s="106" t="s">
        <v>1579</v>
      </c>
      <c r="F35" s="107" t="s">
        <v>508</v>
      </c>
      <c r="G35" s="107" t="s">
        <v>36</v>
      </c>
      <c r="H35" s="105" t="str">
        <f>HYPERLINK("http://www.mediafire.com/download/kqjeb0u23p84f0l/1998-08-02_-_Deer_Creek_Music_Center_-_Noblesville%2C_IIN.rar", "download link")</f>
        <v>download link</v>
      </c>
      <c r="I35" s="134" t="s">
        <v>1969</v>
      </c>
      <c r="J35" s="109"/>
    </row>
    <row r="36">
      <c r="A36" s="110">
        <v>36010.0</v>
      </c>
      <c r="B36" s="111"/>
      <c r="C36" s="135" t="str">
        <f t="shared" si="3"/>
        <v>setlist</v>
      </c>
      <c r="D36" s="113" t="s">
        <v>1578</v>
      </c>
      <c r="E36" s="113" t="s">
        <v>1579</v>
      </c>
      <c r="F36" s="114" t="s">
        <v>508</v>
      </c>
      <c r="G36" s="114" t="s">
        <v>36</v>
      </c>
      <c r="H36" s="116" t="str">
        <f>HYPERLINK("http://www.mediafire.com/download/2p1nghotk2ys132/1998-08-03_-_Deer_Creek_Music_Center_-_Noblesville%2C_IN.rar", "download link")</f>
        <v>download link</v>
      </c>
      <c r="I36" s="136" t="s">
        <v>1969</v>
      </c>
      <c r="J36" s="80"/>
    </row>
    <row r="37">
      <c r="A37" s="103">
        <v>36013.0</v>
      </c>
      <c r="B37" s="104"/>
      <c r="C37" s="105" t="str">
        <f t="shared" si="3"/>
        <v>setlist</v>
      </c>
      <c r="D37" s="106" t="s">
        <v>1573</v>
      </c>
      <c r="E37" s="106" t="s">
        <v>437</v>
      </c>
      <c r="F37" s="107" t="s">
        <v>433</v>
      </c>
      <c r="G37" s="107" t="s">
        <v>36</v>
      </c>
      <c r="H37" s="105" t="str">
        <f>HYPERLINK("http://www.mediafire.com/download/1804u3ihkunhogr/1998-08-06_-_Lakewood_Amphitheatre_-_Atlanta%2C_GA.rar", "download link")</f>
        <v>download link</v>
      </c>
      <c r="I37" s="134" t="s">
        <v>2007</v>
      </c>
      <c r="J37" s="109"/>
    </row>
    <row r="38">
      <c r="A38" s="110">
        <v>36014.0</v>
      </c>
      <c r="B38" s="111"/>
      <c r="C38" s="135" t="str">
        <f t="shared" si="3"/>
        <v>setlist</v>
      </c>
      <c r="D38" s="113" t="s">
        <v>1426</v>
      </c>
      <c r="E38" s="113" t="s">
        <v>536</v>
      </c>
      <c r="F38" s="114" t="s">
        <v>443</v>
      </c>
      <c r="G38" s="114" t="s">
        <v>36</v>
      </c>
      <c r="H38" s="116" t="str">
        <f>HYPERLINK("http://www.mediafire.com/download/i2uq3v6off4kihq/1998-08-07_-_Walnut_Creek_Amphitheater_-_Raleigh%2C_NC.rar", "download link")</f>
        <v>download link</v>
      </c>
      <c r="I38" s="136" t="s">
        <v>2008</v>
      </c>
      <c r="J38" s="80"/>
    </row>
    <row r="39">
      <c r="A39" s="103">
        <v>36015.0</v>
      </c>
      <c r="B39" s="107" t="s">
        <v>32</v>
      </c>
      <c r="C39" s="105" t="str">
        <f t="shared" si="3"/>
        <v>setlist</v>
      </c>
      <c r="D39" s="106" t="s">
        <v>1000</v>
      </c>
      <c r="E39" s="106" t="s">
        <v>439</v>
      </c>
      <c r="F39" s="107" t="s">
        <v>397</v>
      </c>
      <c r="G39" s="107" t="s">
        <v>36</v>
      </c>
      <c r="H39" s="105" t="str">
        <f>HYPERLINK("http://www.mediafire.com/download/8e9w82b9dt38njl/1998-08-08_-_Merriweather_Post_Pavilion_-_Columbia%2C_MD.rar", "download link")</f>
        <v>download link</v>
      </c>
      <c r="I39" s="134" t="s">
        <v>572</v>
      </c>
      <c r="J39" s="106" t="s">
        <v>287</v>
      </c>
    </row>
    <row r="40">
      <c r="A40" s="110">
        <v>36016.0</v>
      </c>
      <c r="B40" s="111"/>
      <c r="C40" s="135" t="str">
        <f t="shared" si="3"/>
        <v>setlist</v>
      </c>
      <c r="D40" s="113" t="s">
        <v>1905</v>
      </c>
      <c r="E40" s="113" t="s">
        <v>1906</v>
      </c>
      <c r="F40" s="114" t="s">
        <v>446</v>
      </c>
      <c r="G40" s="114" t="s">
        <v>36</v>
      </c>
      <c r="H40" s="116" t="str">
        <f>HYPERLINK("http://www.mediafire.com/download/v06xjovewbp55tj/1998-08-09_-_Virginia_Beach_Amphitheater_-_Virginia_Beach%2C_VA.rar", "download link")</f>
        <v>download link</v>
      </c>
      <c r="I40" s="136" t="s">
        <v>1969</v>
      </c>
      <c r="J40" s="80"/>
    </row>
    <row r="41">
      <c r="A41" s="103">
        <v>36018.0</v>
      </c>
      <c r="B41" s="104"/>
      <c r="C41" s="105" t="str">
        <f t="shared" si="3"/>
        <v>setlist</v>
      </c>
      <c r="D41" s="106" t="s">
        <v>1925</v>
      </c>
      <c r="E41" s="106" t="s">
        <v>1926</v>
      </c>
      <c r="F41" s="107" t="s">
        <v>212</v>
      </c>
      <c r="G41" s="107" t="s">
        <v>36</v>
      </c>
      <c r="H41" s="105" t="str">
        <f>HYPERLINK("http://www.mediafire.com/download/8zyhqy0ropkj068/1998-08-11_-_Star_Lake_Amphitheatre_-_Burgettstown%2C_PA.rar", "download link")</f>
        <v>download link</v>
      </c>
      <c r="I41" s="134" t="s">
        <v>2009</v>
      </c>
      <c r="J41" s="109"/>
    </row>
    <row r="42">
      <c r="A42" s="110">
        <v>36019.0</v>
      </c>
      <c r="B42" s="111"/>
      <c r="C42" s="135" t="str">
        <f t="shared" si="3"/>
        <v>setlist</v>
      </c>
      <c r="D42" s="113" t="s">
        <v>2010</v>
      </c>
      <c r="E42" s="113" t="s">
        <v>2011</v>
      </c>
      <c r="F42" s="114" t="s">
        <v>129</v>
      </c>
      <c r="G42" s="114" t="s">
        <v>36</v>
      </c>
      <c r="H42" s="116" t="str">
        <f>HYPERLINK("http://www.mediafire.com/download/zdkmp4a8dpsxmkq/1998-08-12_-_Vernon_Downs_-_Vernon%2C_NY.rar", "download link")</f>
        <v>download link</v>
      </c>
      <c r="I42" s="136" t="s">
        <v>2012</v>
      </c>
      <c r="J42" s="80"/>
    </row>
    <row r="43">
      <c r="A43" s="103">
        <v>36021.0</v>
      </c>
      <c r="B43" s="107" t="s">
        <v>32</v>
      </c>
      <c r="C43" s="105" t="str">
        <f t="shared" si="3"/>
        <v>setlist</v>
      </c>
      <c r="D43" s="106" t="s">
        <v>2013</v>
      </c>
      <c r="E43" s="106" t="s">
        <v>1930</v>
      </c>
      <c r="F43" s="107" t="s">
        <v>257</v>
      </c>
      <c r="G43" s="107" t="s">
        <v>36</v>
      </c>
      <c r="H43" s="105" t="str">
        <f>HYPERLINK("http://www.mediafire.com/download/1wbutq6zqba9pzw/1998-08-14_-_Lemonwheel_-_Soundcheck_-_Limestone%2C_ME.rar", "download link")</f>
        <v>download link</v>
      </c>
      <c r="I43" s="134" t="s">
        <v>572</v>
      </c>
      <c r="J43" s="106" t="s">
        <v>2014</v>
      </c>
    </row>
    <row r="44">
      <c r="A44" s="150">
        <v>36022.0</v>
      </c>
      <c r="B44" s="151" t="s">
        <v>32</v>
      </c>
      <c r="C44" s="116" t="str">
        <f t="shared" si="3"/>
        <v>setlist</v>
      </c>
      <c r="D44" s="153" t="s">
        <v>2015</v>
      </c>
      <c r="E44" s="153" t="s">
        <v>1930</v>
      </c>
      <c r="F44" s="151" t="s">
        <v>257</v>
      </c>
      <c r="G44" s="151">
        <v>128.0</v>
      </c>
      <c r="H44" s="116" t="str">
        <f>HYPERLINK("http://www.mediafire.com/download/az72rbcy3gl07nn/1998-08-15_-_Lemonwheel_-_Loring_Air_Force_Base_-_Limestone%2C_ME.rar", "download link")</f>
        <v>download link</v>
      </c>
      <c r="I44" s="117" t="s">
        <v>2016</v>
      </c>
      <c r="J44" s="146"/>
    </row>
    <row r="45">
      <c r="A45" s="186">
        <v>36023.0</v>
      </c>
      <c r="B45" s="120" t="s">
        <v>32</v>
      </c>
      <c r="C45" s="123" t="str">
        <f t="shared" si="3"/>
        <v>setlist</v>
      </c>
      <c r="D45" s="211" t="s">
        <v>2015</v>
      </c>
      <c r="E45" s="122" t="s">
        <v>1930</v>
      </c>
      <c r="F45" s="120" t="s">
        <v>257</v>
      </c>
      <c r="G45" s="120" t="s">
        <v>36</v>
      </c>
      <c r="H45" s="105" t="str">
        <f>HYPERLINK("http://www.mediafire.com/download/g80ll9kw6d71i5e/1998-08-16_-_Lemonwheel_-_Loring_Air_Force_Base_-_Limestone%2C_ME.rar", "download link")</f>
        <v>download link</v>
      </c>
      <c r="I45" s="137" t="s">
        <v>2016</v>
      </c>
      <c r="J45" s="122" t="s">
        <v>2017</v>
      </c>
    </row>
    <row r="46">
      <c r="A46" s="92"/>
      <c r="B46" s="93"/>
      <c r="C46" s="94"/>
      <c r="D46" s="83" t="s">
        <v>2018</v>
      </c>
      <c r="E46" s="95"/>
      <c r="F46" s="93"/>
      <c r="G46" s="93"/>
      <c r="H46" s="65"/>
      <c r="I46" s="95"/>
      <c r="J46" s="95"/>
    </row>
    <row r="47">
      <c r="A47" s="125">
        <v>36071.0</v>
      </c>
      <c r="B47" s="127" t="s">
        <v>32</v>
      </c>
      <c r="C47" s="98" t="str">
        <f t="shared" ref="C47:C75" si="4">HYPERLINK("http://www.phish.net/setlists/?d="&amp;RIGHT(TEXT(A47,"mm/dd/yyyy"),4)&amp;"-"&amp;LEFT(TEXT(A47,"mm/dd/yyyy"),2)&amp;"-"&amp;MID(TEXT(A47,"mm/dd/yyyy"),4,2), "setlist")</f>
        <v>setlist</v>
      </c>
      <c r="D47" s="102" t="s">
        <v>1921</v>
      </c>
      <c r="E47" s="102" t="s">
        <v>1292</v>
      </c>
      <c r="F47" s="127" t="s">
        <v>480</v>
      </c>
      <c r="G47" s="127" t="s">
        <v>36</v>
      </c>
      <c r="H47" s="98" t="str">
        <f>HYPERLINK("http://www.mediafire.com/download/5l5vby78ht70ctt/1998-10-03_-_New_World_Music_Theatre_-_Tinley_Park%2C_IL.rar", "download link")</f>
        <v>download link</v>
      </c>
      <c r="I47" s="101" t="s">
        <v>2019</v>
      </c>
      <c r="J47" s="102"/>
    </row>
    <row r="48">
      <c r="A48" s="103">
        <v>36083.0</v>
      </c>
      <c r="B48" s="104"/>
      <c r="C48" s="105" t="str">
        <f t="shared" si="4"/>
        <v>setlist</v>
      </c>
      <c r="D48" s="106" t="s">
        <v>2020</v>
      </c>
      <c r="E48" s="106" t="s">
        <v>683</v>
      </c>
      <c r="F48" s="107" t="s">
        <v>679</v>
      </c>
      <c r="G48" s="107" t="s">
        <v>36</v>
      </c>
      <c r="H48" s="105" t="str">
        <f>HYPERLINK("http://www.mediafire.com/download/2xqhfir2866hg4f/1998-10-15_-_The_Fillmore_-_San_Francisco%2C_CA.rar", "download link")</f>
        <v>download link</v>
      </c>
      <c r="I48" s="134" t="s">
        <v>2021</v>
      </c>
      <c r="J48" s="109"/>
    </row>
    <row r="49">
      <c r="A49" s="110">
        <v>36085.0</v>
      </c>
      <c r="B49" s="139"/>
      <c r="C49" s="135" t="str">
        <f t="shared" si="4"/>
        <v>setlist</v>
      </c>
      <c r="D49" s="113" t="s">
        <v>1052</v>
      </c>
      <c r="E49" s="113" t="s">
        <v>1053</v>
      </c>
      <c r="F49" s="114" t="s">
        <v>679</v>
      </c>
      <c r="G49" s="114" t="s">
        <v>36</v>
      </c>
      <c r="H49" s="116" t="str">
        <f>HYPERLINK("http://www.mediafire.com/download/78ccgeat3dy71u3/1998-10-17_-_Shoreline_Amphitheatre_-_Mountain_View%2C_CA.rar", "download link")</f>
        <v>download link</v>
      </c>
      <c r="I49" s="136" t="s">
        <v>2022</v>
      </c>
      <c r="J49" s="80"/>
    </row>
    <row r="50">
      <c r="A50" s="103">
        <v>36086.0</v>
      </c>
      <c r="B50" s="141"/>
      <c r="C50" s="105" t="str">
        <f t="shared" si="4"/>
        <v>setlist</v>
      </c>
      <c r="D50" s="106" t="s">
        <v>1052</v>
      </c>
      <c r="E50" s="106" t="s">
        <v>1053</v>
      </c>
      <c r="F50" s="107" t="s">
        <v>679</v>
      </c>
      <c r="G50" s="107" t="s">
        <v>36</v>
      </c>
      <c r="H50" s="105" t="str">
        <f>HYPERLINK("http://www.mediafire.com/download/v6h5oyj22j164pu/1998-10-18_-_Shoreline_Amphitheatre_-_Mountain_View%2C_CA.rar", "download link")</f>
        <v>download link</v>
      </c>
      <c r="I50" s="134" t="s">
        <v>2022</v>
      </c>
      <c r="J50" s="109"/>
    </row>
    <row r="51">
      <c r="A51" s="110">
        <v>36088.0</v>
      </c>
      <c r="B51" s="114" t="s">
        <v>32</v>
      </c>
      <c r="C51" s="135" t="str">
        <f t="shared" si="4"/>
        <v>setlist</v>
      </c>
      <c r="D51" s="113" t="s">
        <v>2023</v>
      </c>
      <c r="E51" s="113" t="s">
        <v>162</v>
      </c>
      <c r="F51" s="114" t="s">
        <v>129</v>
      </c>
      <c r="G51" s="114" t="s">
        <v>36</v>
      </c>
      <c r="H51" s="116" t="str">
        <f>HYPERLINK("http://www.mediafire.com/download/92d5xtv752z644l/1998-10-20_-_Sony_Music_Studios_-_New_York%2C_NY.rar", "download link")</f>
        <v>download link</v>
      </c>
      <c r="I51" s="136" t="s">
        <v>2024</v>
      </c>
      <c r="J51" s="80"/>
    </row>
    <row r="52">
      <c r="A52" s="103">
        <v>36095.0</v>
      </c>
      <c r="B52" s="107" t="s">
        <v>32</v>
      </c>
      <c r="C52" s="105" t="str">
        <f t="shared" si="4"/>
        <v>setlist</v>
      </c>
      <c r="D52" s="106" t="s">
        <v>1551</v>
      </c>
      <c r="E52" s="106" t="s">
        <v>162</v>
      </c>
      <c r="F52" s="107" t="s">
        <v>129</v>
      </c>
      <c r="G52" s="107" t="s">
        <v>36</v>
      </c>
      <c r="H52" s="105" t="str">
        <f>HYPERLINK("http://www.mediafire.com/download/fp2qz5nh7v6pzpt/1998-10-27_-_Ed_Sullivan_Theater_-_New_York%2C_NY.rar", "download link")</f>
        <v>download link</v>
      </c>
      <c r="I52" s="134" t="s">
        <v>1404</v>
      </c>
      <c r="J52" s="109"/>
    </row>
    <row r="53">
      <c r="A53" s="110">
        <v>36097.0</v>
      </c>
      <c r="B53" s="111"/>
      <c r="C53" s="135" t="str">
        <f t="shared" si="4"/>
        <v>setlist</v>
      </c>
      <c r="D53" s="113" t="s">
        <v>1031</v>
      </c>
      <c r="E53" s="113" t="s">
        <v>911</v>
      </c>
      <c r="F53" s="114" t="s">
        <v>679</v>
      </c>
      <c r="G53" s="114" t="s">
        <v>36</v>
      </c>
      <c r="H53" s="116" t="str">
        <f>HYPERLINK("http://www.mediafire.com/download/whc1oq4iddnd84c/1998-10-29_-_Greek_Theatre_-_Los_Angeles%2C_CA.rar", "download link")</f>
        <v>download link</v>
      </c>
      <c r="I53" s="136" t="s">
        <v>2025</v>
      </c>
      <c r="J53" s="80"/>
    </row>
    <row r="54">
      <c r="A54" s="103">
        <v>36098.0</v>
      </c>
      <c r="B54" s="104"/>
      <c r="C54" s="105" t="str">
        <f t="shared" si="4"/>
        <v>setlist</v>
      </c>
      <c r="D54" s="106" t="s">
        <v>1938</v>
      </c>
      <c r="E54" s="106" t="s">
        <v>1804</v>
      </c>
      <c r="F54" s="107" t="s">
        <v>1805</v>
      </c>
      <c r="G54" s="107" t="s">
        <v>36</v>
      </c>
      <c r="H54" s="105" t="str">
        <f>HYPERLINK("http://www.mediafire.com/download/tsep6jyw85178ka/1998-10-30_-_Thomas_%26_Mack_Center_-_Las_Vegas%2C_NV.rar", "download link")</f>
        <v>download link</v>
      </c>
      <c r="I54" s="134" t="s">
        <v>2026</v>
      </c>
      <c r="J54" s="109"/>
    </row>
    <row r="55">
      <c r="A55" s="110">
        <v>36099.0</v>
      </c>
      <c r="B55" s="111"/>
      <c r="C55" s="135" t="str">
        <f t="shared" si="4"/>
        <v>setlist</v>
      </c>
      <c r="D55" s="113" t="s">
        <v>1938</v>
      </c>
      <c r="E55" s="113" t="s">
        <v>1804</v>
      </c>
      <c r="F55" s="114" t="s">
        <v>1805</v>
      </c>
      <c r="G55" s="114" t="s">
        <v>36</v>
      </c>
      <c r="H55" s="116" t="str">
        <f>HYPERLINK("http://www.mediafire.com/download/yezy025x7ufvu84/1998-10-31_-_Thomas_%26_Mack_Center_-_Las_Vegas%2C_NV.rar", "download link")</f>
        <v>download link</v>
      </c>
      <c r="I55" s="136" t="s">
        <v>1228</v>
      </c>
      <c r="J55" s="80"/>
    </row>
    <row r="56">
      <c r="A56" s="103">
        <v>36101.0</v>
      </c>
      <c r="B56" s="104"/>
      <c r="C56" s="105" t="str">
        <f t="shared" si="4"/>
        <v>setlist</v>
      </c>
      <c r="D56" s="106" t="s">
        <v>1939</v>
      </c>
      <c r="E56" s="106" t="s">
        <v>2027</v>
      </c>
      <c r="F56" s="107" t="s">
        <v>1302</v>
      </c>
      <c r="G56" s="107" t="s">
        <v>36</v>
      </c>
      <c r="H56" s="105" t="str">
        <f>HYPERLINK("http://www.mediafire.com/download/a13g2mxudxma6xp/1998-11-02_-_The_%27E%27_Center_-_West_Valley_City%2C_UT.rar", "download link")</f>
        <v>download link</v>
      </c>
      <c r="I56" s="134" t="s">
        <v>2028</v>
      </c>
      <c r="J56" s="106"/>
    </row>
    <row r="57">
      <c r="A57" s="110">
        <v>36102.0</v>
      </c>
      <c r="B57" s="114" t="s">
        <v>32</v>
      </c>
      <c r="C57" s="135" t="str">
        <f t="shared" si="4"/>
        <v>setlist</v>
      </c>
      <c r="D57" s="113" t="s">
        <v>2029</v>
      </c>
      <c r="E57" s="113" t="s">
        <v>488</v>
      </c>
      <c r="F57" s="114" t="s">
        <v>203</v>
      </c>
      <c r="G57" s="114" t="s">
        <v>36</v>
      </c>
      <c r="H57" s="116" t="str">
        <f>HYPERLINK("http://www.mediafire.com/download/2w1v0dhdo4jjmo8/1998-11-03_-_KBCO_Studios_-_Boulder%2C_CO.rar", "download link")</f>
        <v>download link</v>
      </c>
      <c r="I57" s="136" t="s">
        <v>2030</v>
      </c>
      <c r="J57" s="80"/>
    </row>
    <row r="58">
      <c r="A58" s="103">
        <v>36103.0</v>
      </c>
      <c r="B58" s="104"/>
      <c r="C58" s="105" t="str">
        <f t="shared" si="4"/>
        <v>setlist</v>
      </c>
      <c r="D58" s="106" t="s">
        <v>1941</v>
      </c>
      <c r="E58" s="106" t="s">
        <v>499</v>
      </c>
      <c r="F58" s="107" t="s">
        <v>203</v>
      </c>
      <c r="G58" s="107" t="s">
        <v>36</v>
      </c>
      <c r="H58" s="105" t="str">
        <f>HYPERLINK("http://www.mediafire.com/download/9jf681ppqp5o05k/1998-11-04_-_McNichols_Arena_-_Denver%2C_CO.rar", "download link")</f>
        <v>download link</v>
      </c>
      <c r="I58" s="134" t="s">
        <v>2031</v>
      </c>
      <c r="J58" s="109"/>
    </row>
    <row r="59">
      <c r="A59" s="110">
        <v>36105.0</v>
      </c>
      <c r="B59" s="111"/>
      <c r="C59" s="135" t="str">
        <f t="shared" si="4"/>
        <v>setlist</v>
      </c>
      <c r="D59" s="113" t="s">
        <v>2032</v>
      </c>
      <c r="E59" s="113" t="s">
        <v>482</v>
      </c>
      <c r="F59" s="114" t="s">
        <v>483</v>
      </c>
      <c r="G59" s="114" t="s">
        <v>36</v>
      </c>
      <c r="H59" s="116" t="str">
        <f>HYPERLINK("http://www.mediafire.com/download/9i9hqz27zbrzfld/1998-11-06_-_Kohl_Center_-_Madison%2C_WI.rar", "download link")</f>
        <v>download link</v>
      </c>
      <c r="I59" s="136" t="s">
        <v>2033</v>
      </c>
      <c r="J59" s="80"/>
    </row>
    <row r="60">
      <c r="A60" s="103">
        <v>36106.0</v>
      </c>
      <c r="B60" s="104"/>
      <c r="C60" s="105" t="str">
        <f t="shared" si="4"/>
        <v>setlist</v>
      </c>
      <c r="D60" s="106" t="s">
        <v>1414</v>
      </c>
      <c r="E60" s="106" t="s">
        <v>479</v>
      </c>
      <c r="F60" s="107" t="s">
        <v>480</v>
      </c>
      <c r="G60" s="107" t="s">
        <v>36</v>
      </c>
      <c r="H60" s="105" t="str">
        <f>HYPERLINK("http://www.mediafire.com/download/5iq557nw7ng4ipv/1998-11-07_-_UIC_Pavilion%2C_University_of_Illinois_-_Chicago%2C_IL.rar", "download link")</f>
        <v>download link</v>
      </c>
      <c r="I60" s="134" t="s">
        <v>2034</v>
      </c>
      <c r="J60" s="109"/>
    </row>
    <row r="61">
      <c r="A61" s="110">
        <v>36107.0</v>
      </c>
      <c r="B61" s="111"/>
      <c r="C61" s="135" t="str">
        <f t="shared" si="4"/>
        <v>setlist</v>
      </c>
      <c r="D61" s="113" t="s">
        <v>1414</v>
      </c>
      <c r="E61" s="113" t="s">
        <v>479</v>
      </c>
      <c r="F61" s="114" t="s">
        <v>480</v>
      </c>
      <c r="G61" s="114" t="s">
        <v>36</v>
      </c>
      <c r="H61" s="116" t="str">
        <f>HYPERLINK("http://www.mediafire.com/download/no6yb1i06u6fwm3/1998-11-08_-_UIC_Pavilion%2C_University_of_Illinois_-_Chicago%2C_IL.rar", "download link")</f>
        <v>download link</v>
      </c>
      <c r="I61" s="136" t="s">
        <v>2035</v>
      </c>
      <c r="J61" s="80"/>
    </row>
    <row r="62">
      <c r="A62" s="103">
        <v>36108.0</v>
      </c>
      <c r="B62" s="104"/>
      <c r="C62" s="105" t="str">
        <f t="shared" si="4"/>
        <v>setlist</v>
      </c>
      <c r="D62" s="106" t="s">
        <v>1414</v>
      </c>
      <c r="E62" s="106" t="s">
        <v>479</v>
      </c>
      <c r="F62" s="107" t="s">
        <v>480</v>
      </c>
      <c r="G62" s="107" t="s">
        <v>36</v>
      </c>
      <c r="H62" s="105" t="str">
        <f>HYPERLINK("http://www.mediafire.com/download/h349xemj4o9djq8/1998-11-09_-_UIC_Pavilion%2C_University_of_Illinois_-_Chicago%2C_IL.rar", "download link")</f>
        <v>download link</v>
      </c>
      <c r="I62" s="134" t="s">
        <v>2035</v>
      </c>
      <c r="J62" s="109"/>
    </row>
    <row r="63">
      <c r="A63" s="110">
        <v>36110.0</v>
      </c>
      <c r="B63" s="111"/>
      <c r="C63" s="135" t="str">
        <f t="shared" si="4"/>
        <v>setlist</v>
      </c>
      <c r="D63" s="113" t="s">
        <v>1772</v>
      </c>
      <c r="E63" s="113" t="s">
        <v>1285</v>
      </c>
      <c r="F63" s="114" t="s">
        <v>712</v>
      </c>
      <c r="G63" s="114" t="s">
        <v>36</v>
      </c>
      <c r="H63" s="116" t="str">
        <f>HYPERLINK("http://www.mediafire.com/download/22o2429qtre53j0/1998-11-11_-_Van_Andel_Arena_-_Grand_Rapids%2C_MI.rar", "download link")</f>
        <v>download link</v>
      </c>
      <c r="I63" s="136" t="s">
        <v>2036</v>
      </c>
      <c r="J63" s="80"/>
    </row>
    <row r="64">
      <c r="A64" s="103">
        <v>36112.0</v>
      </c>
      <c r="B64" s="104"/>
      <c r="C64" s="105" t="str">
        <f t="shared" si="4"/>
        <v>setlist</v>
      </c>
      <c r="D64" s="106" t="s">
        <v>1673</v>
      </c>
      <c r="E64" s="106" t="s">
        <v>2037</v>
      </c>
      <c r="F64" s="107" t="s">
        <v>472</v>
      </c>
      <c r="G64" s="107" t="s">
        <v>36</v>
      </c>
      <c r="H64" s="105" t="str">
        <f>HYPERLINK("http://www.mediafire.com/download/rfg1vsfvpbz18qh/1998-11-13_-_CSU_Convocation_Center_-_Cleveland%2C_OH.rar", "download link")</f>
        <v>download link</v>
      </c>
      <c r="I64" s="134" t="s">
        <v>2038</v>
      </c>
      <c r="J64" s="109"/>
    </row>
    <row r="65">
      <c r="A65" s="110">
        <v>36113.0</v>
      </c>
      <c r="B65" s="111"/>
      <c r="C65" s="135" t="str">
        <f t="shared" si="4"/>
        <v>setlist</v>
      </c>
      <c r="D65" s="113" t="s">
        <v>2039</v>
      </c>
      <c r="E65" s="113" t="s">
        <v>943</v>
      </c>
      <c r="F65" s="114" t="s">
        <v>472</v>
      </c>
      <c r="G65" s="114" t="s">
        <v>36</v>
      </c>
      <c r="H65" s="116" t="str">
        <f>HYPERLINK("http://www.mediafire.com/download/108l2562xen4w5l/1998-11-14_-_The_Crown_-_Cincinnati%2C_OH.rar", "download link")</f>
        <v>download link</v>
      </c>
      <c r="I65" s="136" t="s">
        <v>2040</v>
      </c>
      <c r="J65" s="80"/>
    </row>
    <row r="66">
      <c r="A66" s="103">
        <v>36114.0</v>
      </c>
      <c r="B66" s="104"/>
      <c r="C66" s="105" t="str">
        <f t="shared" si="4"/>
        <v>setlist</v>
      </c>
      <c r="D66" s="106" t="s">
        <v>2041</v>
      </c>
      <c r="E66" s="106" t="s">
        <v>2042</v>
      </c>
      <c r="F66" s="107" t="s">
        <v>650</v>
      </c>
      <c r="G66" s="107" t="s">
        <v>36</v>
      </c>
      <c r="H66" s="105" t="str">
        <f>HYPERLINK("http://www.mediafire.com/download/mg8bb7zfpv32nhk/1998-11-15_-_Murphy_Center%2C_Middle_Tennessee_State_University_-_Murfreesboro%2C_TN.rar", "download link")</f>
        <v>download link</v>
      </c>
      <c r="I66" s="134" t="s">
        <v>2043</v>
      </c>
      <c r="J66" s="109"/>
    </row>
    <row r="67">
      <c r="A67" s="110">
        <v>36117.0</v>
      </c>
      <c r="B67" s="111"/>
      <c r="C67" s="135" t="str">
        <f t="shared" si="4"/>
        <v>setlist</v>
      </c>
      <c r="D67" s="113" t="s">
        <v>2044</v>
      </c>
      <c r="E67" s="113" t="s">
        <v>2045</v>
      </c>
      <c r="F67" s="114" t="s">
        <v>430</v>
      </c>
      <c r="G67" s="114" t="s">
        <v>36</v>
      </c>
      <c r="H67" s="116" t="str">
        <f>HYPERLINK("http://www.mediafire.com/download/e4ihffqw1cdofor/1998-11-18_-_BI-LO_Center_-_Greenville%2C_SC.rar", "download link")</f>
        <v>download link</v>
      </c>
      <c r="I67" s="136" t="s">
        <v>2046</v>
      </c>
      <c r="J67" s="80"/>
    </row>
    <row r="68">
      <c r="A68" s="103">
        <v>36118.0</v>
      </c>
      <c r="B68" s="104"/>
      <c r="C68" s="105" t="str">
        <f t="shared" si="4"/>
        <v>setlist</v>
      </c>
      <c r="D68" s="106" t="s">
        <v>1343</v>
      </c>
      <c r="E68" s="106" t="s">
        <v>879</v>
      </c>
      <c r="F68" s="107" t="s">
        <v>443</v>
      </c>
      <c r="G68" s="107" t="s">
        <v>36</v>
      </c>
      <c r="H68" s="105" t="str">
        <f>HYPERLINK("http://www.mediafire.com/download/9k5vyym2j6k32qh/1998-11-19_-_Lawrence_Joel_Veterans_Memorial_Coliseum_-_Winston-Salem%2C_NC.rar", "download link")</f>
        <v>download link</v>
      </c>
      <c r="I68" s="134" t="s">
        <v>2047</v>
      </c>
      <c r="J68" s="109"/>
    </row>
    <row r="69">
      <c r="A69" s="110">
        <v>36119.0</v>
      </c>
      <c r="B69" s="111"/>
      <c r="C69" s="135" t="str">
        <f t="shared" si="4"/>
        <v>setlist</v>
      </c>
      <c r="D69" s="113" t="s">
        <v>1659</v>
      </c>
      <c r="E69" s="113" t="s">
        <v>1660</v>
      </c>
      <c r="F69" s="114" t="s">
        <v>446</v>
      </c>
      <c r="G69" s="114" t="s">
        <v>36</v>
      </c>
      <c r="H69" s="116" t="str">
        <f>HYPERLINK("http://www.mediafire.com/download/pyne69m6rzqfhar/1998-11-20_-_Hampton_Coliseum_-_Hampton%2C_VA.rar", "download link")</f>
        <v>download link</v>
      </c>
      <c r="I69" s="136" t="s">
        <v>2048</v>
      </c>
      <c r="J69" s="80"/>
    </row>
    <row r="70">
      <c r="A70" s="103">
        <v>36120.0</v>
      </c>
      <c r="B70" s="104"/>
      <c r="C70" s="105" t="str">
        <f t="shared" si="4"/>
        <v>setlist</v>
      </c>
      <c r="D70" s="106" t="s">
        <v>1659</v>
      </c>
      <c r="E70" s="106" t="s">
        <v>1660</v>
      </c>
      <c r="F70" s="107" t="s">
        <v>446</v>
      </c>
      <c r="G70" s="107" t="s">
        <v>36</v>
      </c>
      <c r="H70" s="105" t="str">
        <f>HYPERLINK("http://www.mediafire.com/download/8x0t6yo5f4htybx/1998-11-21_-_Hampton_Coliseum_-_Hampton%2C_VA.rar", "download link")</f>
        <v>download link</v>
      </c>
      <c r="I70" s="134" t="s">
        <v>2048</v>
      </c>
      <c r="J70" s="109"/>
    </row>
    <row r="71">
      <c r="A71" s="110">
        <v>36123.0</v>
      </c>
      <c r="B71" s="111"/>
      <c r="C71" s="135" t="str">
        <f t="shared" si="4"/>
        <v>setlist</v>
      </c>
      <c r="D71" s="113" t="s">
        <v>2049</v>
      </c>
      <c r="E71" s="113" t="s">
        <v>459</v>
      </c>
      <c r="F71" s="114" t="s">
        <v>171</v>
      </c>
      <c r="G71" s="114" t="s">
        <v>36</v>
      </c>
      <c r="H71" s="116" t="str">
        <f>HYPERLINK("http://www.mediafire.com/download/566zdz4jquqi95a/1998-11-24_-_New_Haven_Veterans_Memorial_Coliseum_-_New_Haven%2C_CT.rar", "download link")</f>
        <v>download link</v>
      </c>
      <c r="I71" s="136" t="s">
        <v>2050</v>
      </c>
      <c r="J71" s="80"/>
    </row>
    <row r="72">
      <c r="A72" s="103">
        <v>36124.0</v>
      </c>
      <c r="B72" s="104"/>
      <c r="C72" s="105" t="str">
        <f t="shared" si="4"/>
        <v>setlist</v>
      </c>
      <c r="D72" s="106" t="s">
        <v>1957</v>
      </c>
      <c r="E72" s="106" t="s">
        <v>309</v>
      </c>
      <c r="F72" s="107" t="s">
        <v>129</v>
      </c>
      <c r="G72" s="107" t="s">
        <v>36</v>
      </c>
      <c r="H72" s="105" t="str">
        <f>HYPERLINK("http://www.mediafire.com/download/bw3g3g9rbbsc98n/1998-11-25_-_Pepsi_Arena_-_Albany%2C_NY.rar", "download link")</f>
        <v>download link</v>
      </c>
      <c r="I72" s="134" t="s">
        <v>2051</v>
      </c>
      <c r="J72" s="109"/>
    </row>
    <row r="73">
      <c r="A73" s="110">
        <v>36126.0</v>
      </c>
      <c r="B73" s="111"/>
      <c r="C73" s="135" t="str">
        <f t="shared" si="4"/>
        <v>setlist</v>
      </c>
      <c r="D73" s="113" t="s">
        <v>1315</v>
      </c>
      <c r="E73" s="113" t="s">
        <v>417</v>
      </c>
      <c r="F73" s="114" t="s">
        <v>95</v>
      </c>
      <c r="G73" s="114" t="s">
        <v>36</v>
      </c>
      <c r="H73" s="116" t="str">
        <f>HYPERLINK("http://www.mediafire.com/download/6v5mx2baz7b3qdh/1998-11-27_-_Worcester_Centrum_Centre_-_Worcester%2C_MA.rar", "download link")</f>
        <v>download link</v>
      </c>
      <c r="I73" s="136" t="s">
        <v>2052</v>
      </c>
      <c r="J73" s="113" t="s">
        <v>287</v>
      </c>
    </row>
    <row r="74">
      <c r="A74" s="103">
        <v>36127.0</v>
      </c>
      <c r="B74" s="104"/>
      <c r="C74" s="105" t="str">
        <f t="shared" si="4"/>
        <v>setlist</v>
      </c>
      <c r="D74" s="106" t="s">
        <v>1315</v>
      </c>
      <c r="E74" s="106" t="s">
        <v>417</v>
      </c>
      <c r="F74" s="107" t="s">
        <v>95</v>
      </c>
      <c r="G74" s="107" t="s">
        <v>36</v>
      </c>
      <c r="H74" s="105" t="str">
        <f>HYPERLINK("http://www.mediafire.com/download/caqf4l62b5esydh/1998-11-28_-_Worcester_Centrum_Centre_-_Worcester%2C_MA.rar", "download link")</f>
        <v>download link</v>
      </c>
      <c r="I74" s="134" t="s">
        <v>2053</v>
      </c>
      <c r="J74" s="109"/>
    </row>
    <row r="75">
      <c r="A75" s="202">
        <v>36128.0</v>
      </c>
      <c r="B75" s="78"/>
      <c r="C75" s="203" t="str">
        <f t="shared" si="4"/>
        <v>setlist</v>
      </c>
      <c r="D75" s="204" t="s">
        <v>1315</v>
      </c>
      <c r="E75" s="204" t="s">
        <v>417</v>
      </c>
      <c r="F75" s="205" t="s">
        <v>95</v>
      </c>
      <c r="G75" s="205" t="s">
        <v>36</v>
      </c>
      <c r="H75" s="116" t="str">
        <f>HYPERLINK("http://www.mediafire.com/download/bzyrvq96sh9610r/1998-11-29_-_Worcester_Centrum_Centre_-_Worcester%2C_MA.rar", "download link")</f>
        <v>download link</v>
      </c>
      <c r="I75" s="206" t="s">
        <v>2054</v>
      </c>
      <c r="J75" s="82"/>
    </row>
    <row r="76">
      <c r="A76" s="92"/>
      <c r="B76" s="93"/>
      <c r="C76" s="94"/>
      <c r="D76" s="83" t="s">
        <v>2055</v>
      </c>
      <c r="E76" s="95"/>
      <c r="F76" s="93"/>
      <c r="G76" s="93"/>
      <c r="H76" s="65"/>
      <c r="I76" s="95"/>
      <c r="J76" s="95"/>
    </row>
    <row r="77">
      <c r="A77" s="125">
        <v>36157.0</v>
      </c>
      <c r="B77" s="126"/>
      <c r="C77" s="98" t="str">
        <f t="shared" ref="C77:C80" si="5">HYPERLINK("http://www.phish.net/setlists/?d="&amp;RIGHT(TEXT(A77,"mm/dd/yyyy"),4)&amp;"-"&amp;LEFT(TEXT(A77,"mm/dd/yyyy"),2)&amp;"-"&amp;MID(TEXT(A77,"mm/dd/yyyy"),4,2), "setlist")</f>
        <v>setlist</v>
      </c>
      <c r="D77" s="102" t="s">
        <v>1553</v>
      </c>
      <c r="E77" s="102" t="s">
        <v>162</v>
      </c>
      <c r="F77" s="127" t="s">
        <v>129</v>
      </c>
      <c r="G77" s="127" t="s">
        <v>36</v>
      </c>
      <c r="H77" s="116" t="str">
        <f>HYPERLINK("http://www.mediafire.com/download/elvk0h30y4qc4st/1998-12-28_-_Madison_Square_Garden_-_New_York%2C_NY.rar", "download link")</f>
        <v>download link</v>
      </c>
      <c r="I77" s="101" t="s">
        <v>2056</v>
      </c>
      <c r="J77" s="129"/>
    </row>
    <row r="78">
      <c r="A78" s="103">
        <v>36158.0</v>
      </c>
      <c r="B78" s="107" t="s">
        <v>32</v>
      </c>
      <c r="C78" s="105" t="str">
        <f t="shared" si="5"/>
        <v>setlist</v>
      </c>
      <c r="D78" s="106" t="s">
        <v>1553</v>
      </c>
      <c r="E78" s="106" t="s">
        <v>162</v>
      </c>
      <c r="F78" s="107" t="s">
        <v>129</v>
      </c>
      <c r="G78" s="107" t="s">
        <v>36</v>
      </c>
      <c r="H78" s="105" t="str">
        <f>HYPERLINK("http://www.mediafire.com/download/bzf6akcw1388utf/1998-12-29_-_Madison_Square_Garden_-_New_York%2C_NY.rar", "download link")</f>
        <v>download link</v>
      </c>
      <c r="I78" s="134" t="s">
        <v>2057</v>
      </c>
      <c r="J78" s="106"/>
    </row>
    <row r="79">
      <c r="A79" s="110">
        <v>36159.0</v>
      </c>
      <c r="B79" s="111"/>
      <c r="C79" s="135" t="str">
        <f t="shared" si="5"/>
        <v>setlist</v>
      </c>
      <c r="D79" s="113" t="s">
        <v>1553</v>
      </c>
      <c r="E79" s="113" t="s">
        <v>162</v>
      </c>
      <c r="F79" s="114" t="s">
        <v>129</v>
      </c>
      <c r="G79" s="114" t="s">
        <v>36</v>
      </c>
      <c r="H79" s="116" t="str">
        <f>HYPERLINK("http://www.mediafire.com/download/sbx2tl7jq73sjjz/1998-12-30_-_Madison_Square_Garden_-_New_York%2C_NY.rar", "download link")</f>
        <v>download link</v>
      </c>
      <c r="I79" s="136" t="s">
        <v>1958</v>
      </c>
      <c r="J79" s="80"/>
    </row>
    <row r="80">
      <c r="A80" s="103">
        <v>36160.0</v>
      </c>
      <c r="B80" s="104"/>
      <c r="C80" s="105" t="str">
        <f t="shared" si="5"/>
        <v>setlist</v>
      </c>
      <c r="D80" s="106" t="s">
        <v>1553</v>
      </c>
      <c r="E80" s="106" t="s">
        <v>162</v>
      </c>
      <c r="F80" s="107" t="s">
        <v>129</v>
      </c>
      <c r="G80" s="107" t="s">
        <v>36</v>
      </c>
      <c r="H80" s="105" t="str">
        <f>HYPERLINK("http://www.mediafire.com/download/b78h22uqajvadb0/1998-12-31_-_Madison_Square_Garden_-_New_York%2C_NY.rar", "download link")</f>
        <v>download link</v>
      </c>
      <c r="I80" s="134" t="s">
        <v>2058</v>
      </c>
      <c r="J80" s="10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72.88"/>
  </cols>
  <sheetData>
    <row r="1">
      <c r="A1" s="77"/>
      <c r="B1" s="78"/>
      <c r="C1" s="78"/>
      <c r="D1" s="80"/>
      <c r="E1" s="80"/>
      <c r="F1" s="78"/>
      <c r="G1" s="78"/>
      <c r="H1" s="81"/>
      <c r="I1" s="82"/>
      <c r="J1" s="82"/>
    </row>
    <row r="2">
      <c r="A2" s="60" t="s">
        <v>22</v>
      </c>
      <c r="B2" s="60" t="s">
        <v>23</v>
      </c>
      <c r="C2" s="60" t="s">
        <v>24</v>
      </c>
      <c r="D2" s="56" t="s">
        <v>25</v>
      </c>
      <c r="E2" s="56" t="s">
        <v>26</v>
      </c>
      <c r="F2" s="60" t="s">
        <v>27</v>
      </c>
      <c r="G2" s="60" t="s">
        <v>28</v>
      </c>
      <c r="H2" s="60" t="s">
        <v>29</v>
      </c>
      <c r="I2" s="85" t="s">
        <v>30</v>
      </c>
      <c r="J2" s="83" t="s">
        <v>31</v>
      </c>
    </row>
    <row r="3">
      <c r="A3" s="87"/>
      <c r="B3" s="87"/>
      <c r="C3" s="248"/>
      <c r="D3" s="87"/>
      <c r="E3" s="87"/>
      <c r="F3" s="87"/>
      <c r="G3" s="87"/>
      <c r="H3" s="87"/>
      <c r="I3" s="89"/>
      <c r="J3" s="89"/>
    </row>
    <row r="4">
      <c r="A4" s="93"/>
      <c r="B4" s="93"/>
      <c r="C4" s="65"/>
      <c r="D4" s="83" t="s">
        <v>2059</v>
      </c>
      <c r="E4" s="93"/>
      <c r="F4" s="93"/>
      <c r="G4" s="93"/>
      <c r="H4" s="93"/>
      <c r="I4" s="95"/>
      <c r="J4" s="95"/>
    </row>
    <row r="5">
      <c r="A5" s="190">
        <v>36335.0</v>
      </c>
      <c r="B5" s="241"/>
      <c r="C5" s="178" t="str">
        <f t="shared" ref="C5:C25" si="1">HYPERLINK("http://www.phish.net/setlists/?d="&amp;RIGHT(TEXT(A5,"mm/dd/yyyy"),4)&amp;"-"&amp;LEFT(TEXT(A5,"mm/dd/yyyy"),2)&amp;"-"&amp;MID(TEXT(A5,"mm/dd/yyyy"),4,2), "setlist")</f>
        <v>setlist</v>
      </c>
      <c r="D5" s="192" t="s">
        <v>2060</v>
      </c>
      <c r="E5" s="192" t="s">
        <v>2061</v>
      </c>
      <c r="F5" s="191" t="s">
        <v>35</v>
      </c>
      <c r="G5" s="241"/>
      <c r="H5" s="249"/>
      <c r="I5" s="194"/>
      <c r="J5" s="194"/>
    </row>
    <row r="6">
      <c r="A6" s="103">
        <v>36341.0</v>
      </c>
      <c r="B6" s="104"/>
      <c r="C6" s="105" t="str">
        <f t="shared" si="1"/>
        <v>setlist</v>
      </c>
      <c r="D6" s="106" t="s">
        <v>2001</v>
      </c>
      <c r="E6" s="106" t="s">
        <v>2002</v>
      </c>
      <c r="F6" s="107" t="s">
        <v>892</v>
      </c>
      <c r="G6" s="107" t="s">
        <v>36</v>
      </c>
      <c r="H6" s="105" t="str">
        <f>HYPERLINK("http://www.mediafire.com/download/eisli4i6b9ddekv/1999-06-30_-_Sandstone_Amphitheatre_-_Bonner_Springs%2C_KS.rar", "download link")</f>
        <v>download link</v>
      </c>
      <c r="I6" s="134" t="s">
        <v>2062</v>
      </c>
      <c r="J6" s="109"/>
    </row>
    <row r="7">
      <c r="A7" s="142">
        <v>36342.0</v>
      </c>
      <c r="B7" s="144"/>
      <c r="C7" s="116" t="str">
        <f t="shared" si="1"/>
        <v>setlist</v>
      </c>
      <c r="D7" s="118" t="s">
        <v>2063</v>
      </c>
      <c r="E7" s="118" t="s">
        <v>1268</v>
      </c>
      <c r="F7" s="115" t="s">
        <v>650</v>
      </c>
      <c r="G7" s="115" t="s">
        <v>36</v>
      </c>
      <c r="H7" s="116" t="str">
        <f>HYPERLINK("http://www.mediafire.com/download/s65ox84a26i509i/1999-07-01_-_First_American_Music_Center_-_Antioch%2C_TN.rar", "download link")</f>
        <v>download link</v>
      </c>
      <c r="I7" s="117" t="s">
        <v>2064</v>
      </c>
      <c r="J7" s="146"/>
    </row>
    <row r="8">
      <c r="A8" s="103">
        <v>36344.0</v>
      </c>
      <c r="B8" s="104"/>
      <c r="C8" s="105" t="str">
        <f t="shared" si="1"/>
        <v>setlist</v>
      </c>
      <c r="D8" s="106" t="s">
        <v>1573</v>
      </c>
      <c r="E8" s="106" t="s">
        <v>437</v>
      </c>
      <c r="F8" s="107" t="s">
        <v>433</v>
      </c>
      <c r="G8" s="107" t="s">
        <v>36</v>
      </c>
      <c r="H8" s="105" t="str">
        <f>HYPERLINK("http://www.mediafire.com/download/9sfcg7z10rj7w0g/1999-07-03_-_Lakewood_Amphitheatre_-_Atlanta%2C_GA.rar", "download link")</f>
        <v>download link</v>
      </c>
      <c r="I8" s="134" t="s">
        <v>2062</v>
      </c>
      <c r="J8" s="109"/>
    </row>
    <row r="9">
      <c r="A9" s="150">
        <v>36345.0</v>
      </c>
      <c r="B9" s="250"/>
      <c r="C9" s="116" t="str">
        <f t="shared" si="1"/>
        <v>setlist</v>
      </c>
      <c r="D9" s="153" t="s">
        <v>1573</v>
      </c>
      <c r="E9" s="153" t="s">
        <v>437</v>
      </c>
      <c r="F9" s="151" t="s">
        <v>433</v>
      </c>
      <c r="G9" s="151" t="s">
        <v>36</v>
      </c>
      <c r="H9" s="116" t="str">
        <f>HYPERLINK("http://www.mediafire.com/download/cr57ep71135q7h3/1999-07-04_-_Lakewood_Amphitheatre_-_Atlanta%2C_GA.rar", "download link")</f>
        <v>download link</v>
      </c>
      <c r="I9" s="117" t="s">
        <v>2065</v>
      </c>
      <c r="J9" s="146"/>
    </row>
    <row r="10">
      <c r="A10" s="103">
        <v>36348.0</v>
      </c>
      <c r="B10" s="104"/>
      <c r="C10" s="105" t="str">
        <f t="shared" si="1"/>
        <v>setlist</v>
      </c>
      <c r="D10" s="106" t="s">
        <v>2066</v>
      </c>
      <c r="E10" s="106" t="s">
        <v>541</v>
      </c>
      <c r="F10" s="107" t="s">
        <v>443</v>
      </c>
      <c r="G10" s="107" t="s">
        <v>36</v>
      </c>
      <c r="H10" s="105" t="str">
        <f>HYPERLINK("http://www.mediafire.com/download/dc4inut0l5dy7yx/1999-07-07_-_Blockbuster_Pavilion_-_Charlotte%2C_NC.rar", "download link")</f>
        <v>download link</v>
      </c>
      <c r="I10" s="134" t="s">
        <v>2065</v>
      </c>
      <c r="J10" s="109"/>
    </row>
    <row r="11">
      <c r="A11" s="142">
        <v>36349.0</v>
      </c>
      <c r="B11" s="144"/>
      <c r="C11" s="116" t="str">
        <f t="shared" si="1"/>
        <v>setlist</v>
      </c>
      <c r="D11" s="118" t="s">
        <v>1905</v>
      </c>
      <c r="E11" s="118" t="s">
        <v>1906</v>
      </c>
      <c r="F11" s="115" t="s">
        <v>446</v>
      </c>
      <c r="G11" s="115" t="s">
        <v>36</v>
      </c>
      <c r="H11" s="116" t="str">
        <f>HYPERLINK("http://www.mediafire.com/download/fmwtsqk71r523hw/1999-07-08_-_Virginia_Beach_Amphitheater_-_Virgina_Beach%2C_VA.rar", "download link")</f>
        <v>download link</v>
      </c>
      <c r="I11" s="117" t="s">
        <v>2067</v>
      </c>
      <c r="J11" s="146"/>
    </row>
    <row r="12">
      <c r="A12" s="103">
        <v>36350.0</v>
      </c>
      <c r="B12" s="104"/>
      <c r="C12" s="105" t="str">
        <f t="shared" si="1"/>
        <v>setlist</v>
      </c>
      <c r="D12" s="106" t="s">
        <v>1000</v>
      </c>
      <c r="E12" s="106" t="s">
        <v>439</v>
      </c>
      <c r="F12" s="107" t="s">
        <v>397</v>
      </c>
      <c r="G12" s="107" t="s">
        <v>36</v>
      </c>
      <c r="H12" s="105" t="str">
        <f>HYPERLINK("http://www.mediafire.com/download/bza89mxp49e1s15/1999-07-09_-_Merriweather_Post_Pavilion_-_Columbia%2C_MD.rar", "download link")</f>
        <v>download link</v>
      </c>
      <c r="I12" s="134" t="s">
        <v>2068</v>
      </c>
      <c r="J12" s="109"/>
    </row>
    <row r="13">
      <c r="A13" s="142">
        <v>36351.0</v>
      </c>
      <c r="B13" s="144"/>
      <c r="C13" s="116" t="str">
        <f t="shared" si="1"/>
        <v>setlist</v>
      </c>
      <c r="D13" s="118" t="s">
        <v>2069</v>
      </c>
      <c r="E13" s="118" t="s">
        <v>2070</v>
      </c>
      <c r="F13" s="115" t="s">
        <v>43</v>
      </c>
      <c r="G13" s="115" t="s">
        <v>36</v>
      </c>
      <c r="H13" s="116" t="str">
        <f>HYPERLINK("http://www.mediafire.com/download/nntq5xpxweskqdt/1999-07-10_-_E_Centre_-_Camden%2C_NJ.rar", "download link")</f>
        <v>download link</v>
      </c>
      <c r="I13" s="117" t="s">
        <v>2067</v>
      </c>
      <c r="J13" s="146"/>
    </row>
    <row r="14">
      <c r="A14" s="103">
        <v>36353.0</v>
      </c>
      <c r="B14" s="104"/>
      <c r="C14" s="105" t="str">
        <f t="shared" si="1"/>
        <v>setlist</v>
      </c>
      <c r="D14" s="106" t="s">
        <v>2071</v>
      </c>
      <c r="E14" s="106" t="s">
        <v>1004</v>
      </c>
      <c r="F14" s="107" t="s">
        <v>95</v>
      </c>
      <c r="G14" s="107" t="s">
        <v>36</v>
      </c>
      <c r="H14" s="105" t="str">
        <f>HYPERLINK("http://www.mediafire.com/download/3jdq7d7o28f8w2b/1999-07-12_-_Tweeter_Center_-_Mansfield%2C_MA.rar", "download link")</f>
        <v>download link</v>
      </c>
      <c r="I14" s="134" t="s">
        <v>2067</v>
      </c>
      <c r="J14" s="109"/>
    </row>
    <row r="15">
      <c r="A15" s="142">
        <v>36354.0</v>
      </c>
      <c r="B15" s="144"/>
      <c r="C15" s="116" t="str">
        <f t="shared" si="1"/>
        <v>setlist</v>
      </c>
      <c r="D15" s="118" t="s">
        <v>2071</v>
      </c>
      <c r="E15" s="118" t="s">
        <v>1004</v>
      </c>
      <c r="F15" s="115" t="s">
        <v>95</v>
      </c>
      <c r="G15" s="115" t="s">
        <v>36</v>
      </c>
      <c r="H15" s="116" t="str">
        <f>HYPERLINK("http://www.mediafire.com/download/cd8zdkpf5cr9ad2/1999-07-13_-_Tweeter_Center_-_Mansfield%2C_MA.rar", "download link")</f>
        <v>download link</v>
      </c>
      <c r="I15" s="117" t="s">
        <v>2067</v>
      </c>
      <c r="J15" s="146"/>
    </row>
    <row r="16">
      <c r="A16" s="103">
        <v>36356.0</v>
      </c>
      <c r="B16" s="104"/>
      <c r="C16" s="105" t="str">
        <f t="shared" si="1"/>
        <v>setlist</v>
      </c>
      <c r="D16" s="106" t="s">
        <v>2072</v>
      </c>
      <c r="E16" s="106" t="s">
        <v>992</v>
      </c>
      <c r="F16" s="107" t="s">
        <v>43</v>
      </c>
      <c r="G16" s="107" t="s">
        <v>36</v>
      </c>
      <c r="H16" s="105" t="str">
        <f>HYPERLINK("http://www.mediafire.com/download/6b95i86kq4hi2gr/1999-07-15_-_PNC_Bank_Arts_Center_-_Holmdel%2C_NJ.rar", "download link")</f>
        <v>download link</v>
      </c>
      <c r="I16" s="134" t="s">
        <v>2067</v>
      </c>
      <c r="J16" s="109"/>
    </row>
    <row r="17">
      <c r="A17" s="142">
        <v>36357.0</v>
      </c>
      <c r="B17" s="144"/>
      <c r="C17" s="116" t="str">
        <f t="shared" si="1"/>
        <v>setlist</v>
      </c>
      <c r="D17" s="118" t="s">
        <v>2072</v>
      </c>
      <c r="E17" s="118" t="s">
        <v>992</v>
      </c>
      <c r="F17" s="115" t="s">
        <v>43</v>
      </c>
      <c r="G17" s="115" t="s">
        <v>36</v>
      </c>
      <c r="H17" s="116" t="str">
        <f>HYPERLINK("http://www.mediafire.com/download/cpujadua385m6tj/1999-07-16_-_PNC_Bank_Arts_Center_-_Holmdel%2C_NJ.rar", "download link")</f>
        <v>download link</v>
      </c>
      <c r="I17" s="117" t="s">
        <v>2067</v>
      </c>
      <c r="J17" s="146"/>
    </row>
    <row r="18">
      <c r="A18" s="103">
        <v>36358.0</v>
      </c>
      <c r="B18" s="104"/>
      <c r="C18" s="105" t="str">
        <f t="shared" si="1"/>
        <v>setlist</v>
      </c>
      <c r="D18" s="134" t="s">
        <v>2073</v>
      </c>
      <c r="E18" s="106" t="s">
        <v>2074</v>
      </c>
      <c r="F18" s="107" t="s">
        <v>129</v>
      </c>
      <c r="G18" s="107" t="s">
        <v>36</v>
      </c>
      <c r="H18" s="105" t="str">
        <f>HYPERLINK("http://www.mediafire.com/download/j7y1a022wqguc66/1999-07-17_-_Camp_Oswego_-_Oswego_County_Airport_-_Volney%2C_NY.rar", "download link")</f>
        <v>download link</v>
      </c>
      <c r="I18" s="134" t="s">
        <v>2075</v>
      </c>
      <c r="J18" s="109"/>
    </row>
    <row r="19">
      <c r="A19" s="142">
        <v>36359.0</v>
      </c>
      <c r="B19" s="144"/>
      <c r="C19" s="116" t="str">
        <f t="shared" si="1"/>
        <v>setlist</v>
      </c>
      <c r="D19" s="117" t="s">
        <v>2073</v>
      </c>
      <c r="E19" s="118" t="s">
        <v>2074</v>
      </c>
      <c r="F19" s="115" t="s">
        <v>129</v>
      </c>
      <c r="G19" s="115" t="s">
        <v>36</v>
      </c>
      <c r="H19" s="116" t="str">
        <f>HYPERLINK("http://www.mediafire.com/download/435hb0oqc23hfk3/1999-07-18_-_Camp_Oswego_-_Oswego_County_Airport_-_Volney%2C_NY.rar", "download link")</f>
        <v>download link</v>
      </c>
      <c r="I19" s="117" t="s">
        <v>2076</v>
      </c>
      <c r="J19" s="146"/>
    </row>
    <row r="20">
      <c r="A20" s="103">
        <v>36361.0</v>
      </c>
      <c r="B20" s="104"/>
      <c r="C20" s="105" t="str">
        <f t="shared" si="1"/>
        <v>setlist</v>
      </c>
      <c r="D20" s="106" t="s">
        <v>2077</v>
      </c>
      <c r="E20" s="106" t="s">
        <v>1090</v>
      </c>
      <c r="F20" s="107" t="s">
        <v>1091</v>
      </c>
      <c r="G20" s="107" t="s">
        <v>36</v>
      </c>
      <c r="H20" s="105" t="str">
        <f>HYPERLINK("http://www.mediafire.com/download/0ecxk2cg0n56xdi/1999-07-20_-_Molson_Amphitheatre_-_Toronto%2C_Ontario%2C_Canada.rar", "download link")</f>
        <v>download link</v>
      </c>
      <c r="I20" s="134" t="s">
        <v>2078</v>
      </c>
      <c r="J20" s="109"/>
    </row>
    <row r="21">
      <c r="A21" s="142">
        <v>36362.0</v>
      </c>
      <c r="B21" s="144"/>
      <c r="C21" s="116" t="str">
        <f t="shared" si="1"/>
        <v>setlist</v>
      </c>
      <c r="D21" s="118" t="s">
        <v>1925</v>
      </c>
      <c r="E21" s="118" t="s">
        <v>1926</v>
      </c>
      <c r="F21" s="115" t="s">
        <v>212</v>
      </c>
      <c r="G21" s="115" t="s">
        <v>36</v>
      </c>
      <c r="H21" s="116" t="str">
        <f>HYPERLINK("http://www.mediafire.com/download/1xr1f9ccnarvxlt/1999-07-21_-_Star_Lake_Amphitheatre_-_Burgettstown%2C_VA.rar", "download link")</f>
        <v>download link</v>
      </c>
      <c r="I21" s="117" t="s">
        <v>2079</v>
      </c>
      <c r="J21" s="146"/>
    </row>
    <row r="22">
      <c r="A22" s="103">
        <v>36364.0</v>
      </c>
      <c r="B22" s="104"/>
      <c r="C22" s="105" t="str">
        <f t="shared" si="1"/>
        <v>setlist</v>
      </c>
      <c r="D22" s="106" t="s">
        <v>2004</v>
      </c>
      <c r="E22" s="106" t="s">
        <v>2005</v>
      </c>
      <c r="F22" s="107" t="s">
        <v>472</v>
      </c>
      <c r="G22" s="107" t="s">
        <v>36</v>
      </c>
      <c r="H22" s="105" t="str">
        <f>HYPERLINK("http://www.mediafire.com/download/wu3umgr3wmim3pj/1999-07-23_-_Polaris_Amphitheater_-_Lewis_Center%2C_OH.rar", "download link")</f>
        <v>download link</v>
      </c>
      <c r="I22" s="134" t="s">
        <v>2080</v>
      </c>
      <c r="J22" s="109"/>
    </row>
    <row r="23">
      <c r="A23" s="142">
        <v>36365.0</v>
      </c>
      <c r="B23" s="144"/>
      <c r="C23" s="116" t="str">
        <f t="shared" si="1"/>
        <v>setlist</v>
      </c>
      <c r="D23" s="118" t="s">
        <v>1737</v>
      </c>
      <c r="E23" s="118" t="s">
        <v>1738</v>
      </c>
      <c r="F23" s="115" t="s">
        <v>483</v>
      </c>
      <c r="G23" s="115" t="s">
        <v>36</v>
      </c>
      <c r="H23" s="116" t="str">
        <f>HYPERLINK("http://www.mediafire.com/download/mbt77va0iu9w7pb/1999-07-24_-_Alpine_Valley_Music_Theatre_-_East_Troy%2C_WI.rar", "download link")</f>
        <v>download link</v>
      </c>
      <c r="I23" s="117" t="s">
        <v>1651</v>
      </c>
      <c r="J23" s="146"/>
    </row>
    <row r="24">
      <c r="A24" s="103">
        <v>36366.0</v>
      </c>
      <c r="B24" s="104"/>
      <c r="C24" s="105" t="str">
        <f t="shared" si="1"/>
        <v>setlist</v>
      </c>
      <c r="D24" s="106" t="s">
        <v>1578</v>
      </c>
      <c r="E24" s="106" t="s">
        <v>1579</v>
      </c>
      <c r="F24" s="107" t="s">
        <v>508</v>
      </c>
      <c r="G24" s="107" t="s">
        <v>36</v>
      </c>
      <c r="H24" s="105" t="str">
        <f>HYPERLINK("http://www.mediafire.com/download/xlzizkydsdzd271/1999-07-25_-_Deer_Creek_Music_Center_-_Noblesville%2C_IN.rar", "download link")</f>
        <v>download link</v>
      </c>
      <c r="I24" s="134" t="s">
        <v>2081</v>
      </c>
      <c r="J24" s="109"/>
    </row>
    <row r="25">
      <c r="A25" s="167">
        <v>36367.0</v>
      </c>
      <c r="B25" s="175"/>
      <c r="C25" s="166" t="str">
        <f t="shared" si="1"/>
        <v>setlist</v>
      </c>
      <c r="D25" s="169" t="s">
        <v>1578</v>
      </c>
      <c r="E25" s="169" t="s">
        <v>1579</v>
      </c>
      <c r="F25" s="168" t="s">
        <v>508</v>
      </c>
      <c r="G25" s="168" t="s">
        <v>36</v>
      </c>
      <c r="H25" s="116" t="str">
        <f>HYPERLINK("http://www.mediafire.com/download/dcriha606evcouo/1999-07-26_-_Deer_Creek_Music_Center_-_Noblesville%2C_IN.rar", "download link")</f>
        <v>download link</v>
      </c>
      <c r="I25" s="171" t="s">
        <v>2067</v>
      </c>
      <c r="J25" s="176"/>
    </row>
    <row r="26">
      <c r="A26" s="92"/>
      <c r="B26" s="93"/>
      <c r="C26" s="94"/>
      <c r="D26" s="83" t="s">
        <v>2082</v>
      </c>
      <c r="E26" s="95"/>
      <c r="F26" s="93"/>
      <c r="G26" s="93"/>
      <c r="H26" s="93"/>
      <c r="I26" s="95"/>
      <c r="J26" s="95"/>
    </row>
    <row r="27">
      <c r="A27" s="125">
        <v>36371.0</v>
      </c>
      <c r="B27" s="126"/>
      <c r="C27" s="98" t="str">
        <f t="shared" ref="C27:C30" si="2">HYPERLINK("http://www.phish.net/setlists/?d="&amp;RIGHT(TEXT(A27,"mm/dd/yyyy"),4)&amp;"-"&amp;LEFT(TEXT(A27,"mm/dd/yyyy"),2)&amp;"-"&amp;MID(TEXT(A27,"mm/dd/yyyy"),4,2), "setlist")</f>
        <v>setlist</v>
      </c>
      <c r="D27" s="102" t="s">
        <v>2083</v>
      </c>
      <c r="E27" s="102" t="s">
        <v>2084</v>
      </c>
      <c r="F27" s="127" t="s">
        <v>2085</v>
      </c>
      <c r="G27" s="127" t="s">
        <v>36</v>
      </c>
      <c r="H27" s="116" t="str">
        <f>HYPERLINK("http://www.mediafire.com/download/hdav6nh6nj1c0e4/1999-07-30_-_Naeba_Ski_Resort_-_Niigata%2C_Japan_%28a%29.rar", "download link")</f>
        <v>download link</v>
      </c>
      <c r="I27" s="101" t="s">
        <v>2086</v>
      </c>
      <c r="J27" s="129"/>
    </row>
    <row r="28">
      <c r="A28" s="103">
        <v>36371.0</v>
      </c>
      <c r="B28" s="107" t="s">
        <v>32</v>
      </c>
      <c r="C28" s="105" t="str">
        <f t="shared" si="2"/>
        <v>setlist</v>
      </c>
      <c r="D28" s="106" t="s">
        <v>2087</v>
      </c>
      <c r="E28" s="106" t="s">
        <v>2084</v>
      </c>
      <c r="F28" s="107" t="s">
        <v>2085</v>
      </c>
      <c r="G28" s="107" t="s">
        <v>36</v>
      </c>
      <c r="H28" s="105" t="str">
        <f>HYPERLINK("http://www.mediafire.com/download/t6vkcbbzp6bapea/1999-07-30_-_Naeba_Ski_Resort_-_Niigata%2C_Japan_%28b%29.rar", "download link")</f>
        <v>download link</v>
      </c>
      <c r="I28" s="134" t="s">
        <v>2088</v>
      </c>
      <c r="J28" s="109"/>
    </row>
    <row r="29">
      <c r="A29" s="110">
        <v>36372.0</v>
      </c>
      <c r="B29" s="114" t="s">
        <v>32</v>
      </c>
      <c r="C29" s="135" t="str">
        <f t="shared" si="2"/>
        <v>setlist</v>
      </c>
      <c r="D29" s="113" t="s">
        <v>2089</v>
      </c>
      <c r="E29" s="113" t="s">
        <v>2084</v>
      </c>
      <c r="F29" s="114" t="s">
        <v>2085</v>
      </c>
      <c r="G29" s="114" t="s">
        <v>36</v>
      </c>
      <c r="H29" s="116" t="str">
        <f>HYPERLINK("http://www.mediafire.com/download/02ftv9i4824qbub/1999-07-31_-_Naeba_Ski_Resort_-_Niigata%2C_Japan.rar", "download link")</f>
        <v>download link</v>
      </c>
      <c r="I29" s="136" t="s">
        <v>2090</v>
      </c>
      <c r="J29" s="80"/>
    </row>
    <row r="30">
      <c r="A30" s="186">
        <v>36373.0</v>
      </c>
      <c r="B30" s="187"/>
      <c r="C30" s="123" t="str">
        <f t="shared" si="2"/>
        <v>setlist</v>
      </c>
      <c r="D30" s="122" t="s">
        <v>2089</v>
      </c>
      <c r="E30" s="122" t="s">
        <v>2084</v>
      </c>
      <c r="F30" s="120" t="s">
        <v>2085</v>
      </c>
      <c r="G30" s="120" t="s">
        <v>36</v>
      </c>
      <c r="H30" s="105" t="str">
        <f>HYPERLINK("http://www.mediafire.com/download/qqjpnx49b5qgkz7/1999-08-01_-_Naeba_Ski_Resort_-_Niigata%2C_Japan.rar", "download link")</f>
        <v>download link</v>
      </c>
      <c r="I30" s="137" t="s">
        <v>2091</v>
      </c>
      <c r="J30" s="189"/>
    </row>
    <row r="31">
      <c r="A31" s="92"/>
      <c r="B31" s="93"/>
      <c r="C31" s="94"/>
      <c r="D31" s="83" t="s">
        <v>2092</v>
      </c>
      <c r="E31" s="95"/>
      <c r="F31" s="93"/>
      <c r="G31" s="93"/>
      <c r="H31" s="93"/>
      <c r="I31" s="95"/>
      <c r="J31" s="95"/>
    </row>
    <row r="32">
      <c r="A32" s="125">
        <v>36407.0</v>
      </c>
      <c r="B32" s="126"/>
      <c r="C32" s="98" t="str">
        <f t="shared" ref="C32:C70" si="3">HYPERLINK("http://www.phish.net/setlists/?d="&amp;RIGHT(TEXT(A32,"mm/dd/yyyy"),4)&amp;"-"&amp;LEFT(TEXT(A32,"mm/dd/yyyy"),2)&amp;"-"&amp;MID(TEXT(A32,"mm/dd/yyyy"),4,2), "setlist")</f>
        <v>setlist</v>
      </c>
      <c r="D32" s="102" t="s">
        <v>2093</v>
      </c>
      <c r="E32" s="102" t="s">
        <v>1011</v>
      </c>
      <c r="F32" s="127" t="s">
        <v>35</v>
      </c>
      <c r="G32" s="126"/>
      <c r="H32" s="128"/>
      <c r="I32" s="129"/>
      <c r="J32" s="129"/>
    </row>
    <row r="33">
      <c r="A33" s="103">
        <v>36412.0</v>
      </c>
      <c r="B33" s="104"/>
      <c r="C33" s="105" t="str">
        <f t="shared" si="3"/>
        <v>setlist</v>
      </c>
      <c r="D33" s="106" t="s">
        <v>2094</v>
      </c>
      <c r="E33" s="106" t="s">
        <v>1188</v>
      </c>
      <c r="F33" s="107" t="s">
        <v>1189</v>
      </c>
      <c r="G33" s="107" t="s">
        <v>36</v>
      </c>
      <c r="H33" s="105" t="str">
        <f>HYPERLINK("http://www.mediafire.com/download/h31ei1uhusce7v4/1999-09-09_-_GM_Place_-_Vancouver%2C_British_Columbia%2C_Canada.rar", "download link")</f>
        <v>download link</v>
      </c>
      <c r="I33" s="134" t="s">
        <v>2095</v>
      </c>
      <c r="J33" s="109"/>
    </row>
    <row r="34">
      <c r="A34" s="142">
        <v>36413.0</v>
      </c>
      <c r="B34" s="144"/>
      <c r="C34" s="116" t="str">
        <f t="shared" si="3"/>
        <v>setlist</v>
      </c>
      <c r="D34" s="118" t="s">
        <v>1918</v>
      </c>
      <c r="E34" s="118" t="s">
        <v>1919</v>
      </c>
      <c r="F34" s="115" t="s">
        <v>701</v>
      </c>
      <c r="G34" s="115" t="s">
        <v>36</v>
      </c>
      <c r="H34" s="116" t="str">
        <f>HYPERLINK("http://www.mediafire.com/download/g751pm5nnox73yw/1999-09-10_-_Gorge_Amphitheatre_-_George%2C_WA.rar", "download link")</f>
        <v>download link</v>
      </c>
      <c r="I34" s="117" t="s">
        <v>2096</v>
      </c>
      <c r="J34" s="146"/>
    </row>
    <row r="35">
      <c r="A35" s="103">
        <v>36414.0</v>
      </c>
      <c r="B35" s="104"/>
      <c r="C35" s="105" t="str">
        <f t="shared" si="3"/>
        <v>setlist</v>
      </c>
      <c r="D35" s="106" t="s">
        <v>1918</v>
      </c>
      <c r="E35" s="106" t="s">
        <v>1919</v>
      </c>
      <c r="F35" s="107" t="s">
        <v>701</v>
      </c>
      <c r="G35" s="107" t="s">
        <v>36</v>
      </c>
      <c r="H35" s="105" t="str">
        <f>HYPERLINK("http://www.mediafire.com/download/j1ofqo3ng12b1f6/1999-09-11_-_Gorge_Amphitheatre_-_George%2C_WA.rar", "download link")</f>
        <v>download link</v>
      </c>
      <c r="I35" s="134" t="s">
        <v>2097</v>
      </c>
      <c r="J35" s="109"/>
    </row>
    <row r="36">
      <c r="A36" s="142">
        <v>36415.0</v>
      </c>
      <c r="B36" s="144"/>
      <c r="C36" s="116" t="str">
        <f t="shared" si="3"/>
        <v>setlist</v>
      </c>
      <c r="D36" s="118" t="s">
        <v>1988</v>
      </c>
      <c r="E36" s="118" t="s">
        <v>279</v>
      </c>
      <c r="F36" s="115" t="s">
        <v>692</v>
      </c>
      <c r="G36" s="115" t="s">
        <v>36</v>
      </c>
      <c r="H36" s="116" t="str">
        <f>HYPERLINK("http://www.mediafire.com/download/axh2ralpid3l5qb/1999-09-12_-_Portland_Meadows_-_Portland%2C_OR.rar", "download link")</f>
        <v>download link</v>
      </c>
      <c r="I36" s="117" t="s">
        <v>2098</v>
      </c>
      <c r="J36" s="146"/>
    </row>
    <row r="37">
      <c r="A37" s="103">
        <v>36417.0</v>
      </c>
      <c r="B37" s="104"/>
      <c r="C37" s="105" t="str">
        <f t="shared" si="3"/>
        <v>setlist</v>
      </c>
      <c r="D37" s="106" t="s">
        <v>2099</v>
      </c>
      <c r="E37" s="106" t="s">
        <v>1562</v>
      </c>
      <c r="F37" s="107" t="s">
        <v>1563</v>
      </c>
      <c r="G37" s="107" t="s">
        <v>36</v>
      </c>
      <c r="H37" s="105" t="str">
        <f>HYPERLINK("http://www.mediafire.com/download/ypul0gzg51xenjy/1999-09-14_-_Boise_State_University_Pavilion_-_Boise%2C_ID.rar", "download link")</f>
        <v>download link</v>
      </c>
      <c r="I37" s="134" t="s">
        <v>2100</v>
      </c>
      <c r="J37" s="109"/>
    </row>
    <row r="38">
      <c r="A38" s="142">
        <v>36419.0</v>
      </c>
      <c r="B38" s="144"/>
      <c r="C38" s="116" t="str">
        <f t="shared" si="3"/>
        <v>setlist</v>
      </c>
      <c r="D38" s="118" t="s">
        <v>1052</v>
      </c>
      <c r="E38" s="118" t="s">
        <v>1053</v>
      </c>
      <c r="F38" s="115" t="s">
        <v>679</v>
      </c>
      <c r="G38" s="115" t="s">
        <v>36</v>
      </c>
      <c r="H38" s="116" t="str">
        <f>HYPERLINK("http://www.mediafire.com/download/yjnx7yiq440v695/1999-09-16_-_Shoreline_Amphitheatre_-_Mountain_View%2C_CA.rar", "download link")</f>
        <v>download link</v>
      </c>
      <c r="I38" s="117" t="s">
        <v>2081</v>
      </c>
      <c r="J38" s="146"/>
    </row>
    <row r="39">
      <c r="A39" s="103">
        <v>36420.0</v>
      </c>
      <c r="B39" s="104"/>
      <c r="C39" s="105" t="str">
        <f t="shared" si="3"/>
        <v>setlist</v>
      </c>
      <c r="D39" s="106" t="s">
        <v>1052</v>
      </c>
      <c r="E39" s="106" t="s">
        <v>1053</v>
      </c>
      <c r="F39" s="107" t="s">
        <v>679</v>
      </c>
      <c r="G39" s="107" t="s">
        <v>36</v>
      </c>
      <c r="H39" s="105" t="str">
        <f>HYPERLINK("http://www.mediafire.com/download/ucns8l1htdg4o7a/1999-09-17_-_Shoreline_Amphitheatre_-_Mountain_View%2C_CA.rar", "download link")</f>
        <v>download link</v>
      </c>
      <c r="I39" s="134" t="s">
        <v>2081</v>
      </c>
      <c r="J39" s="109"/>
    </row>
    <row r="40">
      <c r="A40" s="142">
        <v>36421.0</v>
      </c>
      <c r="B40" s="144"/>
      <c r="C40" s="116" t="str">
        <f t="shared" si="3"/>
        <v>setlist</v>
      </c>
      <c r="D40" s="118" t="s">
        <v>2101</v>
      </c>
      <c r="E40" s="118" t="s">
        <v>2102</v>
      </c>
      <c r="F40" s="115" t="s">
        <v>679</v>
      </c>
      <c r="G40" s="115" t="s">
        <v>36</v>
      </c>
      <c r="H40" s="116" t="str">
        <f>HYPERLINK("http://www.mediafire.com/download/4i6dd0avrjbo5x6/1999-09-18_-_Coors_Amphitheatre_-_Chula_Vista%2C_CA.rar", "download link")</f>
        <v>download link</v>
      </c>
      <c r="I40" s="117" t="s">
        <v>2103</v>
      </c>
      <c r="J40" s="146"/>
    </row>
    <row r="41">
      <c r="A41" s="103">
        <v>36422.0</v>
      </c>
      <c r="B41" s="104"/>
      <c r="C41" s="105" t="str">
        <f t="shared" si="3"/>
        <v>setlist</v>
      </c>
      <c r="D41" s="106" t="s">
        <v>2104</v>
      </c>
      <c r="E41" s="106" t="s">
        <v>2105</v>
      </c>
      <c r="F41" s="107" t="s">
        <v>679</v>
      </c>
      <c r="G41" s="107" t="s">
        <v>36</v>
      </c>
      <c r="H41" s="105" t="str">
        <f>HYPERLINK("http://www.mediafire.com/download/cflrzvcl389sy7o/1999-09-19_-_Irvine_Meadows_-_Irvine%2C_CA.rar", "download link")</f>
        <v>download link</v>
      </c>
      <c r="I41" s="134" t="s">
        <v>2106</v>
      </c>
      <c r="J41" s="109"/>
    </row>
    <row r="42">
      <c r="A42" s="142">
        <v>36424.0</v>
      </c>
      <c r="B42" s="144"/>
      <c r="C42" s="116" t="str">
        <f t="shared" si="3"/>
        <v>setlist</v>
      </c>
      <c r="D42" s="118" t="s">
        <v>1037</v>
      </c>
      <c r="E42" s="118" t="s">
        <v>906</v>
      </c>
      <c r="F42" s="115" t="s">
        <v>805</v>
      </c>
      <c r="G42" s="115" t="s">
        <v>36</v>
      </c>
      <c r="H42" s="116" t="str">
        <f>HYPERLINK("http://www.mediafire.com/download/i1jivyc26nrwrrc/1999-09-21_-_Pima_County_Fairgrounds_-_Tucson%2C_AZ.rar", "download link")</f>
        <v>download link</v>
      </c>
      <c r="I42" s="117" t="s">
        <v>2107</v>
      </c>
      <c r="J42" s="146"/>
    </row>
    <row r="43">
      <c r="A43" s="103">
        <v>36425.0</v>
      </c>
      <c r="B43" s="104"/>
      <c r="C43" s="105" t="str">
        <f t="shared" si="3"/>
        <v>setlist</v>
      </c>
      <c r="D43" s="106" t="s">
        <v>1039</v>
      </c>
      <c r="E43" s="106" t="s">
        <v>1040</v>
      </c>
      <c r="F43" s="107" t="s">
        <v>811</v>
      </c>
      <c r="G43" s="107" t="s">
        <v>36</v>
      </c>
      <c r="H43" s="105" t="str">
        <f>HYPERLINK("http://www.mediafire.com/download/bjbb554ss4xx3ml/1999-09-22_-_Pan_American_Center_-_Las_Cruces%2C_NM.rar", "download link")</f>
        <v>download link</v>
      </c>
      <c r="I43" s="134" t="s">
        <v>2108</v>
      </c>
      <c r="J43" s="134" t="s">
        <v>287</v>
      </c>
    </row>
    <row r="44">
      <c r="A44" s="142">
        <v>36427.0</v>
      </c>
      <c r="B44" s="144"/>
      <c r="C44" s="116" t="str">
        <f t="shared" si="3"/>
        <v>setlist</v>
      </c>
      <c r="D44" s="118" t="s">
        <v>1912</v>
      </c>
      <c r="E44" s="118" t="s">
        <v>591</v>
      </c>
      <c r="F44" s="115" t="s">
        <v>589</v>
      </c>
      <c r="G44" s="115" t="s">
        <v>36</v>
      </c>
      <c r="H44" s="116" t="str">
        <f>HYPERLINK("http://www.mediafire.com/download/p94q7vlxptgtut5/1999-09-24_-_South_Park_Meadows_-_Austin%2C_TX.rar", "download link")</f>
        <v>download link</v>
      </c>
      <c r="I44" s="117" t="s">
        <v>2109</v>
      </c>
      <c r="J44" s="146"/>
    </row>
    <row r="45">
      <c r="A45" s="103">
        <v>36428.0</v>
      </c>
      <c r="B45" s="104"/>
      <c r="C45" s="105" t="str">
        <f t="shared" si="3"/>
        <v>setlist</v>
      </c>
      <c r="D45" s="106" t="s">
        <v>1995</v>
      </c>
      <c r="E45" s="106" t="s">
        <v>588</v>
      </c>
      <c r="F45" s="107" t="s">
        <v>589</v>
      </c>
      <c r="G45" s="107" t="s">
        <v>36</v>
      </c>
      <c r="H45" s="105" t="str">
        <f>HYPERLINK("http://www.mediafire.com/download/h3jx5ywbwmpq1yv/1999-09-25_-_Cynthia_Woods_Mitchell_Pavilion_-_Houston%2C_TX.rar", "download link")</f>
        <v>download link</v>
      </c>
      <c r="I45" s="134" t="s">
        <v>2110</v>
      </c>
      <c r="J45" s="109"/>
    </row>
    <row r="46">
      <c r="A46" s="142">
        <v>36429.0</v>
      </c>
      <c r="B46" s="144"/>
      <c r="C46" s="116" t="str">
        <f t="shared" si="3"/>
        <v>setlist</v>
      </c>
      <c r="D46" s="118" t="s">
        <v>2111</v>
      </c>
      <c r="E46" s="118" t="s">
        <v>585</v>
      </c>
      <c r="F46" s="115" t="s">
        <v>586</v>
      </c>
      <c r="G46" s="115" t="s">
        <v>36</v>
      </c>
      <c r="H46" s="116" t="str">
        <f>HYPERLINK("http://www.mediafire.com/download/cwikuep854zidkp/1999-09-26_-_Kiefer_UNO_Lakefront_Arena%2C_University_of_New_Orleans_-_New_Orleans%2C_LA.rar", "download link")</f>
        <v>download link</v>
      </c>
      <c r="I46" s="117" t="s">
        <v>2112</v>
      </c>
      <c r="J46" s="146"/>
    </row>
    <row r="47">
      <c r="A47" s="103">
        <v>36431.0</v>
      </c>
      <c r="B47" s="104"/>
      <c r="C47" s="105" t="str">
        <f t="shared" si="3"/>
        <v>setlist</v>
      </c>
      <c r="D47" s="134" t="s">
        <v>1460</v>
      </c>
      <c r="E47" s="106" t="s">
        <v>1461</v>
      </c>
      <c r="F47" s="107" t="s">
        <v>583</v>
      </c>
      <c r="G47" s="107" t="s">
        <v>36</v>
      </c>
      <c r="H47" s="105" t="str">
        <f>HYPERLINK("http://www.mediafire.com/download/n6lpqd59cckp9l1/1999-09-28_-_Oak_Mountain_Amphitheatre_-_Pelham%2C_AL.rar", "download link")</f>
        <v>download link</v>
      </c>
      <c r="I47" s="134" t="s">
        <v>2081</v>
      </c>
      <c r="J47" s="109"/>
    </row>
    <row r="48">
      <c r="A48" s="142">
        <v>36432.0</v>
      </c>
      <c r="B48" s="144"/>
      <c r="C48" s="116" t="str">
        <f t="shared" si="3"/>
        <v>setlist</v>
      </c>
      <c r="D48" s="118" t="s">
        <v>2113</v>
      </c>
      <c r="E48" s="118" t="s">
        <v>656</v>
      </c>
      <c r="F48" s="115" t="s">
        <v>650</v>
      </c>
      <c r="G48" s="115" t="s">
        <v>36</v>
      </c>
      <c r="H48" s="116" t="str">
        <f>HYPERLINK("http://www.mediafire.com/download/7ew3ot44835q38k/1999-09-29_-_Pyramid_Arena_-_Memphis%2C_TN.rar", "download link")</f>
        <v>download link</v>
      </c>
      <c r="I48" s="117" t="s">
        <v>2114</v>
      </c>
      <c r="J48" s="146"/>
    </row>
    <row r="49">
      <c r="A49" s="103">
        <v>36434.0</v>
      </c>
      <c r="B49" s="104"/>
      <c r="C49" s="105" t="str">
        <f t="shared" si="3"/>
        <v>setlist</v>
      </c>
      <c r="D49" s="106" t="s">
        <v>1776</v>
      </c>
      <c r="E49" s="106" t="s">
        <v>1777</v>
      </c>
      <c r="F49" s="107" t="s">
        <v>1201</v>
      </c>
      <c r="G49" s="107" t="s">
        <v>36</v>
      </c>
      <c r="H49" s="105" t="str">
        <f>HYPERLINK("http://www.mediafire.com/download/fvch66kc1eix964/1999-10-01_-_Hilton_Coliseum_-_Ames%2C_IA.rar", "download link")</f>
        <v>download link</v>
      </c>
      <c r="I49" s="134" t="s">
        <v>2115</v>
      </c>
      <c r="J49" s="109"/>
    </row>
    <row r="50">
      <c r="A50" s="142">
        <v>36435.0</v>
      </c>
      <c r="B50" s="144"/>
      <c r="C50" s="116" t="str">
        <f t="shared" si="3"/>
        <v>setlist</v>
      </c>
      <c r="D50" s="118" t="s">
        <v>1774</v>
      </c>
      <c r="E50" s="118" t="s">
        <v>485</v>
      </c>
      <c r="F50" s="115" t="s">
        <v>486</v>
      </c>
      <c r="G50" s="115" t="s">
        <v>36</v>
      </c>
      <c r="H50" s="116" t="str">
        <f>HYPERLINK("http://www.mediafire.com/download/v1jpsu4wf51gd4g/1999-10-02_-_Target_Center_-_Minneapolis%2C_MN.rar", "download link")</f>
        <v>download link</v>
      </c>
      <c r="I50" s="117" t="s">
        <v>2116</v>
      </c>
      <c r="J50" s="146"/>
    </row>
    <row r="51">
      <c r="A51" s="103">
        <v>36436.0</v>
      </c>
      <c r="B51" s="104"/>
      <c r="C51" s="105" t="str">
        <f t="shared" si="3"/>
        <v>setlist</v>
      </c>
      <c r="D51" s="106" t="s">
        <v>2117</v>
      </c>
      <c r="E51" s="106" t="s">
        <v>1636</v>
      </c>
      <c r="F51" s="107" t="s">
        <v>480</v>
      </c>
      <c r="G51" s="107" t="s">
        <v>36</v>
      </c>
      <c r="H51" s="105" t="str">
        <f>HYPERLINK("http://www.mediafire.com/download/2cmjf18wxv7lu2b/1999-10-03_-_Allstate_Center_-_Chicago%2C_IL.rar", "download link")</f>
        <v>download link</v>
      </c>
      <c r="I51" s="134" t="s">
        <v>2118</v>
      </c>
      <c r="J51" s="109"/>
    </row>
    <row r="52">
      <c r="A52" s="142">
        <v>36437.0</v>
      </c>
      <c r="B52" s="144"/>
      <c r="C52" s="116" t="str">
        <f t="shared" si="3"/>
        <v>setlist</v>
      </c>
      <c r="D52" s="117" t="s">
        <v>2119</v>
      </c>
      <c r="E52" s="118" t="s">
        <v>2120</v>
      </c>
      <c r="F52" s="115" t="s">
        <v>480</v>
      </c>
      <c r="G52" s="115" t="s">
        <v>36</v>
      </c>
      <c r="H52" s="116" t="str">
        <f>HYPERLINK("http://www.mediafire.com/download/tbcz9iq53vtzty2/1999-10-04_-_Redbird_Arena%2C_Illinois_State_University_-_Normal%2C_IL.rar", "download link")</f>
        <v>download link</v>
      </c>
      <c r="I52" s="117" t="s">
        <v>2121</v>
      </c>
      <c r="J52" s="146"/>
    </row>
    <row r="53">
      <c r="A53" s="103">
        <v>36440.0</v>
      </c>
      <c r="B53" s="104"/>
      <c r="C53" s="105" t="str">
        <f t="shared" si="3"/>
        <v>setlist</v>
      </c>
      <c r="D53" s="106" t="s">
        <v>1965</v>
      </c>
      <c r="E53" s="106" t="s">
        <v>1966</v>
      </c>
      <c r="F53" s="107" t="s">
        <v>129</v>
      </c>
      <c r="G53" s="107" t="s">
        <v>36</v>
      </c>
      <c r="H53" s="105" t="str">
        <f>HYPERLINK("http://www.mediafire.com/download/9dqc1zpml1m2q7f/1999-10-07_-_Nassau_Coliseum_-_Uniondale%2C_NY.rar", "download link")</f>
        <v>download link</v>
      </c>
      <c r="I53" s="134" t="s">
        <v>1639</v>
      </c>
      <c r="J53" s="109"/>
    </row>
    <row r="54">
      <c r="A54" s="142">
        <v>36441.0</v>
      </c>
      <c r="B54" s="144"/>
      <c r="C54" s="116" t="str">
        <f t="shared" si="3"/>
        <v>setlist</v>
      </c>
      <c r="D54" s="118" t="s">
        <v>1965</v>
      </c>
      <c r="E54" s="118" t="s">
        <v>1966</v>
      </c>
      <c r="F54" s="115" t="s">
        <v>129</v>
      </c>
      <c r="G54" s="115" t="s">
        <v>36</v>
      </c>
      <c r="H54" s="116" t="str">
        <f>HYPERLINK("http://www.mediafire.com/download/slg6lgyo0443fld/1999-10-08_-_Nassau_Coliseum_-_Uniondale%2C_NY.rar", "download link")</f>
        <v>download link</v>
      </c>
      <c r="I54" s="117" t="s">
        <v>1639</v>
      </c>
      <c r="J54" s="146"/>
    </row>
    <row r="55">
      <c r="A55" s="103">
        <v>36442.0</v>
      </c>
      <c r="B55" s="104"/>
      <c r="C55" s="105" t="str">
        <f t="shared" si="3"/>
        <v>setlist</v>
      </c>
      <c r="D55" s="106" t="s">
        <v>1957</v>
      </c>
      <c r="E55" s="106" t="s">
        <v>309</v>
      </c>
      <c r="F55" s="107" t="s">
        <v>129</v>
      </c>
      <c r="G55" s="107" t="s">
        <v>36</v>
      </c>
      <c r="H55" s="105" t="str">
        <f>HYPERLINK("http://www.mediafire.com/download/57z4w914cl9l578/1999-10-09_-_Pepsi_Arena_-_Albany%2C_NY.rar", "download link")</f>
        <v>download link</v>
      </c>
      <c r="I55" s="134" t="s">
        <v>2122</v>
      </c>
      <c r="J55" s="109"/>
    </row>
    <row r="56">
      <c r="A56" s="142">
        <v>36443.0</v>
      </c>
      <c r="B56" s="144"/>
      <c r="C56" s="116" t="str">
        <f t="shared" si="3"/>
        <v>setlist</v>
      </c>
      <c r="D56" s="118" t="s">
        <v>1957</v>
      </c>
      <c r="E56" s="118" t="s">
        <v>309</v>
      </c>
      <c r="F56" s="115" t="s">
        <v>129</v>
      </c>
      <c r="G56" s="115" t="s">
        <v>36</v>
      </c>
      <c r="H56" s="116" t="str">
        <f>HYPERLINK("http://www.mediafire.com/download/54m4bg39ec023f6/1999-10-10_-_Pepsi_Arena_-_Albany%2C_NY.rar", "download link")</f>
        <v>download link</v>
      </c>
      <c r="I56" s="117" t="s">
        <v>1639</v>
      </c>
      <c r="J56" s="146"/>
    </row>
    <row r="57">
      <c r="A57" s="103">
        <v>36496.0</v>
      </c>
      <c r="B57" s="104"/>
      <c r="C57" s="105" t="str">
        <f t="shared" si="3"/>
        <v>setlist</v>
      </c>
      <c r="D57" s="106" t="s">
        <v>1630</v>
      </c>
      <c r="E57" s="106" t="s">
        <v>2123</v>
      </c>
      <c r="F57" s="107" t="s">
        <v>712</v>
      </c>
      <c r="G57" s="107" t="s">
        <v>36</v>
      </c>
      <c r="H57" s="105" t="str">
        <f>HYPERLINK("http://www.mediafire.com/download/6hf2crq3w9n4cmx/1999-12-02_-_The_Palace_of_Auburn_Hills_-_Auburn_Hills%2C_MI.rar", "download link")</f>
        <v>download link</v>
      </c>
      <c r="I57" s="134" t="s">
        <v>2124</v>
      </c>
      <c r="J57" s="109"/>
    </row>
    <row r="58">
      <c r="A58" s="142">
        <v>36497.0</v>
      </c>
      <c r="B58" s="144"/>
      <c r="C58" s="116" t="str">
        <f t="shared" si="3"/>
        <v>setlist</v>
      </c>
      <c r="D58" s="118" t="s">
        <v>2125</v>
      </c>
      <c r="E58" s="118" t="s">
        <v>943</v>
      </c>
      <c r="F58" s="115" t="s">
        <v>472</v>
      </c>
      <c r="G58" s="115" t="s">
        <v>36</v>
      </c>
      <c r="H58" s="116" t="str">
        <f>HYPERLINK("http://www.mediafire.com/download/a7uv593vod9ayly/1999-12-03_-_Firstar_Center_-_Cincinnati%2C_OH.rar", "download link")</f>
        <v>download link</v>
      </c>
      <c r="I58" s="117" t="s">
        <v>2126</v>
      </c>
      <c r="J58" s="146"/>
    </row>
    <row r="59">
      <c r="A59" s="103">
        <v>36498.0</v>
      </c>
      <c r="B59" s="104"/>
      <c r="C59" s="105" t="str">
        <f t="shared" si="3"/>
        <v>setlist</v>
      </c>
      <c r="D59" s="106" t="s">
        <v>2125</v>
      </c>
      <c r="E59" s="106" t="s">
        <v>943</v>
      </c>
      <c r="F59" s="107" t="s">
        <v>472</v>
      </c>
      <c r="G59" s="107" t="s">
        <v>36</v>
      </c>
      <c r="H59" s="105" t="str">
        <f>HYPERLINK("http://www.mediafire.com/download/y00z0c12tnimyfp/1999-12-04_-_Firstar_Center_-_Cincinnati%2C_OH.rar", "download link")</f>
        <v>download link</v>
      </c>
      <c r="I59" s="134" t="s">
        <v>2081</v>
      </c>
      <c r="J59" s="109"/>
    </row>
    <row r="60">
      <c r="A60" s="142">
        <v>36499.0</v>
      </c>
      <c r="B60" s="144"/>
      <c r="C60" s="116" t="str">
        <f t="shared" si="3"/>
        <v>setlist</v>
      </c>
      <c r="D60" s="118" t="s">
        <v>2127</v>
      </c>
      <c r="E60" s="118" t="s">
        <v>718</v>
      </c>
      <c r="F60" s="115" t="s">
        <v>129</v>
      </c>
      <c r="G60" s="115" t="s">
        <v>36</v>
      </c>
      <c r="H60" s="116" t="str">
        <f>HYPERLINK("http://www.mediafire.com/download/sb5ldfd9xeqv2fb/1999-12-05_-_BlueCross_Arena_-_Rochester%2C_NY.rar", "download link")</f>
        <v>download link</v>
      </c>
      <c r="I60" s="117" t="s">
        <v>1639</v>
      </c>
      <c r="J60" s="146"/>
    </row>
    <row r="61">
      <c r="A61" s="103">
        <v>36501.0</v>
      </c>
      <c r="B61" s="104"/>
      <c r="C61" s="105" t="str">
        <f t="shared" si="3"/>
        <v>setlist</v>
      </c>
      <c r="D61" s="106" t="s">
        <v>988</v>
      </c>
      <c r="E61" s="106" t="s">
        <v>279</v>
      </c>
      <c r="F61" s="107" t="s">
        <v>257</v>
      </c>
      <c r="G61" s="107" t="s">
        <v>36</v>
      </c>
      <c r="H61" s="105" t="str">
        <f>HYPERLINK("http://www.mediafire.com/download/iji55ajgu0yfcp2/1999-12-07_-_Cumberland_County_Civic_Center_-_Portland%2C_ME.rar", "download link")</f>
        <v>download link</v>
      </c>
      <c r="I61" s="134" t="s">
        <v>1639</v>
      </c>
      <c r="J61" s="109"/>
    </row>
    <row r="62">
      <c r="A62" s="142">
        <v>36502.0</v>
      </c>
      <c r="B62" s="144"/>
      <c r="C62" s="116" t="str">
        <f t="shared" si="3"/>
        <v>setlist</v>
      </c>
      <c r="D62" s="118" t="s">
        <v>988</v>
      </c>
      <c r="E62" s="118" t="s">
        <v>279</v>
      </c>
      <c r="F62" s="115" t="s">
        <v>257</v>
      </c>
      <c r="G62" s="115" t="s">
        <v>36</v>
      </c>
      <c r="H62" s="116" t="str">
        <f>HYPERLINK("http://www.mediafire.com/download/iv1f3mc2ij2olys/1999-12-08_-_Cumberland_County_Civic_Center_-_Portland%2C_ME.rar", "download link")</f>
        <v>download link</v>
      </c>
      <c r="I62" s="117" t="s">
        <v>1639</v>
      </c>
      <c r="J62" s="146"/>
    </row>
    <row r="63">
      <c r="A63" s="103">
        <v>36504.0</v>
      </c>
      <c r="B63" s="104"/>
      <c r="C63" s="105" t="str">
        <f t="shared" si="3"/>
        <v>setlist</v>
      </c>
      <c r="D63" s="106" t="s">
        <v>2128</v>
      </c>
      <c r="E63" s="106" t="s">
        <v>871</v>
      </c>
      <c r="F63" s="107" t="s">
        <v>212</v>
      </c>
      <c r="G63" s="107" t="s">
        <v>36</v>
      </c>
      <c r="H63" s="105" t="str">
        <f>HYPERLINK("http://www.mediafire.com/download/t43n3t0ss79p35r/1999-12-10_-_First_Union_Spectrum_-_Philadelphia%2C_PA.rar", "download link")</f>
        <v>download link</v>
      </c>
      <c r="I63" s="134" t="s">
        <v>2129</v>
      </c>
      <c r="J63" s="109"/>
    </row>
    <row r="64">
      <c r="A64" s="142">
        <v>36505.0</v>
      </c>
      <c r="B64" s="144"/>
      <c r="C64" s="116" t="str">
        <f t="shared" si="3"/>
        <v>setlist</v>
      </c>
      <c r="D64" s="118" t="s">
        <v>2128</v>
      </c>
      <c r="E64" s="118" t="s">
        <v>871</v>
      </c>
      <c r="F64" s="115" t="s">
        <v>212</v>
      </c>
      <c r="G64" s="115" t="s">
        <v>36</v>
      </c>
      <c r="H64" s="116" t="str">
        <f>HYPERLINK("http://www.mediafire.com/download/i795rp8e1iqfqis/1999-12-11_-_First_Union_Spectrum_-_Philadelphia%2C_PA.rar", "download link")</f>
        <v>download link</v>
      </c>
      <c r="I64" s="117" t="s">
        <v>2130</v>
      </c>
      <c r="J64" s="146"/>
    </row>
    <row r="65">
      <c r="A65" s="103">
        <v>36506.0</v>
      </c>
      <c r="B65" s="104"/>
      <c r="C65" s="105" t="str">
        <f t="shared" si="3"/>
        <v>setlist</v>
      </c>
      <c r="D65" s="106" t="s">
        <v>1758</v>
      </c>
      <c r="E65" s="106" t="s">
        <v>323</v>
      </c>
      <c r="F65" s="107" t="s">
        <v>171</v>
      </c>
      <c r="G65" s="107" t="s">
        <v>36</v>
      </c>
      <c r="H65" s="105" t="str">
        <f>HYPERLINK("http://www.mediafire.com/download/e557zujrajgjf17/1999-12-12_-_Hartford_Civic_Center_-_Hartford%2C_CT.rar", "download link")</f>
        <v>download link</v>
      </c>
      <c r="I65" s="134" t="s">
        <v>2131</v>
      </c>
      <c r="J65" s="109"/>
    </row>
    <row r="66">
      <c r="A66" s="142">
        <v>36507.0</v>
      </c>
      <c r="B66" s="144"/>
      <c r="C66" s="116" t="str">
        <f t="shared" si="3"/>
        <v>setlist</v>
      </c>
      <c r="D66" s="118" t="s">
        <v>1549</v>
      </c>
      <c r="E66" s="118" t="s">
        <v>297</v>
      </c>
      <c r="F66" s="115" t="s">
        <v>298</v>
      </c>
      <c r="G66" s="115" t="s">
        <v>36</v>
      </c>
      <c r="H66" s="116" t="str">
        <f>HYPERLINK("http://www.mediafire.com/download/svu6iki3gbh8kdz/1999-12-13_-_Providence_Civic_Center_-_Providence%2C_RI.rar", "download link")</f>
        <v>download link</v>
      </c>
      <c r="I66" s="117" t="s">
        <v>2132</v>
      </c>
      <c r="J66" s="146"/>
    </row>
    <row r="67">
      <c r="A67" s="103">
        <v>36509.0</v>
      </c>
      <c r="B67" s="104"/>
      <c r="C67" s="105" t="str">
        <f t="shared" si="3"/>
        <v>setlist</v>
      </c>
      <c r="D67" s="106" t="s">
        <v>2133</v>
      </c>
      <c r="E67" s="106" t="s">
        <v>393</v>
      </c>
      <c r="F67" s="107" t="s">
        <v>394</v>
      </c>
      <c r="G67" s="107" t="s">
        <v>36</v>
      </c>
      <c r="H67" s="105" t="str">
        <f>HYPERLINK("http://www.mediafire.com/download/65n9cri786rjpur/1999-12-15_-_MCI_Center_-_Washington%2C_DC.rar", "download link")</f>
        <v>download link</v>
      </c>
      <c r="I67" s="134" t="s">
        <v>2134</v>
      </c>
      <c r="J67" s="109"/>
    </row>
    <row r="68">
      <c r="A68" s="142">
        <v>36510.0</v>
      </c>
      <c r="B68" s="144"/>
      <c r="C68" s="116" t="str">
        <f t="shared" si="3"/>
        <v>setlist</v>
      </c>
      <c r="D68" s="118" t="s">
        <v>2135</v>
      </c>
      <c r="E68" s="118" t="s">
        <v>536</v>
      </c>
      <c r="F68" s="115" t="s">
        <v>443</v>
      </c>
      <c r="G68" s="115" t="s">
        <v>36</v>
      </c>
      <c r="H68" s="116" t="str">
        <f>HYPERLINK("http://www.mediafire.com/download/nvmgv4jmbjhplnh/1999-12-16_-_Reynolds_Coliseum_-_Raleigh%2C_NC.rar", "download link")</f>
        <v>download link</v>
      </c>
      <c r="I68" s="117" t="s">
        <v>2134</v>
      </c>
      <c r="J68" s="146"/>
    </row>
    <row r="69">
      <c r="A69" s="103">
        <v>36511.0</v>
      </c>
      <c r="B69" s="104"/>
      <c r="C69" s="105" t="str">
        <f t="shared" si="3"/>
        <v>setlist</v>
      </c>
      <c r="D69" s="106" t="s">
        <v>1659</v>
      </c>
      <c r="E69" s="106" t="s">
        <v>1660</v>
      </c>
      <c r="F69" s="107" t="s">
        <v>446</v>
      </c>
      <c r="G69" s="107" t="s">
        <v>36</v>
      </c>
      <c r="H69" s="105" t="str">
        <f>HYPERLINK("http://www.mediafire.com/download/dgf4fcbwmhd6b6m/1999-12-17_-_Hampton_Coliseum_-_Hampton%2C_VA.rar", "download link")</f>
        <v>download link</v>
      </c>
      <c r="I69" s="134" t="s">
        <v>2132</v>
      </c>
      <c r="J69" s="109"/>
    </row>
    <row r="70">
      <c r="A70" s="167">
        <v>36512.0</v>
      </c>
      <c r="B70" s="175"/>
      <c r="C70" s="166" t="str">
        <f t="shared" si="3"/>
        <v>setlist</v>
      </c>
      <c r="D70" s="169" t="s">
        <v>1659</v>
      </c>
      <c r="E70" s="169" t="s">
        <v>1660</v>
      </c>
      <c r="F70" s="168" t="s">
        <v>446</v>
      </c>
      <c r="G70" s="168" t="s">
        <v>36</v>
      </c>
      <c r="H70" s="116" t="str">
        <f>HYPERLINK("http://www.mediafire.com/download/1vx249e1g0ac988/1999-12-18_-_Hampton_Coliseum_-_Hampton%2C_VA.rar", "download link")</f>
        <v>download link</v>
      </c>
      <c r="I70" s="171" t="s">
        <v>2136</v>
      </c>
      <c r="J70" s="176"/>
    </row>
    <row r="71">
      <c r="A71" s="92"/>
      <c r="B71" s="93"/>
      <c r="C71" s="94"/>
      <c r="D71" s="83" t="s">
        <v>2137</v>
      </c>
      <c r="E71" s="95"/>
      <c r="F71" s="93"/>
      <c r="G71" s="93"/>
      <c r="H71" s="93"/>
      <c r="I71" s="95"/>
      <c r="J71" s="95"/>
    </row>
    <row r="72">
      <c r="A72" s="125">
        <v>36523.0</v>
      </c>
      <c r="B72" s="126"/>
      <c r="C72" s="98" t="str">
        <f t="shared" ref="C72:C74" si="4">HYPERLINK("http://www.phish.net/setlists/?d="&amp;RIGHT(TEXT(A72,"mm/dd/yyyy"),4)&amp;"-"&amp;LEFT(TEXT(A72,"mm/dd/yyyy"),2)&amp;"-"&amp;MID(TEXT(A72,"mm/dd/yyyy"),4,2), "setlist")</f>
        <v>setlist</v>
      </c>
      <c r="D72" s="102" t="s">
        <v>2138</v>
      </c>
      <c r="E72" s="102" t="s">
        <v>2139</v>
      </c>
      <c r="F72" s="127" t="s">
        <v>1133</v>
      </c>
      <c r="G72" s="127" t="s">
        <v>36</v>
      </c>
      <c r="H72" s="116" t="str">
        <f>HYPERLINK("http://www.mediafire.com/download/hlnf0f6znp3n9k2/1999-12-29_-_Big_Cypress_Soundcheck_-_Big_Cypress%2C_FL.rar", "download link")</f>
        <v>download link</v>
      </c>
      <c r="I72" s="101" t="s">
        <v>2140</v>
      </c>
      <c r="J72" s="102" t="s">
        <v>2141</v>
      </c>
    </row>
    <row r="73">
      <c r="A73" s="103">
        <v>36524.0</v>
      </c>
      <c r="B73" s="104"/>
      <c r="C73" s="105" t="str">
        <f t="shared" si="4"/>
        <v>setlist</v>
      </c>
      <c r="D73" s="106" t="s">
        <v>2142</v>
      </c>
      <c r="E73" s="106" t="s">
        <v>2139</v>
      </c>
      <c r="F73" s="107" t="s">
        <v>1133</v>
      </c>
      <c r="G73" s="107" t="s">
        <v>36</v>
      </c>
      <c r="H73" s="105" t="str">
        <f>HYPERLINK("http://www.mediafire.com/download/if03wqa15fglz1h/1999-12-30_-_Big_Cypress_Seminole_Indian_Reservation_-_Big_Cypress%2C_FL.rar", "download link")</f>
        <v>download link</v>
      </c>
      <c r="I73" s="134" t="s">
        <v>2143</v>
      </c>
      <c r="J73" s="109"/>
    </row>
    <row r="74">
      <c r="A74" s="110">
        <v>36525.0</v>
      </c>
      <c r="B74" s="111"/>
      <c r="C74" s="135" t="str">
        <f t="shared" si="4"/>
        <v>setlist</v>
      </c>
      <c r="D74" s="113" t="s">
        <v>2142</v>
      </c>
      <c r="E74" s="113" t="s">
        <v>2139</v>
      </c>
      <c r="F74" s="114" t="s">
        <v>1133</v>
      </c>
      <c r="G74" s="114" t="s">
        <v>36</v>
      </c>
      <c r="H74" s="116" t="str">
        <f>HYPERLINK("http://www.mediafire.com/download/3xg18sp4byawvs8/1999-12-31_-_Big_Cypress_Seminole_Indian_Reservation_-_Big_Cypress%2C_FL.rar", "download link")</f>
        <v>download link</v>
      </c>
      <c r="I74" s="136" t="s">
        <v>2144</v>
      </c>
      <c r="J74" s="8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73.25"/>
  </cols>
  <sheetData>
    <row r="1">
      <c r="A1" s="77"/>
      <c r="B1" s="212"/>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3" t="s">
        <v>2145</v>
      </c>
    </row>
    <row r="3">
      <c r="A3" s="89"/>
      <c r="B3" s="215"/>
      <c r="C3" s="87"/>
      <c r="D3" s="87"/>
      <c r="E3" s="87"/>
      <c r="F3" s="87"/>
      <c r="G3" s="87"/>
      <c r="H3" s="87"/>
      <c r="I3" s="89"/>
      <c r="J3" s="89"/>
    </row>
    <row r="4">
      <c r="A4" s="95"/>
      <c r="B4" s="251"/>
      <c r="C4" s="93"/>
      <c r="D4" s="83" t="s">
        <v>2146</v>
      </c>
      <c r="E4" s="95"/>
      <c r="F4" s="93"/>
      <c r="G4" s="93"/>
      <c r="H4" s="93"/>
      <c r="I4" s="95"/>
      <c r="J4" s="95"/>
    </row>
    <row r="5">
      <c r="A5" s="190">
        <v>36661.0</v>
      </c>
      <c r="B5" s="252" t="s">
        <v>32</v>
      </c>
      <c r="C5" s="98" t="str">
        <f t="shared" ref="C5:C8" si="1">HYPERLINK("http://phish.net/setlists/?d="&amp;RIGHT(TEXT(A5,"mm/dd/yyyy"),4)&amp;"-"&amp;LEFT(TEXT(A5,"mm/dd/yyyy"),2)&amp;"-"&amp;MID(TEXT(A5,"mm/dd/yyyy"),4,2), "setlist")</f>
        <v>setlist</v>
      </c>
      <c r="D5" s="192" t="s">
        <v>2147</v>
      </c>
      <c r="E5" s="192" t="s">
        <v>871</v>
      </c>
      <c r="F5" s="191" t="s">
        <v>212</v>
      </c>
      <c r="G5" s="191" t="s">
        <v>36</v>
      </c>
      <c r="H5" s="178" t="str">
        <f>HYPERLINK("http://www.mediafire.com/download/s8ej7cdt7432t8t/2000-05-15_-_Sonic_Studios_-_Philadelphia%2C_PA_%28a%29.rar", "download link")</f>
        <v>download link</v>
      </c>
      <c r="I5" s="193" t="s">
        <v>2148</v>
      </c>
      <c r="J5" s="192" t="s">
        <v>2149</v>
      </c>
    </row>
    <row r="6">
      <c r="A6" s="103">
        <v>36661.0</v>
      </c>
      <c r="B6" s="133" t="s">
        <v>32</v>
      </c>
      <c r="C6" s="105" t="str">
        <f t="shared" si="1"/>
        <v>setlist</v>
      </c>
      <c r="D6" s="106" t="s">
        <v>2147</v>
      </c>
      <c r="E6" s="106" t="s">
        <v>871</v>
      </c>
      <c r="F6" s="107" t="s">
        <v>212</v>
      </c>
      <c r="G6" s="107" t="s">
        <v>36</v>
      </c>
      <c r="H6" s="105" t="str">
        <f>HYPERLINK("http://www.mediafire.com/download/sx2lsbjjen6lu8z/2000-05-15_-_Sonic_Studios_-_Philadelphia%2C_PA_%28b%29.rar", "download link")</f>
        <v>download link</v>
      </c>
      <c r="I6" s="134" t="s">
        <v>2150</v>
      </c>
      <c r="J6" s="106" t="s">
        <v>2151</v>
      </c>
    </row>
    <row r="7">
      <c r="A7" s="142">
        <v>36662.0</v>
      </c>
      <c r="B7" s="156"/>
      <c r="C7" s="116" t="str">
        <f t="shared" si="1"/>
        <v>setlist</v>
      </c>
      <c r="D7" s="118" t="s">
        <v>1551</v>
      </c>
      <c r="E7" s="118" t="s">
        <v>162</v>
      </c>
      <c r="F7" s="115" t="s">
        <v>129</v>
      </c>
      <c r="G7" s="115" t="s">
        <v>36</v>
      </c>
      <c r="H7" s="116" t="str">
        <f>HYPERLINK("http://www.mediafire.com/download/xlcpzlh9awvptjz/2000-05-16_-_Ed_Sullivan_Theater_-_New_York%2C_NY.rar", "download link")</f>
        <v>download link</v>
      </c>
      <c r="I7" s="117" t="s">
        <v>2152</v>
      </c>
      <c r="J7" s="146"/>
    </row>
    <row r="8">
      <c r="A8" s="103">
        <v>36664.0</v>
      </c>
      <c r="B8" s="133" t="s">
        <v>32</v>
      </c>
      <c r="C8" s="105" t="str">
        <f t="shared" si="1"/>
        <v>setlist</v>
      </c>
      <c r="D8" s="134" t="s">
        <v>2153</v>
      </c>
      <c r="E8" s="106" t="s">
        <v>686</v>
      </c>
      <c r="F8" s="107" t="s">
        <v>679</v>
      </c>
      <c r="G8" s="107" t="s">
        <v>36</v>
      </c>
      <c r="H8" s="105" t="str">
        <f>HYPERLINK("http://www.mediafire.com/download/u1b9dqrntbz6f2t/2000-05-18_-_Fantasy_Studios_-_Berkeley%2C_CA.rar", "download link")</f>
        <v>download link</v>
      </c>
      <c r="I8" s="134" t="s">
        <v>2154</v>
      </c>
      <c r="J8" s="109"/>
    </row>
    <row r="9">
      <c r="A9" s="142">
        <v>36665.0</v>
      </c>
      <c r="B9" s="151" t="s">
        <v>32</v>
      </c>
      <c r="C9" s="116" t="str">
        <f>HYPERLINK("http://phish.net/setlists/?showid=1251864582", "setlist")</f>
        <v>setlist</v>
      </c>
      <c r="D9" s="118" t="s">
        <v>2155</v>
      </c>
      <c r="E9" s="118" t="s">
        <v>911</v>
      </c>
      <c r="F9" s="115" t="s">
        <v>679</v>
      </c>
      <c r="G9" s="115" t="s">
        <v>36</v>
      </c>
      <c r="H9" s="116" t="str">
        <f>HYPERLINK("http://www.mediafire.com/download/38zt0q22bvctvzt/2000-05-19_-_Key_Club_-_Los_Angeles%2C_CA_%28a%29.rar", "download link")</f>
        <v>download link</v>
      </c>
      <c r="I9" s="117" t="s">
        <v>2156</v>
      </c>
      <c r="J9" s="118"/>
    </row>
    <row r="10">
      <c r="A10" s="103">
        <v>36665.0</v>
      </c>
      <c r="B10" s="195" t="s">
        <v>32</v>
      </c>
      <c r="C10" s="105" t="str">
        <f>HYPERLINK("http://phish.net/setlists/?showid=1251864756", "setlist")</f>
        <v>setlist</v>
      </c>
      <c r="D10" s="134" t="s">
        <v>2155</v>
      </c>
      <c r="E10" s="134" t="s">
        <v>911</v>
      </c>
      <c r="F10" s="141" t="s">
        <v>679</v>
      </c>
      <c r="G10" s="141" t="s">
        <v>36</v>
      </c>
      <c r="H10" s="105" t="str">
        <f>HYPERLINK("http://www.mediafire.com/download/cghr645vh3k2kt0/2000-05-19_-_Key_Club_-_Los_Angeles%2C_CA_%28b%29.rar", "download link")</f>
        <v>download link</v>
      </c>
      <c r="I10" s="134" t="s">
        <v>2156</v>
      </c>
      <c r="J10" s="109"/>
    </row>
    <row r="11">
      <c r="A11" s="142">
        <v>36667.0</v>
      </c>
      <c r="B11" s="156"/>
      <c r="C11" s="116" t="str">
        <f t="shared" ref="C11:C13" si="2">HYPERLINK("http://phish.net/setlists/?d="&amp;RIGHT(TEXT(A11,"mm/dd/yyyy"),4)&amp;"-"&amp;LEFT(TEXT(A11,"mm/dd/yyyy"),2)&amp;"-"&amp;MID(TEXT(A11,"mm/dd/yyyy"),4,2), "setlist")</f>
        <v>setlist</v>
      </c>
      <c r="D11" s="118" t="s">
        <v>2157</v>
      </c>
      <c r="E11" s="118" t="s">
        <v>162</v>
      </c>
      <c r="F11" s="115" t="s">
        <v>129</v>
      </c>
      <c r="G11" s="115" t="s">
        <v>36</v>
      </c>
      <c r="H11" s="116" t="str">
        <f>HYPERLINK("http://www.mediafire.com/download/a17uku1xrhbcx2m/2000-05-21_-_Radio_City_Music_Hall_-_New_York%2C_NY.rar", "download link")</f>
        <v>download link</v>
      </c>
      <c r="I11" s="117" t="s">
        <v>2158</v>
      </c>
      <c r="J11" s="146"/>
    </row>
    <row r="12">
      <c r="A12" s="103">
        <v>36668.0</v>
      </c>
      <c r="B12" s="131"/>
      <c r="C12" s="105" t="str">
        <f t="shared" si="2"/>
        <v>setlist</v>
      </c>
      <c r="D12" s="106" t="s">
        <v>2157</v>
      </c>
      <c r="E12" s="106" t="s">
        <v>162</v>
      </c>
      <c r="F12" s="107" t="s">
        <v>129</v>
      </c>
      <c r="G12" s="107" t="s">
        <v>36</v>
      </c>
      <c r="H12" s="105" t="str">
        <f>HYPERLINK("http://www.mediafire.com/download/p7obz7e3s19zzxx/2000-05-22_-_Radio_City_Music_Hall_-_New_York%2C_NY.rar", "download link")</f>
        <v>download link</v>
      </c>
      <c r="I12" s="134" t="s">
        <v>2159</v>
      </c>
      <c r="J12" s="109"/>
    </row>
    <row r="13">
      <c r="A13" s="167">
        <v>36669.0</v>
      </c>
      <c r="B13" s="201" t="s">
        <v>32</v>
      </c>
      <c r="C13" s="166" t="str">
        <f t="shared" si="2"/>
        <v>setlist</v>
      </c>
      <c r="D13" s="169" t="s">
        <v>863</v>
      </c>
      <c r="E13" s="169" t="s">
        <v>162</v>
      </c>
      <c r="F13" s="168" t="s">
        <v>129</v>
      </c>
      <c r="G13" s="168" t="s">
        <v>36</v>
      </c>
      <c r="H13" s="116" t="str">
        <f>HYPERLINK("http://www.mediafire.com/download/ab1esgnosjajcbo/2000-05-23_-_Roseland_Ballroom_-_New_York%2C_NY.rar", "download link")</f>
        <v>download link</v>
      </c>
      <c r="I13" s="171" t="s">
        <v>23</v>
      </c>
      <c r="J13" s="169" t="s">
        <v>287</v>
      </c>
    </row>
    <row r="14">
      <c r="A14" s="95"/>
      <c r="B14" s="251"/>
      <c r="C14" s="94"/>
      <c r="D14" s="83" t="s">
        <v>2160</v>
      </c>
      <c r="E14" s="95"/>
      <c r="F14" s="93"/>
      <c r="G14" s="93"/>
      <c r="H14" s="93"/>
      <c r="I14" s="95"/>
      <c r="J14" s="95"/>
    </row>
    <row r="15">
      <c r="A15" s="125">
        <v>36686.0</v>
      </c>
      <c r="B15" s="207"/>
      <c r="C15" s="98" t="str">
        <f t="shared" ref="C15:C21" si="3">HYPERLINK("http://phish.net/setlists/?d="&amp;RIGHT(TEXT(A15,"mm/dd/yyyy"),4)&amp;"-"&amp;LEFT(TEXT(A15,"mm/dd/yyyy"),2)&amp;"-"&amp;MID(TEXT(A15,"mm/dd/yyyy"),4,2), "setlist")</f>
        <v>setlist</v>
      </c>
      <c r="D15" s="102" t="s">
        <v>2161</v>
      </c>
      <c r="E15" s="102" t="s">
        <v>2162</v>
      </c>
      <c r="F15" s="127" t="s">
        <v>2085</v>
      </c>
      <c r="G15" s="127" t="s">
        <v>36</v>
      </c>
      <c r="H15" s="116" t="str">
        <f>HYPERLINK("http://www.mediafire.com/download/mbfqoc72fpc5j6c/2000-06-09_-_On_Air_East_-_Shibuya-ku%2C_Tokyo%2C_Japan.rar", "download link")</f>
        <v>download link</v>
      </c>
      <c r="I15" s="101" t="s">
        <v>2163</v>
      </c>
      <c r="J15" s="129"/>
    </row>
    <row r="16">
      <c r="A16" s="103">
        <v>36687.0</v>
      </c>
      <c r="B16" s="131"/>
      <c r="C16" s="105" t="str">
        <f t="shared" si="3"/>
        <v>setlist</v>
      </c>
      <c r="D16" s="106" t="s">
        <v>2164</v>
      </c>
      <c r="E16" s="106" t="s">
        <v>2162</v>
      </c>
      <c r="F16" s="107" t="s">
        <v>2085</v>
      </c>
      <c r="G16" s="107" t="s">
        <v>36</v>
      </c>
      <c r="H16" s="105" t="str">
        <f>HYPERLINK("http://www.mediafire.com/download/2arwlng90yc0gsi/2000-06-10_-_Zepp_-_Koto-ku%2C_Tokyo%2C_Japan.rar", "download link")</f>
        <v>download link</v>
      </c>
      <c r="I16" s="134" t="s">
        <v>2163</v>
      </c>
      <c r="J16" s="109"/>
    </row>
    <row r="17">
      <c r="A17" s="110">
        <v>36688.0</v>
      </c>
      <c r="B17" s="158"/>
      <c r="C17" s="135" t="str">
        <f t="shared" si="3"/>
        <v>setlist</v>
      </c>
      <c r="D17" s="113" t="s">
        <v>2165</v>
      </c>
      <c r="E17" s="113" t="s">
        <v>2162</v>
      </c>
      <c r="F17" s="114" t="s">
        <v>2085</v>
      </c>
      <c r="G17" s="114" t="s">
        <v>36</v>
      </c>
      <c r="H17" s="116" t="str">
        <f>HYPERLINK("http://www.mediafire.com/download/arozx5dpvd3pz4a/2000-06-11_-_Hibiya_Outdoor_Theatre_-_Chiyoda-ku%2C_Tokyo%2C_Japan.rar", "download link")</f>
        <v>download link</v>
      </c>
      <c r="I17" s="136" t="s">
        <v>2166</v>
      </c>
      <c r="J17" s="80"/>
    </row>
    <row r="18">
      <c r="A18" s="103">
        <v>36690.0</v>
      </c>
      <c r="B18" s="131"/>
      <c r="C18" s="105" t="str">
        <f t="shared" si="3"/>
        <v>setlist</v>
      </c>
      <c r="D18" s="106" t="s">
        <v>2167</v>
      </c>
      <c r="E18" s="106" t="s">
        <v>2168</v>
      </c>
      <c r="F18" s="107" t="s">
        <v>2085</v>
      </c>
      <c r="G18" s="107" t="s">
        <v>36</v>
      </c>
      <c r="H18" s="105" t="str">
        <f>HYPERLINK("http://www.mediafire.com/download/a8lgesix399yaxa/2000-06-13_-_Club_Quattro_-_Naka-ku%2C_Nagoya%2C_Japan.rar", "download link")</f>
        <v>download link</v>
      </c>
      <c r="I18" s="134" t="s">
        <v>2169</v>
      </c>
      <c r="J18" s="106" t="s">
        <v>287</v>
      </c>
    </row>
    <row r="19">
      <c r="A19" s="110">
        <v>36691.0</v>
      </c>
      <c r="B19" s="158"/>
      <c r="C19" s="135" t="str">
        <f t="shared" si="3"/>
        <v>setlist</v>
      </c>
      <c r="D19" s="113" t="s">
        <v>2170</v>
      </c>
      <c r="E19" s="113" t="s">
        <v>2171</v>
      </c>
      <c r="F19" s="114" t="s">
        <v>2085</v>
      </c>
      <c r="G19" s="114" t="s">
        <v>36</v>
      </c>
      <c r="H19" s="116" t="str">
        <f>HYPERLINK("http://www.mediafire.com/download/im2d5hd5r3z31r7/2000-06-14_-_Drum_Logos_-_Chuo-ku%2C_Fukuoka%2C_Japan.rar", "download link")</f>
        <v>download link</v>
      </c>
      <c r="I19" s="136" t="s">
        <v>2172</v>
      </c>
      <c r="J19" s="113" t="s">
        <v>287</v>
      </c>
    </row>
    <row r="20">
      <c r="A20" s="103">
        <v>36692.0</v>
      </c>
      <c r="B20" s="133" t="s">
        <v>32</v>
      </c>
      <c r="C20" s="105" t="str">
        <f t="shared" si="3"/>
        <v>setlist</v>
      </c>
      <c r="D20" s="106" t="s">
        <v>2173</v>
      </c>
      <c r="E20" s="106" t="s">
        <v>2174</v>
      </c>
      <c r="F20" s="107" t="s">
        <v>2085</v>
      </c>
      <c r="G20" s="107" t="s">
        <v>36</v>
      </c>
      <c r="H20" s="105" t="str">
        <f>HYPERLINK("http://www.mediafire.com/download/q3wh0nvc5vbcpi0/2000-06-15_-_Big_Cat_-_Chuo-ku%2C_Osaka%2C_Japan.rar", "download link")</f>
        <v>download link</v>
      </c>
      <c r="I20" s="134" t="s">
        <v>2175</v>
      </c>
      <c r="J20" s="134" t="s">
        <v>287</v>
      </c>
    </row>
    <row r="21">
      <c r="A21" s="202">
        <v>36693.0</v>
      </c>
      <c r="B21" s="232" t="s">
        <v>32</v>
      </c>
      <c r="C21" s="203" t="str">
        <f t="shared" si="3"/>
        <v>setlist</v>
      </c>
      <c r="D21" s="204" t="s">
        <v>2164</v>
      </c>
      <c r="E21" s="204" t="s">
        <v>2174</v>
      </c>
      <c r="F21" s="205" t="s">
        <v>2085</v>
      </c>
      <c r="G21" s="205" t="s">
        <v>36</v>
      </c>
      <c r="H21" s="116" t="str">
        <f>HYPERLINK("http://www.mediafire.com/download/0euoltvzubezydj/2000-06-16_-_Zepp_-_Suminoe-ku%2C_Osaka%2C_Japan.rar", "download link")</f>
        <v>download link</v>
      </c>
      <c r="I21" s="171" t="s">
        <v>2175</v>
      </c>
      <c r="J21" s="171" t="s">
        <v>287</v>
      </c>
    </row>
    <row r="22">
      <c r="A22" s="95"/>
      <c r="B22" s="251"/>
      <c r="C22" s="94"/>
      <c r="D22" s="83" t="s">
        <v>2176</v>
      </c>
      <c r="E22" s="95"/>
      <c r="F22" s="93"/>
      <c r="G22" s="93"/>
      <c r="H22" s="93"/>
      <c r="I22" s="95"/>
      <c r="J22" s="95"/>
    </row>
    <row r="23">
      <c r="A23" s="190">
        <v>36699.0</v>
      </c>
      <c r="B23" s="253"/>
      <c r="C23" s="98" t="str">
        <f t="shared" ref="C23:C42" si="4">HYPERLINK("http://phish.net/setlists/?d="&amp;RIGHT(TEXT(A23,"mm/dd/yyyy"),4)&amp;"-"&amp;LEFT(TEXT(A23,"mm/dd/yyyy"),2)&amp;"-"&amp;MID(TEXT(A23,"mm/dd/yyyy"),4,2), "setlist")</f>
        <v>setlist</v>
      </c>
      <c r="D23" s="192" t="s">
        <v>2177</v>
      </c>
      <c r="E23" s="192" t="s">
        <v>1268</v>
      </c>
      <c r="F23" s="191" t="s">
        <v>650</v>
      </c>
      <c r="G23" s="191" t="s">
        <v>36</v>
      </c>
      <c r="H23" s="178" t="str">
        <f>HYPERLINK("http://www.mediafire.com/download/1tkkc2l6qc11212/2000-06-22_-_AmSouth_Amphitheatre_-_Antioch%2C_TN.rar", "download link")</f>
        <v>download link</v>
      </c>
      <c r="I23" s="193" t="s">
        <v>2178</v>
      </c>
      <c r="J23" s="194"/>
    </row>
    <row r="24">
      <c r="A24" s="103">
        <v>36700.0</v>
      </c>
      <c r="B24" s="131"/>
      <c r="C24" s="105" t="str">
        <f t="shared" si="4"/>
        <v>setlist</v>
      </c>
      <c r="D24" s="106" t="s">
        <v>1573</v>
      </c>
      <c r="E24" s="106" t="s">
        <v>437</v>
      </c>
      <c r="F24" s="107" t="s">
        <v>433</v>
      </c>
      <c r="G24" s="107" t="s">
        <v>36</v>
      </c>
      <c r="H24" s="105" t="str">
        <f>HYPERLINK("http://www.mediafire.com/download/micobk57qwdlacf/2000-06-23_-_Lakewood_Amphitheatre_-_Atlanta%2C_GA.rar", "download link")</f>
        <v>download link</v>
      </c>
      <c r="I24" s="134" t="s">
        <v>2179</v>
      </c>
      <c r="J24" s="109"/>
    </row>
    <row r="25">
      <c r="A25" s="142">
        <v>36701.0</v>
      </c>
      <c r="B25" s="156"/>
      <c r="C25" s="135" t="str">
        <f t="shared" si="4"/>
        <v>setlist</v>
      </c>
      <c r="D25" s="118" t="s">
        <v>1573</v>
      </c>
      <c r="E25" s="118" t="s">
        <v>437</v>
      </c>
      <c r="F25" s="115" t="s">
        <v>433</v>
      </c>
      <c r="G25" s="115" t="s">
        <v>36</v>
      </c>
      <c r="H25" s="116" t="str">
        <f>HYPERLINK("http://www.mediafire.com/download/z4pdc33y5ncgn4b/2000-06-24_-_Lakewood_Amphitheatre_-_Atlanta%2C_GA.rar", "download link")</f>
        <v>download link</v>
      </c>
      <c r="I25" s="117" t="s">
        <v>2159</v>
      </c>
      <c r="J25" s="146"/>
    </row>
    <row r="26">
      <c r="A26" s="103">
        <v>36702.0</v>
      </c>
      <c r="B26" s="131"/>
      <c r="C26" s="105" t="str">
        <f t="shared" si="4"/>
        <v>setlist</v>
      </c>
      <c r="D26" s="134" t="s">
        <v>2180</v>
      </c>
      <c r="E26" s="106" t="s">
        <v>536</v>
      </c>
      <c r="F26" s="107" t="s">
        <v>443</v>
      </c>
      <c r="G26" s="107" t="s">
        <v>36</v>
      </c>
      <c r="H26" s="105" t="str">
        <f>HYPERLINK("http://www.mediafire.com/download/zc68w6zei36i2r8/2000-06-25_-_ALLTEL_Pavilion_at_Walnut_Creek_-_Raleigh%2C_NC.rar", "download link")</f>
        <v>download link</v>
      </c>
      <c r="I26" s="134" t="s">
        <v>2181</v>
      </c>
      <c r="J26" s="109"/>
    </row>
    <row r="27">
      <c r="A27" s="142">
        <v>36704.0</v>
      </c>
      <c r="B27" s="156"/>
      <c r="C27" s="135" t="str">
        <f t="shared" si="4"/>
        <v>setlist</v>
      </c>
      <c r="D27" s="117" t="s">
        <v>2182</v>
      </c>
      <c r="E27" s="118" t="s">
        <v>162</v>
      </c>
      <c r="F27" s="115" t="s">
        <v>129</v>
      </c>
      <c r="G27" s="115" t="s">
        <v>36</v>
      </c>
      <c r="H27" s="116" t="str">
        <f>HYPERLINK("http://www.mediafire.com/download/isj8pajtwyhch23/2000-06-27_-_NBC_Television_Studios%2C_Studio_6A_-_New_York%2C_NY.rar", "download link")</f>
        <v>download link</v>
      </c>
      <c r="I27" s="117" t="s">
        <v>2183</v>
      </c>
      <c r="J27" s="146"/>
    </row>
    <row r="28">
      <c r="A28" s="130">
        <v>36705.0</v>
      </c>
      <c r="B28" s="131"/>
      <c r="C28" s="105" t="str">
        <f t="shared" si="4"/>
        <v>setlist</v>
      </c>
      <c r="D28" s="132" t="s">
        <v>2072</v>
      </c>
      <c r="E28" s="132" t="s">
        <v>992</v>
      </c>
      <c r="F28" s="133" t="s">
        <v>43</v>
      </c>
      <c r="G28" s="133" t="s">
        <v>36</v>
      </c>
      <c r="H28" s="105" t="str">
        <f>HYPERLINK("http://www.mediafire.com/download/e8t6x7n1yer42ax/2000-06-28_-_PNC_Bank_Arts_Center_-_Holmdel%2C_NJ.rar", "download link")</f>
        <v>download link</v>
      </c>
      <c r="I28" s="134" t="s">
        <v>2184</v>
      </c>
      <c r="J28" s="109"/>
    </row>
    <row r="29">
      <c r="A29" s="142">
        <v>36706.0</v>
      </c>
      <c r="B29" s="156"/>
      <c r="C29" s="135" t="str">
        <f t="shared" si="4"/>
        <v>setlist</v>
      </c>
      <c r="D29" s="118" t="s">
        <v>2072</v>
      </c>
      <c r="E29" s="118" t="s">
        <v>992</v>
      </c>
      <c r="F29" s="115" t="s">
        <v>43</v>
      </c>
      <c r="G29" s="115" t="s">
        <v>36</v>
      </c>
      <c r="H29" s="116" t="str">
        <f>HYPERLINK("http://www.mediafire.com/download/7p8p1qs20es0m2h/2000-06-29_-_PNC_Bank_Arts_Center_-_Holmdel%2C_NJ.rar", "download link")</f>
        <v>download link</v>
      </c>
      <c r="I29" s="117" t="s">
        <v>2185</v>
      </c>
      <c r="J29" s="146"/>
    </row>
    <row r="30">
      <c r="A30" s="103">
        <v>36707.0</v>
      </c>
      <c r="B30" s="131"/>
      <c r="C30" s="105" t="str">
        <f t="shared" si="4"/>
        <v>setlist</v>
      </c>
      <c r="D30" s="106" t="s">
        <v>2186</v>
      </c>
      <c r="E30" s="106" t="s">
        <v>323</v>
      </c>
      <c r="F30" s="107" t="s">
        <v>171</v>
      </c>
      <c r="G30" s="107" t="s">
        <v>36</v>
      </c>
      <c r="H30" s="105" t="str">
        <f>HYPERLINK("http://www.mediafire.com/download/5pxm5g5pz32danp/2000-06-30_-_Meadows_Music_Theatre_-_Hartford%2C_CT.rar", "download link")</f>
        <v>download link</v>
      </c>
      <c r="I30" s="134" t="s">
        <v>2187</v>
      </c>
      <c r="J30" s="109"/>
    </row>
    <row r="31">
      <c r="A31" s="142">
        <v>36708.0</v>
      </c>
      <c r="B31" s="156"/>
      <c r="C31" s="135" t="str">
        <f t="shared" si="4"/>
        <v>setlist</v>
      </c>
      <c r="D31" s="118" t="s">
        <v>2186</v>
      </c>
      <c r="E31" s="118" t="s">
        <v>323</v>
      </c>
      <c r="F31" s="115" t="s">
        <v>171</v>
      </c>
      <c r="G31" s="115" t="s">
        <v>36</v>
      </c>
      <c r="H31" s="116" t="str">
        <f>HYPERLINK("http://www.mediafire.com/download/3a8lk71h497mb5j/2000-07-01_-_Meadows_Music_Theatre_-_Hartfod%2C_CT.rar", "download link")</f>
        <v>download link</v>
      </c>
      <c r="I31" s="117" t="s">
        <v>2184</v>
      </c>
      <c r="J31" s="146"/>
    </row>
    <row r="32">
      <c r="A32" s="103">
        <v>36710.0</v>
      </c>
      <c r="B32" s="131"/>
      <c r="C32" s="105" t="str">
        <f t="shared" si="4"/>
        <v>setlist</v>
      </c>
      <c r="D32" s="106" t="s">
        <v>2069</v>
      </c>
      <c r="E32" s="106" t="s">
        <v>2070</v>
      </c>
      <c r="F32" s="107" t="s">
        <v>43</v>
      </c>
      <c r="G32" s="107" t="s">
        <v>36</v>
      </c>
      <c r="H32" s="105" t="str">
        <f>HYPERLINK("http://www.mediafire.com/download/34hyz35b7to0ic3/2000-07-03_-_E_Centre_-_Camden%2C_NJ.rar", "download link")</f>
        <v>download link</v>
      </c>
      <c r="I32" s="134" t="s">
        <v>2181</v>
      </c>
      <c r="J32" s="109"/>
    </row>
    <row r="33">
      <c r="A33" s="142">
        <v>36711.0</v>
      </c>
      <c r="B33" s="156"/>
      <c r="C33" s="135" t="str">
        <f t="shared" si="4"/>
        <v>setlist</v>
      </c>
      <c r="D33" s="118" t="s">
        <v>2069</v>
      </c>
      <c r="E33" s="118" t="s">
        <v>2070</v>
      </c>
      <c r="F33" s="115" t="s">
        <v>43</v>
      </c>
      <c r="G33" s="115" t="s">
        <v>36</v>
      </c>
      <c r="H33" s="116" t="str">
        <f>HYPERLINK("http://www.mediafire.com/download/18ci5um8p79ngs8/2000-07-04_-_E_Centre_-_Camden%2C_NJ.rar", "download link")</f>
        <v>download link</v>
      </c>
      <c r="I33" s="117" t="s">
        <v>2081</v>
      </c>
      <c r="J33" s="146"/>
    </row>
    <row r="34">
      <c r="A34" s="103">
        <v>36713.0</v>
      </c>
      <c r="B34" s="131"/>
      <c r="C34" s="105" t="str">
        <f t="shared" si="4"/>
        <v>setlist</v>
      </c>
      <c r="D34" s="106" t="s">
        <v>2077</v>
      </c>
      <c r="E34" s="106" t="s">
        <v>1090</v>
      </c>
      <c r="F34" s="107" t="s">
        <v>1091</v>
      </c>
      <c r="G34" s="107" t="s">
        <v>36</v>
      </c>
      <c r="H34" s="105" t="str">
        <f>HYPERLINK("http://www.mediafire.com/download/zxg167d9o167jh2/2000-07-06_-_Molson_Amphitheatre_-_Toronto%2C_Ontario%2C_Canada.rar", "download link")</f>
        <v>download link</v>
      </c>
      <c r="I34" s="134" t="s">
        <v>2188</v>
      </c>
      <c r="J34" s="109"/>
    </row>
    <row r="35">
      <c r="A35" s="142">
        <v>36714.0</v>
      </c>
      <c r="B35" s="156"/>
      <c r="C35" s="135" t="str">
        <f t="shared" si="4"/>
        <v>setlist</v>
      </c>
      <c r="D35" s="118" t="s">
        <v>1925</v>
      </c>
      <c r="E35" s="118" t="s">
        <v>1926</v>
      </c>
      <c r="F35" s="115" t="s">
        <v>212</v>
      </c>
      <c r="G35" s="115" t="s">
        <v>36</v>
      </c>
      <c r="H35" s="116" t="str">
        <f>HYPERLINK("http://www.mediafire.com/download/5gf0b9mwenwi93u/2000-07-07_-_Star_Lake_Amphitheatre_-_Burgettstown%2C_PA.rar", "download link")</f>
        <v>download link</v>
      </c>
      <c r="I35" s="117" t="s">
        <v>2189</v>
      </c>
      <c r="J35" s="146"/>
    </row>
    <row r="36">
      <c r="A36" s="103">
        <v>36715.0</v>
      </c>
      <c r="B36" s="131"/>
      <c r="C36" s="105" t="str">
        <f t="shared" si="4"/>
        <v>setlist</v>
      </c>
      <c r="D36" s="106" t="s">
        <v>1737</v>
      </c>
      <c r="E36" s="106" t="s">
        <v>1738</v>
      </c>
      <c r="F36" s="107" t="s">
        <v>483</v>
      </c>
      <c r="G36" s="107" t="s">
        <v>36</v>
      </c>
      <c r="H36" s="105" t="str">
        <f>HYPERLINK("http://www.mediafire.com/download/188d50dbuu8zm9n/2000-07-08_-_Alpine_Valley_Music_Theatre_-_East_Troy%2C_WI.rar", "download link")</f>
        <v>download link</v>
      </c>
      <c r="I36" s="134" t="s">
        <v>2190</v>
      </c>
      <c r="J36" s="109"/>
    </row>
    <row r="37">
      <c r="A37" s="142">
        <v>36717.0</v>
      </c>
      <c r="B37" s="151" t="s">
        <v>32</v>
      </c>
      <c r="C37" s="135" t="str">
        <f t="shared" si="4"/>
        <v>setlist</v>
      </c>
      <c r="D37" s="118" t="s">
        <v>1578</v>
      </c>
      <c r="E37" s="118" t="s">
        <v>1579</v>
      </c>
      <c r="F37" s="115" t="s">
        <v>508</v>
      </c>
      <c r="G37" s="115" t="s">
        <v>36</v>
      </c>
      <c r="H37" s="116" t="str">
        <f>HYPERLINK("http://www.mediafire.com/download/np83p21aoehdwxj/2000-07-10_-_Deer_Creek_Music_Center_-_Noblesville%2C_IN.rar", "download link")</f>
        <v>download link</v>
      </c>
      <c r="I37" s="117" t="s">
        <v>2191</v>
      </c>
      <c r="J37" s="117" t="s">
        <v>287</v>
      </c>
    </row>
    <row r="38">
      <c r="A38" s="130">
        <v>36718.0</v>
      </c>
      <c r="B38" s="133" t="s">
        <v>32</v>
      </c>
      <c r="C38" s="105" t="str">
        <f t="shared" si="4"/>
        <v>setlist</v>
      </c>
      <c r="D38" s="132" t="s">
        <v>1578</v>
      </c>
      <c r="E38" s="132" t="s">
        <v>1579</v>
      </c>
      <c r="F38" s="133" t="s">
        <v>508</v>
      </c>
      <c r="G38" s="133" t="s">
        <v>36</v>
      </c>
      <c r="H38" s="105" t="str">
        <f>HYPERLINK("http://www.mediafire.com/download/4x5r2va56rgyb5g/2000-07-11_-_Deer_Creek_Music_Center_-_Noblesville%2C_IN.rar", "download link")</f>
        <v>download link</v>
      </c>
      <c r="I38" s="134" t="s">
        <v>2192</v>
      </c>
      <c r="J38" s="106"/>
    </row>
    <row r="39">
      <c r="A39" s="142">
        <v>36719.0</v>
      </c>
      <c r="B39" s="156"/>
      <c r="C39" s="135" t="str">
        <f t="shared" si="4"/>
        <v>setlist</v>
      </c>
      <c r="D39" s="118" t="s">
        <v>1578</v>
      </c>
      <c r="E39" s="118" t="s">
        <v>1579</v>
      </c>
      <c r="F39" s="115" t="s">
        <v>508</v>
      </c>
      <c r="G39" s="115" t="s">
        <v>36</v>
      </c>
      <c r="H39" s="116" t="str">
        <f>HYPERLINK("http://www.mediafire.com/download/fe8w4re22l8r68w/2000-07-12_-_Deer_Creek_Music_Center_-_Noblesville%2C_IN.rar", "download link")</f>
        <v>download link</v>
      </c>
      <c r="I39" s="117" t="s">
        <v>2193</v>
      </c>
      <c r="J39" s="146"/>
    </row>
    <row r="40">
      <c r="A40" s="103">
        <v>36721.0</v>
      </c>
      <c r="B40" s="131"/>
      <c r="C40" s="105" t="str">
        <f t="shared" si="4"/>
        <v>setlist</v>
      </c>
      <c r="D40" s="106" t="s">
        <v>2004</v>
      </c>
      <c r="E40" s="106" t="s">
        <v>471</v>
      </c>
      <c r="F40" s="107" t="s">
        <v>472</v>
      </c>
      <c r="G40" s="107" t="s">
        <v>36</v>
      </c>
      <c r="H40" s="105" t="str">
        <f>HYPERLINK("http://www.mediafire.com/download/k7al52j3qji2zln/2000-07-14_-_Polaris_Amphitheater_-_Columbus%2C_OH.rar", "download link")</f>
        <v>download link</v>
      </c>
      <c r="I40" s="134" t="s">
        <v>2194</v>
      </c>
      <c r="J40" s="109"/>
    </row>
    <row r="41">
      <c r="A41" s="142">
        <v>36722.0</v>
      </c>
      <c r="B41" s="156"/>
      <c r="C41" s="135" t="str">
        <f t="shared" si="4"/>
        <v>setlist</v>
      </c>
      <c r="D41" s="118" t="s">
        <v>2004</v>
      </c>
      <c r="E41" s="118" t="s">
        <v>471</v>
      </c>
      <c r="F41" s="115" t="s">
        <v>472</v>
      </c>
      <c r="G41" s="115" t="s">
        <v>36</v>
      </c>
      <c r="H41" s="116" t="str">
        <f>HYPERLINK("http://www.mediafire.com/download/ebwtrwaxyubpjr2/2000-07-15_-_Polaris_Amphitheater_-_Columbus%2C_OH.rar", "download link")</f>
        <v>download link</v>
      </c>
      <c r="I41" s="117" t="s">
        <v>2195</v>
      </c>
      <c r="J41" s="146"/>
    </row>
    <row r="42">
      <c r="A42" s="186">
        <v>36724.0</v>
      </c>
      <c r="B42" s="210" t="s">
        <v>32</v>
      </c>
      <c r="C42" s="123" t="str">
        <f t="shared" si="4"/>
        <v>setlist</v>
      </c>
      <c r="D42" s="122" t="s">
        <v>2196</v>
      </c>
      <c r="E42" s="122" t="s">
        <v>591</v>
      </c>
      <c r="F42" s="120" t="s">
        <v>589</v>
      </c>
      <c r="G42" s="120" t="s">
        <v>36</v>
      </c>
      <c r="H42" s="105" t="str">
        <f>HYPERLINK("http://www.mediafire.com/download/3v4m37b7s7r7ylc/2000-07-17_-_KLRU_Studios%2C_University_of_Texas_-_Austin%2C_TX.rar", "download link")</f>
        <v>download link</v>
      </c>
      <c r="I42" s="137" t="s">
        <v>2197</v>
      </c>
      <c r="J42" s="122" t="s">
        <v>2198</v>
      </c>
    </row>
    <row r="43">
      <c r="A43" s="95"/>
      <c r="B43" s="251"/>
      <c r="C43" s="94"/>
      <c r="D43" s="83" t="s">
        <v>2199</v>
      </c>
      <c r="E43" s="95"/>
      <c r="F43" s="93"/>
      <c r="G43" s="93"/>
      <c r="H43" s="93"/>
      <c r="I43" s="95"/>
      <c r="J43" s="95"/>
    </row>
    <row r="44">
      <c r="A44" s="125">
        <v>36777.0</v>
      </c>
      <c r="B44" s="207"/>
      <c r="C44" s="98" t="str">
        <f t="shared" ref="C44:C65" si="5">HYPERLINK("http://phish.net/setlists/?d="&amp;RIGHT(TEXT(A44,"mm/dd/yyyy"),4)&amp;"-"&amp;LEFT(TEXT(A44,"mm/dd/yyyy"),2)&amp;"-"&amp;MID(TEXT(A44,"mm/dd/yyyy"),4,2), "setlist")</f>
        <v>setlist</v>
      </c>
      <c r="D44" s="102" t="s">
        <v>1957</v>
      </c>
      <c r="E44" s="102" t="s">
        <v>309</v>
      </c>
      <c r="F44" s="127" t="s">
        <v>129</v>
      </c>
      <c r="G44" s="127" t="s">
        <v>36</v>
      </c>
      <c r="H44" s="98" t="str">
        <f>HYPERLINK("http://www.mediafire.com/download/lw6gz72ww6vr5lg/2000-09-08_-_Pepsi_Arena_-_Albany%2C_NY.rar", "download link")</f>
        <v>download link</v>
      </c>
      <c r="I44" s="101" t="s">
        <v>2200</v>
      </c>
      <c r="J44" s="129"/>
    </row>
    <row r="45">
      <c r="A45" s="103">
        <v>36778.0</v>
      </c>
      <c r="B45" s="131"/>
      <c r="C45" s="105" t="str">
        <f t="shared" si="5"/>
        <v>setlist</v>
      </c>
      <c r="D45" s="106" t="s">
        <v>1957</v>
      </c>
      <c r="E45" s="106" t="s">
        <v>309</v>
      </c>
      <c r="F45" s="107" t="s">
        <v>129</v>
      </c>
      <c r="G45" s="107" t="s">
        <v>36</v>
      </c>
      <c r="H45" s="105" t="str">
        <f>HYPERLINK("http://www.mediafire.com/download/hu974vt47xx83cd/2000-09-09_-_Pepsi_Arena_-_Albany%2C_NY.rar", "download link")</f>
        <v>download link</v>
      </c>
      <c r="I45" s="134" t="s">
        <v>2201</v>
      </c>
      <c r="J45" s="109"/>
    </row>
    <row r="46">
      <c r="A46" s="110">
        <v>36780.0</v>
      </c>
      <c r="B46" s="158"/>
      <c r="C46" s="135" t="str">
        <f t="shared" si="5"/>
        <v>setlist</v>
      </c>
      <c r="D46" s="113" t="s">
        <v>2071</v>
      </c>
      <c r="E46" s="113" t="s">
        <v>1004</v>
      </c>
      <c r="F46" s="114" t="s">
        <v>95</v>
      </c>
      <c r="G46" s="114" t="s">
        <v>36</v>
      </c>
      <c r="H46" s="116" t="str">
        <f>HYPERLINK("http://www.mediafire.com/download/ci79ntoc6qr5dg3/2000-09-11_-_Tweeter_Center_-_Mansfield%2C_MA.rar", "download link")</f>
        <v>download link</v>
      </c>
      <c r="I46" s="136" t="s">
        <v>2202</v>
      </c>
      <c r="J46" s="80"/>
    </row>
    <row r="47">
      <c r="A47" s="103">
        <v>36781.0</v>
      </c>
      <c r="B47" s="133" t="s">
        <v>32</v>
      </c>
      <c r="C47" s="105" t="str">
        <f t="shared" si="5"/>
        <v>setlist</v>
      </c>
      <c r="D47" s="106" t="s">
        <v>2071</v>
      </c>
      <c r="E47" s="106" t="s">
        <v>1004</v>
      </c>
      <c r="F47" s="107" t="s">
        <v>95</v>
      </c>
      <c r="G47" s="107" t="s">
        <v>36</v>
      </c>
      <c r="H47" s="105" t="str">
        <f>HYPERLINK("http://www.mediafire.com/download/qbtr2ww22xlsbgn/2000-09-12_-_Tweeter_Center_-_Mansfield%2C_MA.rar", "download link")</f>
        <v>download link</v>
      </c>
      <c r="I47" s="134" t="s">
        <v>2203</v>
      </c>
      <c r="J47" s="106"/>
    </row>
    <row r="48">
      <c r="A48" s="110">
        <v>36783.0</v>
      </c>
      <c r="B48" s="158"/>
      <c r="C48" s="135" t="str">
        <f t="shared" si="5"/>
        <v>setlist</v>
      </c>
      <c r="D48" s="113" t="s">
        <v>1278</v>
      </c>
      <c r="E48" s="113" t="s">
        <v>1279</v>
      </c>
      <c r="F48" s="114" t="s">
        <v>129</v>
      </c>
      <c r="G48" s="114" t="s">
        <v>36</v>
      </c>
      <c r="H48" s="116" t="str">
        <f>HYPERLINK("http://www.mediafire.com/download/zm2haruqzppa9y6/2000-09-14_-_Darien_Lake_Performing_Arts_Center_-_Darien_Center%2C_NY.rar", "download link")</f>
        <v>download link</v>
      </c>
      <c r="I48" s="136" t="s">
        <v>2204</v>
      </c>
      <c r="J48" s="80"/>
    </row>
    <row r="49">
      <c r="A49" s="103">
        <v>36784.0</v>
      </c>
      <c r="B49" s="131"/>
      <c r="C49" s="105" t="str">
        <f t="shared" si="5"/>
        <v>setlist</v>
      </c>
      <c r="D49" s="134" t="s">
        <v>1741</v>
      </c>
      <c r="E49" s="106" t="s">
        <v>1667</v>
      </c>
      <c r="F49" s="107" t="s">
        <v>212</v>
      </c>
      <c r="G49" s="107" t="s">
        <v>36</v>
      </c>
      <c r="H49" s="105" t="str">
        <f>HYPERLINK("http://www.mediafire.com/download/p6hc7ow88d7vjnd/2000-09-15_-_Hersheypark_Stadium_-_Hershey%2C_PA.rar", "download link")</f>
        <v>download link</v>
      </c>
      <c r="I49" s="134" t="s">
        <v>2205</v>
      </c>
      <c r="J49" s="109"/>
    </row>
    <row r="50">
      <c r="A50" s="110">
        <v>36786.0</v>
      </c>
      <c r="B50" s="158"/>
      <c r="C50" s="135" t="str">
        <f t="shared" si="5"/>
        <v>setlist</v>
      </c>
      <c r="D50" s="113" t="s">
        <v>1000</v>
      </c>
      <c r="E50" s="113" t="s">
        <v>439</v>
      </c>
      <c r="F50" s="114" t="s">
        <v>397</v>
      </c>
      <c r="G50" s="114" t="s">
        <v>36</v>
      </c>
      <c r="H50" s="116" t="str">
        <f>HYPERLINK("http://www.mediafire.com/download/j177i5cu3v445e1/2000-09-17_-_Merriweather_Post_Pavilion_-_Columbia%2C_MD.rar", "download link")</f>
        <v>download link</v>
      </c>
      <c r="I50" s="136" t="s">
        <v>2206</v>
      </c>
      <c r="J50" s="80"/>
    </row>
    <row r="51">
      <c r="A51" s="103">
        <v>36787.0</v>
      </c>
      <c r="B51" s="131"/>
      <c r="C51" s="105" t="str">
        <f t="shared" si="5"/>
        <v>setlist</v>
      </c>
      <c r="D51" s="106" t="s">
        <v>1023</v>
      </c>
      <c r="E51" s="106" t="s">
        <v>1024</v>
      </c>
      <c r="F51" s="107" t="s">
        <v>472</v>
      </c>
      <c r="G51" s="107" t="s">
        <v>36</v>
      </c>
      <c r="H51" s="105" t="str">
        <f>HYPERLINK("http://www.mediafire.com/download/0x0kbyr95r4xrao/2000-09-18_-_Blossom_Music_Center_-_Cuyahoga_Falls%2C_OH.rar", "download link")</f>
        <v>download link</v>
      </c>
      <c r="I51" s="134" t="s">
        <v>2207</v>
      </c>
      <c r="J51" s="109"/>
    </row>
    <row r="52">
      <c r="A52" s="110">
        <v>36789.0</v>
      </c>
      <c r="B52" s="158"/>
      <c r="C52" s="135" t="str">
        <f t="shared" si="5"/>
        <v>setlist</v>
      </c>
      <c r="D52" s="113" t="s">
        <v>2208</v>
      </c>
      <c r="E52" s="113" t="s">
        <v>943</v>
      </c>
      <c r="F52" s="114" t="s">
        <v>472</v>
      </c>
      <c r="G52" s="114" t="s">
        <v>36</v>
      </c>
      <c r="H52" s="116" t="str">
        <f>HYPERLINK("http://www.mediafire.com/download/6s48btqi874z4po/2000-09-20_-_Riverbend_Music_Center_-_Cincinnati%2C_OH.rar", "download link")</f>
        <v>download link</v>
      </c>
      <c r="I52" s="136" t="s">
        <v>2209</v>
      </c>
      <c r="J52" s="80"/>
    </row>
    <row r="53">
      <c r="A53" s="103">
        <v>36791.0</v>
      </c>
      <c r="B53" s="131"/>
      <c r="C53" s="105" t="str">
        <f t="shared" si="5"/>
        <v>setlist</v>
      </c>
      <c r="D53" s="106" t="s">
        <v>2117</v>
      </c>
      <c r="E53" s="106" t="s">
        <v>1636</v>
      </c>
      <c r="F53" s="107" t="s">
        <v>480</v>
      </c>
      <c r="G53" s="107" t="s">
        <v>36</v>
      </c>
      <c r="H53" s="105" t="str">
        <f>HYPERLINK("http://www.mediafire.com/download/lt6726k74jg12vw/2000-09-22_-_Allstate_Arena_-_Rosemont%2C_IL.rar", "download link")</f>
        <v>download link</v>
      </c>
      <c r="I53" s="134" t="s">
        <v>2108</v>
      </c>
      <c r="J53" s="109"/>
    </row>
    <row r="54">
      <c r="A54" s="110">
        <v>36792.0</v>
      </c>
      <c r="B54" s="158"/>
      <c r="C54" s="135" t="str">
        <f t="shared" si="5"/>
        <v>setlist</v>
      </c>
      <c r="D54" s="113" t="s">
        <v>2117</v>
      </c>
      <c r="E54" s="113" t="s">
        <v>1636</v>
      </c>
      <c r="F54" s="114" t="s">
        <v>480</v>
      </c>
      <c r="G54" s="114" t="s">
        <v>36</v>
      </c>
      <c r="H54" s="116" t="str">
        <f>HYPERLINK("http://www.mediafire.com/download/rmaf75391at3afk/2000-09-23_-_Allstate_Arena_-_Rosemont%2C_IL.rar", "download link")</f>
        <v>download link</v>
      </c>
      <c r="I54" s="136" t="s">
        <v>2108</v>
      </c>
      <c r="J54" s="80"/>
    </row>
    <row r="55">
      <c r="A55" s="103">
        <v>36793.0</v>
      </c>
      <c r="B55" s="131"/>
      <c r="C55" s="105" t="str">
        <f t="shared" si="5"/>
        <v>setlist</v>
      </c>
      <c r="D55" s="106" t="s">
        <v>1774</v>
      </c>
      <c r="E55" s="106" t="s">
        <v>485</v>
      </c>
      <c r="F55" s="107" t="s">
        <v>486</v>
      </c>
      <c r="G55" s="107" t="s">
        <v>36</v>
      </c>
      <c r="H55" s="105" t="str">
        <f>HYPERLINK("http://www.mediafire.com/download/2t78kj80utwmucv/2000-09-24_-_Target_Center_-_Minneapolis%2C_MN.rar", "download link")</f>
        <v>download link</v>
      </c>
      <c r="I55" s="134" t="s">
        <v>2210</v>
      </c>
      <c r="J55" s="109"/>
    </row>
    <row r="56">
      <c r="A56" s="110">
        <v>36794.0</v>
      </c>
      <c r="B56" s="158"/>
      <c r="C56" s="135" t="str">
        <f t="shared" si="5"/>
        <v>setlist</v>
      </c>
      <c r="D56" s="113" t="s">
        <v>2001</v>
      </c>
      <c r="E56" s="113" t="s">
        <v>2002</v>
      </c>
      <c r="F56" s="114" t="s">
        <v>892</v>
      </c>
      <c r="G56" s="114" t="s">
        <v>36</v>
      </c>
      <c r="H56" s="116" t="str">
        <f>HYPERLINK("http://www.mediafire.com/download/4sm75fmozkrxvzx/2000-09-25_-_Sandstone_Amphitheatre_-_Bonner_Springs%2C_KS.rar", "download link")</f>
        <v>download link</v>
      </c>
      <c r="I56" s="136" t="s">
        <v>2211</v>
      </c>
      <c r="J56" s="80"/>
    </row>
    <row r="57">
      <c r="A57" s="103">
        <v>36796.0</v>
      </c>
      <c r="B57" s="131"/>
      <c r="C57" s="105" t="str">
        <f t="shared" si="5"/>
        <v>setlist</v>
      </c>
      <c r="D57" s="106" t="s">
        <v>2212</v>
      </c>
      <c r="E57" s="106" t="s">
        <v>665</v>
      </c>
      <c r="F57" s="107" t="s">
        <v>203</v>
      </c>
      <c r="G57" s="107" t="s">
        <v>36</v>
      </c>
      <c r="H57" s="105" t="str">
        <f>HYPERLINK("http://www.mediafire.com/download/726gf6y4mfc01ay/2000-09-27_-_Fiddler%27s_Green_-_Englewood%2C_CO.rar", "download link")</f>
        <v>download link</v>
      </c>
      <c r="I57" s="134" t="s">
        <v>2213</v>
      </c>
      <c r="J57" s="109"/>
    </row>
    <row r="58">
      <c r="A58" s="110">
        <v>36798.0</v>
      </c>
      <c r="B58" s="158"/>
      <c r="C58" s="135" t="str">
        <f t="shared" si="5"/>
        <v>setlist</v>
      </c>
      <c r="D58" s="113" t="s">
        <v>1938</v>
      </c>
      <c r="E58" s="113" t="s">
        <v>1804</v>
      </c>
      <c r="F58" s="114" t="s">
        <v>1805</v>
      </c>
      <c r="G58" s="114" t="s">
        <v>36</v>
      </c>
      <c r="H58" s="116" t="str">
        <f>HYPERLINK("http://www.mediafire.com/download/d17gph1tpz61ig2/2000-09-29_-_Thomas_%26_Mack_Center_-_Las_Vegas%2C_NV.rar", "download link")</f>
        <v>download link</v>
      </c>
      <c r="I58" s="136" t="s">
        <v>2159</v>
      </c>
      <c r="J58" s="80"/>
    </row>
    <row r="59">
      <c r="A59" s="103">
        <v>36799.0</v>
      </c>
      <c r="B59" s="131"/>
      <c r="C59" s="105" t="str">
        <f t="shared" si="5"/>
        <v>setlist</v>
      </c>
      <c r="D59" s="106" t="s">
        <v>1938</v>
      </c>
      <c r="E59" s="106" t="s">
        <v>1804</v>
      </c>
      <c r="F59" s="107" t="s">
        <v>1805</v>
      </c>
      <c r="G59" s="107" t="s">
        <v>36</v>
      </c>
      <c r="H59" s="105" t="str">
        <f>HYPERLINK("http://www.mediafire.com/download/o6319w9yeljabtf/2000-09-30_-_Thomas_%26_Mack_Center_-_Las_Vegas%2C_NV.rar", "download link")</f>
        <v>download link</v>
      </c>
      <c r="I59" s="134" t="s">
        <v>2214</v>
      </c>
      <c r="J59" s="109"/>
    </row>
    <row r="60">
      <c r="A60" s="110">
        <v>36800.0</v>
      </c>
      <c r="B60" s="158"/>
      <c r="C60" s="135" t="str">
        <f t="shared" si="5"/>
        <v>setlist</v>
      </c>
      <c r="D60" s="113" t="s">
        <v>1913</v>
      </c>
      <c r="E60" s="113" t="s">
        <v>1160</v>
      </c>
      <c r="F60" s="114" t="s">
        <v>805</v>
      </c>
      <c r="G60" s="114" t="s">
        <v>36</v>
      </c>
      <c r="H60" s="116" t="str">
        <f>HYPERLINK("http://www.mediafire.com/download/yegrknlw40ctcfo/2000-10-01_-_Desert_Sky_Pavilion_-_Phoenix%2C_AZ.rar", "download link")</f>
        <v>download link</v>
      </c>
      <c r="I60" s="136" t="s">
        <v>2215</v>
      </c>
      <c r="J60" s="80"/>
    </row>
    <row r="61">
      <c r="A61" s="103">
        <v>36802.0</v>
      </c>
      <c r="B61" s="131"/>
      <c r="C61" s="105" t="str">
        <f t="shared" si="5"/>
        <v>setlist</v>
      </c>
      <c r="D61" s="106" t="s">
        <v>1936</v>
      </c>
      <c r="E61" s="106" t="s">
        <v>2216</v>
      </c>
      <c r="F61" s="107" t="s">
        <v>679</v>
      </c>
      <c r="G61" s="107" t="s">
        <v>36</v>
      </c>
      <c r="H61" s="105" t="str">
        <f>HYPERLINK("http://www.mediafire.com/download/gety7sx4z9lbiwr/2000-10-03_-_NBC_Studios_-_Burbank%2C_CA.rar", "download link")</f>
        <v>download link</v>
      </c>
      <c r="I61" s="134" t="s">
        <v>2183</v>
      </c>
      <c r="J61" s="109"/>
    </row>
    <row r="62">
      <c r="A62" s="142">
        <v>36803.0</v>
      </c>
      <c r="B62" s="156"/>
      <c r="C62" s="135" t="str">
        <f t="shared" si="5"/>
        <v>setlist</v>
      </c>
      <c r="D62" s="118" t="s">
        <v>2101</v>
      </c>
      <c r="E62" s="118" t="s">
        <v>2102</v>
      </c>
      <c r="F62" s="115" t="s">
        <v>679</v>
      </c>
      <c r="G62" s="115" t="s">
        <v>36</v>
      </c>
      <c r="H62" s="116" t="str">
        <f>HYPERLINK("http://www.mediafire.com/download/2er44jw5czrxg9y/2000-10-04_-_Coors_Amphitheatre_-_Chula_Vista%2C_CA.rar", "download link")</f>
        <v>download link</v>
      </c>
      <c r="I62" s="117" t="s">
        <v>2217</v>
      </c>
      <c r="J62" s="146"/>
    </row>
    <row r="63">
      <c r="A63" s="103">
        <v>36804.0</v>
      </c>
      <c r="B63" s="131"/>
      <c r="C63" s="105" t="str">
        <f t="shared" si="5"/>
        <v>setlist</v>
      </c>
      <c r="D63" s="134" t="s">
        <v>2218</v>
      </c>
      <c r="E63" s="106" t="s">
        <v>2105</v>
      </c>
      <c r="F63" s="107" t="s">
        <v>679</v>
      </c>
      <c r="G63" s="107" t="s">
        <v>36</v>
      </c>
      <c r="H63" s="105" t="str">
        <f>HYPERLINK("http://www.mediafire.com/download/md0dwyi7xn2nfdx/2000-10-05_-_Verizon_Wireless_Amphitheater_-_Irvine%2C_CA.rar", "download link")</f>
        <v>download link</v>
      </c>
      <c r="I63" s="134" t="s">
        <v>2219</v>
      </c>
      <c r="J63" s="109"/>
    </row>
    <row r="64">
      <c r="A64" s="142">
        <v>36805.0</v>
      </c>
      <c r="B64" s="156"/>
      <c r="C64" s="135" t="str">
        <f t="shared" si="5"/>
        <v>setlist</v>
      </c>
      <c r="D64" s="118" t="s">
        <v>1052</v>
      </c>
      <c r="E64" s="118" t="s">
        <v>1053</v>
      </c>
      <c r="F64" s="115" t="s">
        <v>679</v>
      </c>
      <c r="G64" s="115" t="s">
        <v>36</v>
      </c>
      <c r="H64" s="116" t="str">
        <f>HYPERLINK("http://www.mediafire.com/download/1c99hl3kxys3v61/2000-10-06_-_Shoreline_Amphitheatre_-_Mountain_View%2C_CA.rar", "download link")</f>
        <v>download link</v>
      </c>
      <c r="I64" s="117" t="s">
        <v>2220</v>
      </c>
      <c r="J64" s="146"/>
    </row>
    <row r="65">
      <c r="A65" s="103">
        <v>36806.0</v>
      </c>
      <c r="B65" s="131"/>
      <c r="C65" s="105" t="str">
        <f t="shared" si="5"/>
        <v>setlist</v>
      </c>
      <c r="D65" s="106" t="s">
        <v>1052</v>
      </c>
      <c r="E65" s="106" t="s">
        <v>1053</v>
      </c>
      <c r="F65" s="107" t="s">
        <v>679</v>
      </c>
      <c r="G65" s="107" t="s">
        <v>36</v>
      </c>
      <c r="H65" s="105" t="str">
        <f>HYPERLINK("http://www.mediafire.com/download/3bylv1rpr9i5k4w/2000-10-07_-_Shoreline_Amphitheatre_-_Mountain_View%2C_CA.rar", "download link")</f>
        <v>download link</v>
      </c>
      <c r="I65" s="134" t="s">
        <v>2221</v>
      </c>
      <c r="J65" s="10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13"/>
  </cols>
  <sheetData>
    <row r="1">
      <c r="A1" s="77"/>
      <c r="B1" s="78"/>
      <c r="C1" s="78"/>
      <c r="D1" s="80"/>
      <c r="E1" s="80"/>
      <c r="F1" s="78"/>
      <c r="G1" s="78"/>
      <c r="H1" s="81"/>
      <c r="I1" s="78"/>
      <c r="J1" s="78"/>
    </row>
    <row r="2">
      <c r="A2" s="60" t="s">
        <v>22</v>
      </c>
      <c r="B2" s="60" t="s">
        <v>23</v>
      </c>
      <c r="C2" s="60" t="s">
        <v>24</v>
      </c>
      <c r="D2" s="56" t="s">
        <v>25</v>
      </c>
      <c r="E2" s="56" t="s">
        <v>26</v>
      </c>
      <c r="F2" s="60" t="s">
        <v>27</v>
      </c>
      <c r="G2" s="60" t="s">
        <v>28</v>
      </c>
      <c r="H2" s="60" t="s">
        <v>29</v>
      </c>
      <c r="I2" s="85" t="s">
        <v>30</v>
      </c>
      <c r="J2" s="83" t="s">
        <v>2145</v>
      </c>
    </row>
    <row r="3">
      <c r="A3" s="89"/>
      <c r="B3" s="87"/>
      <c r="C3" s="87"/>
      <c r="D3" s="87"/>
      <c r="E3" s="87"/>
      <c r="F3" s="87"/>
      <c r="G3" s="87"/>
      <c r="H3" s="87"/>
      <c r="I3" s="87"/>
      <c r="J3" s="87"/>
    </row>
    <row r="4">
      <c r="A4" s="95"/>
      <c r="B4" s="93"/>
      <c r="C4" s="93"/>
      <c r="D4" s="254" t="s">
        <v>2222</v>
      </c>
      <c r="E4" s="238"/>
      <c r="F4" s="93"/>
      <c r="G4" s="93"/>
      <c r="H4" s="93"/>
      <c r="I4" s="93"/>
      <c r="J4" s="93"/>
    </row>
    <row r="5">
      <c r="A5" s="125">
        <v>37604.0</v>
      </c>
      <c r="B5" s="127" t="s">
        <v>32</v>
      </c>
      <c r="C5" s="98" t="str">
        <f t="shared" ref="C5:C6" si="1">HYPERLINK("http://phish.net/setlists/?d="&amp;RIGHT(TEXT(A5,"mm/dd/yyyy"),4)&amp;"-"&amp;LEFT(TEXT(A5,"mm/dd/yyyy"),2)&amp;"-"&amp;MID(TEXT(A5,"mm/dd/yyyy"),4,2), "setlist")</f>
        <v>setlist</v>
      </c>
      <c r="D5" s="255" t="s">
        <v>2223</v>
      </c>
      <c r="E5" s="179" t="s">
        <v>162</v>
      </c>
      <c r="F5" s="127" t="s">
        <v>129</v>
      </c>
      <c r="G5" s="127" t="s">
        <v>36</v>
      </c>
      <c r="H5" s="98" t="str">
        <f>HYPERLINK("http://www.mediafire.com/download/464tqoh4r320beh/2002-12-14_-_Studio_8H%2C_NBC_Studios_-_New_York%2C_NY.rar", "download link")</f>
        <v>download link</v>
      </c>
      <c r="I5" s="101" t="s">
        <v>2224</v>
      </c>
      <c r="J5" s="126"/>
    </row>
    <row r="6">
      <c r="A6" s="103">
        <v>37609.0</v>
      </c>
      <c r="B6" s="107" t="s">
        <v>32</v>
      </c>
      <c r="C6" s="105" t="str">
        <f t="shared" si="1"/>
        <v>setlist</v>
      </c>
      <c r="D6" s="181" t="s">
        <v>1551</v>
      </c>
      <c r="E6" s="181" t="s">
        <v>162</v>
      </c>
      <c r="F6" s="107" t="s">
        <v>129</v>
      </c>
      <c r="G6" s="107" t="s">
        <v>36</v>
      </c>
      <c r="H6" s="105" t="str">
        <f>HYPERLINK("http://www.mediafire.com/download/2v51albo4zdrzd7/2002-12-19_-_Ed_Sullivan_Theater_-_New_York%2C_NY.rar", "download link")</f>
        <v>download link</v>
      </c>
      <c r="I6" s="134" t="s">
        <v>1552</v>
      </c>
      <c r="J6" s="104"/>
    </row>
    <row r="7">
      <c r="A7" s="202">
        <v>37609.0</v>
      </c>
      <c r="B7" s="205" t="s">
        <v>32</v>
      </c>
      <c r="C7" s="256" t="s">
        <v>40</v>
      </c>
      <c r="D7" s="257" t="s">
        <v>2225</v>
      </c>
      <c r="E7" s="257" t="s">
        <v>162</v>
      </c>
      <c r="F7" s="205" t="s">
        <v>129</v>
      </c>
      <c r="G7" s="205">
        <v>192.0</v>
      </c>
      <c r="H7" s="203" t="str">
        <f>HYPERLINK("http://www.mediafire.com/download/zt594rdsatinhkr/2002-12-19_-_Loho_Studios_-_New_York%2C_NY.rar", "download link")</f>
        <v>download link</v>
      </c>
      <c r="I7" s="206" t="s">
        <v>2226</v>
      </c>
      <c r="J7" s="204" t="s">
        <v>2227</v>
      </c>
    </row>
    <row r="8">
      <c r="A8" s="95"/>
      <c r="B8" s="93"/>
      <c r="C8" s="94"/>
      <c r="D8" s="83" t="s">
        <v>2228</v>
      </c>
      <c r="E8" s="95"/>
      <c r="F8" s="93"/>
      <c r="G8" s="93"/>
      <c r="H8" s="93"/>
      <c r="I8" s="95"/>
      <c r="J8" s="93"/>
    </row>
    <row r="9">
      <c r="A9" s="190">
        <v>37621.0</v>
      </c>
      <c r="B9" s="241"/>
      <c r="C9" s="98" t="str">
        <f>HYPERLINK("http://phish.net/setlists/?d="&amp;RIGHT(TEXT(A9,"mm/dd/yyyy"),4)&amp;"-"&amp;LEFT(TEXT(A9,"mm/dd/yyyy"),2)&amp;"-"&amp;MID(TEXT(A9,"mm/dd/yyyy"),4,2), "setlist")</f>
        <v>setlist</v>
      </c>
      <c r="D9" s="192" t="s">
        <v>1553</v>
      </c>
      <c r="E9" s="192" t="s">
        <v>162</v>
      </c>
      <c r="F9" s="191" t="s">
        <v>129</v>
      </c>
      <c r="G9" s="191" t="s">
        <v>36</v>
      </c>
      <c r="H9" s="178" t="str">
        <f>HYPERLINK("http://www.mediafire.com/download/i16q52cpds2l5jt/2002-12-31_-_Madison_Square_Garden_-_New_York%2C_NY.rar", "download link")</f>
        <v>download link</v>
      </c>
      <c r="I9" s="193" t="s">
        <v>2201</v>
      </c>
      <c r="J9" s="19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5.13"/>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5" t="s">
        <v>31</v>
      </c>
    </row>
    <row r="3">
      <c r="A3" s="89"/>
      <c r="B3" s="87"/>
      <c r="C3" s="87"/>
      <c r="D3" s="87"/>
      <c r="E3" s="87"/>
      <c r="F3" s="87"/>
      <c r="G3" s="87"/>
      <c r="H3" s="248"/>
      <c r="I3" s="89"/>
      <c r="J3" s="89"/>
    </row>
    <row r="4">
      <c r="A4" s="95"/>
      <c r="B4" s="93"/>
      <c r="C4" s="93"/>
      <c r="D4" s="83" t="s">
        <v>2228</v>
      </c>
      <c r="E4" s="95"/>
      <c r="F4" s="93"/>
      <c r="G4" s="93"/>
      <c r="H4" s="65"/>
      <c r="I4" s="95"/>
      <c r="J4" s="95"/>
    </row>
    <row r="5">
      <c r="A5" s="125">
        <v>37623.0</v>
      </c>
      <c r="B5" s="126"/>
      <c r="C5" s="98" t="str">
        <f t="shared" ref="C5:C7" si="1">HYPERLINK("http://phish.net/setlists/?d="&amp;RIGHT(TEXT(A5,"mm/dd/yyyy"),4)&amp;"-"&amp;LEFT(TEXT(A5,"mm/dd/yyyy"),2)&amp;"-"&amp;MID(TEXT(A5,"mm/dd/yyyy"),4,2), "setlist")</f>
        <v>setlist</v>
      </c>
      <c r="D5" s="102" t="s">
        <v>1659</v>
      </c>
      <c r="E5" s="102" t="s">
        <v>1660</v>
      </c>
      <c r="F5" s="127" t="s">
        <v>446</v>
      </c>
      <c r="G5" s="127" t="s">
        <v>36</v>
      </c>
      <c r="H5" s="98" t="str">
        <f>HYPERLINK("http://www.mediafire.com/download/lg0ad9ggi5qgdgm/2003-01-02_-_Hampton_Coliseum_-_Hampton%2C_VA.rar", "download link")</f>
        <v>download link</v>
      </c>
      <c r="I5" s="101" t="s">
        <v>1639</v>
      </c>
      <c r="J5" s="129"/>
    </row>
    <row r="6">
      <c r="A6" s="103">
        <v>37624.0</v>
      </c>
      <c r="B6" s="104"/>
      <c r="C6" s="105" t="str">
        <f t="shared" si="1"/>
        <v>setlist</v>
      </c>
      <c r="D6" s="106" t="s">
        <v>1659</v>
      </c>
      <c r="E6" s="106" t="s">
        <v>1660</v>
      </c>
      <c r="F6" s="107" t="s">
        <v>446</v>
      </c>
      <c r="G6" s="107" t="s">
        <v>36</v>
      </c>
      <c r="H6" s="105" t="str">
        <f>HYPERLINK("http://www.mediafire.com/download/k3xdn5deyibdtgp/2003-01-03_-_Hampton_Coliseum_-_Hampton%2C_VA.rar", "download link")</f>
        <v>download link</v>
      </c>
      <c r="I6" s="134" t="s">
        <v>2107</v>
      </c>
      <c r="J6" s="109"/>
    </row>
    <row r="7">
      <c r="A7" s="202">
        <v>37625.0</v>
      </c>
      <c r="B7" s="78"/>
      <c r="C7" s="203" t="str">
        <f t="shared" si="1"/>
        <v>setlist</v>
      </c>
      <c r="D7" s="204" t="s">
        <v>1659</v>
      </c>
      <c r="E7" s="204" t="s">
        <v>1660</v>
      </c>
      <c r="F7" s="205" t="s">
        <v>446</v>
      </c>
      <c r="G7" s="205" t="s">
        <v>36</v>
      </c>
      <c r="H7" s="203" t="str">
        <f>HYPERLINK("http://www.mediafire.com/download/5jj6q5wo7juywlf/2003-01-04_-_Hampton_Coliseum_-_Hampton%2C_VA.rar", "download link")</f>
        <v>download link</v>
      </c>
      <c r="I7" s="206" t="s">
        <v>2229</v>
      </c>
      <c r="J7" s="82"/>
    </row>
    <row r="8">
      <c r="A8" s="95"/>
      <c r="B8" s="93"/>
      <c r="C8" s="94"/>
      <c r="D8" s="83" t="s">
        <v>2230</v>
      </c>
      <c r="E8" s="95"/>
      <c r="F8" s="93"/>
      <c r="G8" s="93"/>
      <c r="H8" s="65"/>
      <c r="I8" s="95"/>
      <c r="J8" s="95"/>
    </row>
    <row r="9">
      <c r="A9" s="125">
        <v>37666.0</v>
      </c>
      <c r="B9" s="126"/>
      <c r="C9" s="98" t="str">
        <f t="shared" ref="C9:C20" si="2">HYPERLINK("http://phish.net/setlists/?d="&amp;RIGHT(TEXT(A9,"mm/dd/yyyy"),4)&amp;"-"&amp;LEFT(TEXT(A9,"mm/dd/yyyy"),2)&amp;"-"&amp;MID(TEXT(A9,"mm/dd/yyyy"),4,2), "setlist")</f>
        <v>setlist</v>
      </c>
      <c r="D9" s="102" t="s">
        <v>2231</v>
      </c>
      <c r="E9" s="102" t="s">
        <v>2232</v>
      </c>
      <c r="F9" s="127" t="s">
        <v>679</v>
      </c>
      <c r="G9" s="127" t="s">
        <v>36</v>
      </c>
      <c r="H9" s="178" t="str">
        <f>HYPERLINK("http://www.mediafire.com/download/u1y4rimin9w25vp/2003-02-14_-_Great_Western_Forum_-_Englewood%2C_CA.rar", "download link")</f>
        <v>download link</v>
      </c>
      <c r="I9" s="101" t="s">
        <v>2233</v>
      </c>
      <c r="J9" s="129"/>
    </row>
    <row r="10">
      <c r="A10" s="103">
        <v>37667.0</v>
      </c>
      <c r="B10" s="104"/>
      <c r="C10" s="105" t="str">
        <f t="shared" si="2"/>
        <v>setlist</v>
      </c>
      <c r="D10" s="106" t="s">
        <v>1938</v>
      </c>
      <c r="E10" s="106" t="s">
        <v>1804</v>
      </c>
      <c r="F10" s="107" t="s">
        <v>1805</v>
      </c>
      <c r="G10" s="107" t="s">
        <v>36</v>
      </c>
      <c r="H10" s="105" t="str">
        <f>HYPERLINK("http://www.mediafire.com/download/9a7txe8dvt83ju5/2003-02-15_-_Thomas_%26_Mack_Center_-_Las_Vegas%2C_NV.rar", "download link")</f>
        <v>download link</v>
      </c>
      <c r="I10" s="134" t="s">
        <v>2234</v>
      </c>
      <c r="J10" s="109"/>
    </row>
    <row r="11">
      <c r="A11" s="110">
        <v>37668.0</v>
      </c>
      <c r="B11" s="111"/>
      <c r="C11" s="135" t="str">
        <f t="shared" si="2"/>
        <v>setlist</v>
      </c>
      <c r="D11" s="113" t="s">
        <v>1938</v>
      </c>
      <c r="E11" s="113" t="s">
        <v>1804</v>
      </c>
      <c r="F11" s="114" t="s">
        <v>1805</v>
      </c>
      <c r="G11" s="114" t="s">
        <v>36</v>
      </c>
      <c r="H11" s="116" t="str">
        <f>HYPERLINK("http://www.mediafire.com/download/q4iqiskafcai4mm/2003-02-16_-_Thomas_%26_Mack_Center_-_Las_Vegas%2C_NV.rar", "download link")</f>
        <v>download link</v>
      </c>
      <c r="I11" s="136" t="s">
        <v>2235</v>
      </c>
      <c r="J11" s="80"/>
    </row>
    <row r="12">
      <c r="A12" s="103">
        <v>37670.0</v>
      </c>
      <c r="B12" s="104"/>
      <c r="C12" s="105" t="str">
        <f t="shared" si="2"/>
        <v>setlist</v>
      </c>
      <c r="D12" s="106" t="s">
        <v>2236</v>
      </c>
      <c r="E12" s="106" t="s">
        <v>499</v>
      </c>
      <c r="F12" s="107" t="s">
        <v>203</v>
      </c>
      <c r="G12" s="107" t="s">
        <v>36</v>
      </c>
      <c r="H12" s="105" t="str">
        <f>HYPERLINK("http://www.mediafire.com/download/5iy48t00l8wc0ai/2003-02-18_-_Pepsi_Center_-_Denver%2C_CO.rar", "download link")</f>
        <v>download link</v>
      </c>
      <c r="I12" s="134" t="s">
        <v>2237</v>
      </c>
      <c r="J12" s="109"/>
    </row>
    <row r="13">
      <c r="A13" s="110">
        <v>37672.0</v>
      </c>
      <c r="B13" s="111"/>
      <c r="C13" s="135" t="str">
        <f t="shared" si="2"/>
        <v>setlist</v>
      </c>
      <c r="D13" s="113" t="s">
        <v>2117</v>
      </c>
      <c r="E13" s="113" t="s">
        <v>1636</v>
      </c>
      <c r="F13" s="114" t="s">
        <v>480</v>
      </c>
      <c r="G13" s="114" t="s">
        <v>36</v>
      </c>
      <c r="H13" s="116" t="str">
        <f>HYPERLINK("http://www.mediafire.com/download/6fk7z8624n6wk32/2003-02-20_-_Allstate_Arena_-_Rosemont%2C_IL.rar", "download link")</f>
        <v>download link</v>
      </c>
      <c r="I13" s="136" t="s">
        <v>2238</v>
      </c>
      <c r="J13" s="80"/>
    </row>
    <row r="14">
      <c r="A14" s="103">
        <v>37673.0</v>
      </c>
      <c r="B14" s="104"/>
      <c r="C14" s="105" t="str">
        <f t="shared" si="2"/>
        <v>setlist</v>
      </c>
      <c r="D14" s="106" t="s">
        <v>2239</v>
      </c>
      <c r="E14" s="106" t="s">
        <v>943</v>
      </c>
      <c r="F14" s="107" t="s">
        <v>472</v>
      </c>
      <c r="G14" s="107" t="s">
        <v>36</v>
      </c>
      <c r="H14" s="105" t="str">
        <f>HYPERLINK("http://www.mediafire.com/download/3a8occq6gzckalg/2003-02-21_-_U.S._Bank_Arena_-_Cincinnati%2C_OH.rar", "download link")</f>
        <v>download link</v>
      </c>
      <c r="I14" s="134" t="s">
        <v>2240</v>
      </c>
      <c r="J14" s="109"/>
    </row>
    <row r="15">
      <c r="A15" s="110">
        <v>37674.0</v>
      </c>
      <c r="B15" s="111"/>
      <c r="C15" s="135" t="str">
        <f t="shared" si="2"/>
        <v>setlist</v>
      </c>
      <c r="D15" s="118" t="s">
        <v>2239</v>
      </c>
      <c r="E15" s="113" t="s">
        <v>943</v>
      </c>
      <c r="F15" s="114" t="s">
        <v>472</v>
      </c>
      <c r="G15" s="114" t="s">
        <v>36</v>
      </c>
      <c r="H15" s="116" t="str">
        <f>HYPERLINK("http://www.mediafire.com/download/w01tjra2bn65vg2/2003-02-22_-_U.S._Bank_Arena_-_Cincinnati%2C_OH.rar", "download link")</f>
        <v>download link</v>
      </c>
      <c r="I15" s="136" t="s">
        <v>2241</v>
      </c>
      <c r="J15" s="80"/>
    </row>
    <row r="16">
      <c r="A16" s="103">
        <v>37676.0</v>
      </c>
      <c r="B16" s="104"/>
      <c r="C16" s="105" t="str">
        <f t="shared" si="2"/>
        <v>setlist</v>
      </c>
      <c r="D16" s="106" t="s">
        <v>2242</v>
      </c>
      <c r="E16" s="106" t="s">
        <v>2243</v>
      </c>
      <c r="F16" s="107" t="s">
        <v>43</v>
      </c>
      <c r="G16" s="107" t="s">
        <v>36</v>
      </c>
      <c r="H16" s="105" t="str">
        <f>HYPERLINK("http://www.mediafire.com/download/o6k7in7rdod5aio/2003-02-24_-_Continental_Airlines_Arena_-_East_Rutherford%2C_NJ.rar", "download link")</f>
        <v>download link</v>
      </c>
      <c r="I16" s="134" t="s">
        <v>2244</v>
      </c>
      <c r="J16" s="109"/>
    </row>
    <row r="17">
      <c r="A17" s="110">
        <v>37677.0</v>
      </c>
      <c r="B17" s="111"/>
      <c r="C17" s="135" t="str">
        <f t="shared" si="2"/>
        <v>setlist</v>
      </c>
      <c r="D17" s="113" t="s">
        <v>2128</v>
      </c>
      <c r="E17" s="113" t="s">
        <v>871</v>
      </c>
      <c r="F17" s="114" t="s">
        <v>212</v>
      </c>
      <c r="G17" s="114" t="s">
        <v>36</v>
      </c>
      <c r="H17" s="116" t="str">
        <f>HYPERLINK("http://www.mediafire.com/download/yl7cay31htff2f1/2003-02-25_-_First_Union_Spectrum_-_Philadelphia%2C_PA.rar", "download link")</f>
        <v>download link</v>
      </c>
      <c r="I17" s="136" t="s">
        <v>2245</v>
      </c>
      <c r="J17" s="80"/>
    </row>
    <row r="18">
      <c r="A18" s="103">
        <v>37678.0</v>
      </c>
      <c r="B18" s="104"/>
      <c r="C18" s="105" t="str">
        <f t="shared" si="2"/>
        <v>setlist</v>
      </c>
      <c r="D18" s="134" t="s">
        <v>1315</v>
      </c>
      <c r="E18" s="106" t="s">
        <v>417</v>
      </c>
      <c r="F18" s="107" t="s">
        <v>95</v>
      </c>
      <c r="G18" s="107" t="s">
        <v>36</v>
      </c>
      <c r="H18" s="105" t="str">
        <f>HYPERLINK("http://www.mediafire.com/download/hfb3zbucr846l8z/2003-02-26_-_Worcester_Centrum_Centre_-_Worcester%2C_MA.rar", "download link")</f>
        <v>download link</v>
      </c>
      <c r="I18" s="134" t="s">
        <v>2131</v>
      </c>
      <c r="J18" s="109"/>
    </row>
    <row r="19">
      <c r="A19" s="110">
        <v>37680.0</v>
      </c>
      <c r="B19" s="111"/>
      <c r="C19" s="135" t="str">
        <f t="shared" si="2"/>
        <v>setlist</v>
      </c>
      <c r="D19" s="113" t="s">
        <v>1965</v>
      </c>
      <c r="E19" s="113" t="s">
        <v>1966</v>
      </c>
      <c r="F19" s="114" t="s">
        <v>129</v>
      </c>
      <c r="G19" s="114" t="s">
        <v>36</v>
      </c>
      <c r="H19" s="116" t="str">
        <f>HYPERLINK("http://www.mediafire.com/download/pzxjs5ewe1gkmht/2003-02-28_-_Nassau_Coliseum_-_Uniondale%2C_NY.rar", "download link")</f>
        <v>download link</v>
      </c>
      <c r="I19" s="136" t="s">
        <v>2246</v>
      </c>
      <c r="J19" s="80"/>
    </row>
    <row r="20">
      <c r="A20" s="186">
        <v>37681.0</v>
      </c>
      <c r="B20" s="187"/>
      <c r="C20" s="123" t="str">
        <f t="shared" si="2"/>
        <v>setlist</v>
      </c>
      <c r="D20" s="122" t="s">
        <v>2247</v>
      </c>
      <c r="E20" s="122" t="s">
        <v>2248</v>
      </c>
      <c r="F20" s="120" t="s">
        <v>443</v>
      </c>
      <c r="G20" s="120" t="s">
        <v>36</v>
      </c>
      <c r="H20" s="105" t="str">
        <f>HYPERLINK("http://www.mediafire.com/download/59z842egagvjks1/2003-03-01_-_Greensboro_Coliseum_-_Greensboro%2C_NC.rar", "download link")</f>
        <v>download link</v>
      </c>
      <c r="I20" s="137" t="s">
        <v>2249</v>
      </c>
      <c r="J20" s="189"/>
    </row>
    <row r="21">
      <c r="A21" s="95"/>
      <c r="B21" s="93"/>
      <c r="C21" s="94"/>
      <c r="D21" s="83" t="s">
        <v>2250</v>
      </c>
      <c r="E21" s="95"/>
      <c r="F21" s="93"/>
      <c r="G21" s="93"/>
      <c r="H21" s="65"/>
      <c r="I21" s="95"/>
      <c r="J21" s="95"/>
    </row>
    <row r="22">
      <c r="A22" s="125">
        <v>37809.0</v>
      </c>
      <c r="B22" s="126"/>
      <c r="C22" s="98" t="str">
        <f t="shared" ref="C22:C44" si="3">HYPERLINK("http://phish.net/setlists/?d="&amp;RIGHT(TEXT(A22,"mm/dd/yyyy"),4)&amp;"-"&amp;LEFT(TEXT(A22,"mm/dd/yyyy"),2)&amp;"-"&amp;MID(TEXT(A22,"mm/dd/yyyy"),4,2), "setlist")</f>
        <v>setlist</v>
      </c>
      <c r="D22" s="102" t="s">
        <v>2251</v>
      </c>
      <c r="E22" s="102" t="s">
        <v>1160</v>
      </c>
      <c r="F22" s="127" t="s">
        <v>805</v>
      </c>
      <c r="G22" s="127" t="s">
        <v>36</v>
      </c>
      <c r="H22" s="178" t="str">
        <f>HYPERLINK("http://www.mediafire.com/download/3031vvzkbvorlav/2003-07-07_-_Cricket_Pavilion_-_Phoenix%2C_AZ.rar", "download link")</f>
        <v>download link</v>
      </c>
      <c r="I22" s="101" t="s">
        <v>2252</v>
      </c>
      <c r="J22" s="129"/>
    </row>
    <row r="23">
      <c r="A23" s="103">
        <v>37810.0</v>
      </c>
      <c r="B23" s="104"/>
      <c r="C23" s="105" t="str">
        <f t="shared" si="3"/>
        <v>setlist</v>
      </c>
      <c r="D23" s="106" t="s">
        <v>2101</v>
      </c>
      <c r="E23" s="106" t="s">
        <v>2102</v>
      </c>
      <c r="F23" s="107" t="s">
        <v>679</v>
      </c>
      <c r="G23" s="107" t="s">
        <v>36</v>
      </c>
      <c r="H23" s="105" t="str">
        <f>HYPERLINK("http://www.mediafire.com/download/t91q7rh2kr6jkoh/2003-07-08_-_Coors_Amphitheatre_-_Chula_Vista%2C_CA.rar", "download link")</f>
        <v>download link</v>
      </c>
      <c r="I23" s="134" t="s">
        <v>2253</v>
      </c>
      <c r="J23" s="109"/>
    </row>
    <row r="24">
      <c r="A24" s="110">
        <v>37811.0</v>
      </c>
      <c r="B24" s="111"/>
      <c r="C24" s="135" t="str">
        <f t="shared" si="3"/>
        <v>setlist</v>
      </c>
      <c r="D24" s="113" t="s">
        <v>1052</v>
      </c>
      <c r="E24" s="113" t="s">
        <v>1053</v>
      </c>
      <c r="F24" s="114" t="s">
        <v>679</v>
      </c>
      <c r="G24" s="114" t="s">
        <v>36</v>
      </c>
      <c r="H24" s="116" t="str">
        <f>HYPERLINK("http://www.mediafire.com/download/79s0ssebt3zz919/2003-07-09_-_Shoreline_Amphitheatre_-_Mountain_View%2C_CA.rar", "download link")</f>
        <v>download link</v>
      </c>
      <c r="I24" s="136" t="s">
        <v>2254</v>
      </c>
      <c r="J24" s="80"/>
    </row>
    <row r="25">
      <c r="A25" s="103">
        <v>37812.0</v>
      </c>
      <c r="B25" s="104"/>
      <c r="C25" s="105" t="str">
        <f t="shared" si="3"/>
        <v>setlist</v>
      </c>
      <c r="D25" s="106" t="s">
        <v>1052</v>
      </c>
      <c r="E25" s="106" t="s">
        <v>1053</v>
      </c>
      <c r="F25" s="107" t="s">
        <v>679</v>
      </c>
      <c r="G25" s="107" t="s">
        <v>36</v>
      </c>
      <c r="H25" s="105" t="str">
        <f>HYPERLINK("http://www.mediafire.com/download/422takk055hyckx/2003-07-10_-_Shoreline_Amphitheatre_-_Mountain_View%2C_CA.rar", "download link")</f>
        <v>download link</v>
      </c>
      <c r="I25" s="134" t="s">
        <v>2255</v>
      </c>
      <c r="J25" s="109"/>
    </row>
    <row r="26">
      <c r="A26" s="147">
        <v>37814.0</v>
      </c>
      <c r="B26" s="158"/>
      <c r="C26" s="135" t="str">
        <f t="shared" si="3"/>
        <v>setlist</v>
      </c>
      <c r="D26" s="113" t="s">
        <v>1918</v>
      </c>
      <c r="E26" s="113" t="s">
        <v>1919</v>
      </c>
      <c r="F26" s="114" t="s">
        <v>701</v>
      </c>
      <c r="G26" s="148" t="s">
        <v>36</v>
      </c>
      <c r="H26" s="116" t="str">
        <f>HYPERLINK("http://www.mediafire.com/download/lljhi1sd8zdhsdn/2003-07-12_-_Gorge_Amphitheatre_-_George%2C_WA.rar", "download link")</f>
        <v>download link</v>
      </c>
      <c r="I26" s="136" t="s">
        <v>2256</v>
      </c>
      <c r="J26" s="80"/>
    </row>
    <row r="27">
      <c r="A27" s="103">
        <v>37815.0</v>
      </c>
      <c r="B27" s="104"/>
      <c r="C27" s="105" t="str">
        <f t="shared" si="3"/>
        <v>setlist</v>
      </c>
      <c r="D27" s="106" t="s">
        <v>1918</v>
      </c>
      <c r="E27" s="106" t="s">
        <v>1919</v>
      </c>
      <c r="F27" s="107" t="s">
        <v>701</v>
      </c>
      <c r="G27" s="107" t="s">
        <v>36</v>
      </c>
      <c r="H27" s="105" t="str">
        <f>HYPERLINK("http://www.mediafire.com/download/oomaof074ie9apc/2003-07-13_-_Gorge_Amphitheatre_-_George%2C_WA.rar", "download link")</f>
        <v>download link</v>
      </c>
      <c r="I27" s="134" t="s">
        <v>2256</v>
      </c>
      <c r="J27" s="109"/>
    </row>
    <row r="28">
      <c r="A28" s="110">
        <v>37817.0</v>
      </c>
      <c r="B28" s="111"/>
      <c r="C28" s="135" t="str">
        <f t="shared" si="3"/>
        <v>setlist</v>
      </c>
      <c r="D28" s="113" t="s">
        <v>2257</v>
      </c>
      <c r="E28" s="113" t="s">
        <v>1940</v>
      </c>
      <c r="F28" s="114" t="s">
        <v>1302</v>
      </c>
      <c r="G28" s="114" t="s">
        <v>36</v>
      </c>
      <c r="H28" s="116" t="str">
        <f>HYPERLINK("http://www.mediafire.com/download/vrmde3b6nfai52i/2003-07-15_-_USANA_Amphitheatre_-_West_Valley_City%2C_UT.rar", "download link")</f>
        <v>download link</v>
      </c>
      <c r="I28" s="136" t="s">
        <v>2258</v>
      </c>
      <c r="J28" s="80"/>
    </row>
    <row r="29">
      <c r="A29" s="103">
        <v>37819.0</v>
      </c>
      <c r="B29" s="104"/>
      <c r="C29" s="105" t="str">
        <f t="shared" si="3"/>
        <v>setlist</v>
      </c>
      <c r="D29" s="134" t="s">
        <v>2259</v>
      </c>
      <c r="E29" s="106" t="s">
        <v>2002</v>
      </c>
      <c r="F29" s="107" t="s">
        <v>892</v>
      </c>
      <c r="G29" s="107" t="s">
        <v>36</v>
      </c>
      <c r="H29" s="105" t="str">
        <f>HYPERLINK("http://www.mediafire.com/download/ome9l92czbiccdq/2003-07-17_-_Verizon_Wireless_Amphitheater_Kansas_City_-_Bonner_Springs%2C_KS.rar", "download link")</f>
        <v>download link</v>
      </c>
      <c r="I29" s="134" t="s">
        <v>2260</v>
      </c>
      <c r="J29" s="109"/>
    </row>
    <row r="30">
      <c r="A30" s="110">
        <v>37820.0</v>
      </c>
      <c r="B30" s="111"/>
      <c r="C30" s="135" t="str">
        <f t="shared" si="3"/>
        <v>setlist</v>
      </c>
      <c r="D30" s="113" t="s">
        <v>1737</v>
      </c>
      <c r="E30" s="113" t="s">
        <v>1738</v>
      </c>
      <c r="F30" s="114" t="s">
        <v>483</v>
      </c>
      <c r="G30" s="114" t="s">
        <v>36</v>
      </c>
      <c r="H30" s="116" t="str">
        <f>HYPERLINK("http://www.mediafire.com/download/ku0wld4nbsxs1zr/2003-07-18_-_Alpine_Valley_Music_Theatre_-_East_Troy%2C_WI.rar", "download link")</f>
        <v>download link</v>
      </c>
      <c r="I30" s="136" t="s">
        <v>2261</v>
      </c>
      <c r="J30" s="80"/>
    </row>
    <row r="31">
      <c r="A31" s="103">
        <v>37821.0</v>
      </c>
      <c r="B31" s="104"/>
      <c r="C31" s="105" t="str">
        <f t="shared" si="3"/>
        <v>setlist</v>
      </c>
      <c r="D31" s="106" t="s">
        <v>1737</v>
      </c>
      <c r="E31" s="106" t="s">
        <v>1738</v>
      </c>
      <c r="F31" s="107" t="s">
        <v>483</v>
      </c>
      <c r="G31" s="107" t="s">
        <v>36</v>
      </c>
      <c r="H31" s="105" t="str">
        <f>HYPERLINK("http://www.mediafire.com/download/i4ltp0ucc855fq8/2003-07-19_-_Alpine_Valley_Music_Theatre_-_East_Troy%2C_WI.rar", "download link")</f>
        <v>download link</v>
      </c>
      <c r="I31" s="134" t="s">
        <v>2262</v>
      </c>
      <c r="J31" s="109"/>
    </row>
    <row r="32">
      <c r="A32" s="110">
        <v>37823.0</v>
      </c>
      <c r="B32" s="111"/>
      <c r="C32" s="135" t="str">
        <f t="shared" si="3"/>
        <v>setlist</v>
      </c>
      <c r="D32" s="113" t="s">
        <v>2263</v>
      </c>
      <c r="E32" s="113" t="s">
        <v>1579</v>
      </c>
      <c r="F32" s="114" t="s">
        <v>508</v>
      </c>
      <c r="G32" s="114" t="s">
        <v>36</v>
      </c>
      <c r="H32" s="116" t="str">
        <f>HYPERLINK("http://www.mediafire.com/download/gsdz04p8qiqo952/2003-07-21_-_Verizon_Wireless_Music_Center_-_Noblesville%2C_IN.rar", "download link")</f>
        <v>download link</v>
      </c>
      <c r="I32" s="136" t="s">
        <v>2264</v>
      </c>
      <c r="J32" s="80"/>
    </row>
    <row r="33">
      <c r="A33" s="103">
        <v>37824.0</v>
      </c>
      <c r="B33" s="104"/>
      <c r="C33" s="105" t="str">
        <f t="shared" si="3"/>
        <v>setlist</v>
      </c>
      <c r="D33" s="106" t="s">
        <v>2263</v>
      </c>
      <c r="E33" s="106" t="s">
        <v>1579</v>
      </c>
      <c r="F33" s="107" t="s">
        <v>508</v>
      </c>
      <c r="G33" s="107" t="s">
        <v>36</v>
      </c>
      <c r="H33" s="105" t="str">
        <f>HYPERLINK("http://www.mediafire.com/download/1g7wxoblijd6r0z/2003-07-22_-_Verizon_Wireless_Music_Center_-_Noblesville%2C_IN.rar", "download link")</f>
        <v>download link</v>
      </c>
      <c r="I33" s="134" t="s">
        <v>2261</v>
      </c>
      <c r="J33" s="109"/>
    </row>
    <row r="34">
      <c r="A34" s="110">
        <v>37825.0</v>
      </c>
      <c r="B34" s="111"/>
      <c r="C34" s="135" t="str">
        <f t="shared" si="3"/>
        <v>setlist</v>
      </c>
      <c r="D34" s="113" t="s">
        <v>2263</v>
      </c>
      <c r="E34" s="113" t="s">
        <v>1579</v>
      </c>
      <c r="F34" s="114" t="s">
        <v>508</v>
      </c>
      <c r="G34" s="114" t="s">
        <v>36</v>
      </c>
      <c r="H34" s="116" t="str">
        <f>HYPERLINK("http://www.mediafire.com/download/kzg232eq84v421w/2003-07-23_-_Verizon_Wireless_Music_Center_-_Noblesville%2C_IN.rar", "download link")</f>
        <v>download link</v>
      </c>
      <c r="I34" s="136" t="s">
        <v>2265</v>
      </c>
      <c r="J34" s="80"/>
    </row>
    <row r="35">
      <c r="A35" s="130">
        <v>37827.0</v>
      </c>
      <c r="B35" s="104"/>
      <c r="C35" s="105" t="str">
        <f t="shared" si="3"/>
        <v>setlist</v>
      </c>
      <c r="D35" s="140" t="s">
        <v>2266</v>
      </c>
      <c r="E35" s="132" t="s">
        <v>541</v>
      </c>
      <c r="F35" s="133" t="s">
        <v>443</v>
      </c>
      <c r="G35" s="107" t="s">
        <v>36</v>
      </c>
      <c r="H35" s="105" t="str">
        <f>HYPERLINK("http://www.mediafire.com/download/tspp6oyvggq7znf/2003-07-25_-_Verizon_Wireless_Amphitheatre_-_Charlotte_-_Charlotte%2C_NC.rar", "download link")</f>
        <v>download link</v>
      </c>
      <c r="I35" s="134" t="s">
        <v>2260</v>
      </c>
      <c r="J35" s="109"/>
    </row>
    <row r="36">
      <c r="A36" s="147">
        <v>37828.0</v>
      </c>
      <c r="B36" s="225"/>
      <c r="C36" s="135" t="str">
        <f t="shared" si="3"/>
        <v>setlist</v>
      </c>
      <c r="D36" s="149" t="s">
        <v>2267</v>
      </c>
      <c r="E36" s="149" t="s">
        <v>437</v>
      </c>
      <c r="F36" s="148" t="s">
        <v>433</v>
      </c>
      <c r="G36" s="148" t="s">
        <v>36</v>
      </c>
      <c r="H36" s="116" t="str">
        <f>HYPERLINK("http://www.mediafire.com/download/kasportwopgmd71/2003-07-26_-_HiFi_Buys_Amphitheatre_-_Atlanta%2C_GA.rar", "download link")</f>
        <v>download link</v>
      </c>
      <c r="I36" s="136" t="s">
        <v>2268</v>
      </c>
      <c r="J36" s="80"/>
    </row>
    <row r="37">
      <c r="A37" s="103">
        <v>37829.0</v>
      </c>
      <c r="B37" s="104"/>
      <c r="C37" s="105" t="str">
        <f t="shared" si="3"/>
        <v>setlist</v>
      </c>
      <c r="D37" s="106" t="s">
        <v>2269</v>
      </c>
      <c r="E37" s="106" t="s">
        <v>536</v>
      </c>
      <c r="F37" s="107" t="s">
        <v>443</v>
      </c>
      <c r="G37" s="107" t="s">
        <v>36</v>
      </c>
      <c r="H37" s="105" t="str">
        <f>HYPERLINK("http://www.mediafire.com/download/2r3qrgi7mcfqwa4/2003-07-27_-_ALLTEL_Pavilion_-_Raleigh%2C_NC.rar", "download link")</f>
        <v>download link</v>
      </c>
      <c r="I37" s="134" t="s">
        <v>2268</v>
      </c>
      <c r="J37" s="109"/>
    </row>
    <row r="38">
      <c r="A38" s="110">
        <v>37831.0</v>
      </c>
      <c r="B38" s="111"/>
      <c r="C38" s="135" t="str">
        <f t="shared" si="3"/>
        <v>setlist</v>
      </c>
      <c r="D38" s="136" t="s">
        <v>2270</v>
      </c>
      <c r="E38" s="113" t="s">
        <v>1926</v>
      </c>
      <c r="F38" s="114" t="s">
        <v>212</v>
      </c>
      <c r="G38" s="114" t="s">
        <v>36</v>
      </c>
      <c r="H38" s="116" t="str">
        <f>HYPERLINK("http://www.mediafire.com/download/3szy53r0piv8jh8/2003-07-29_-_Post_Gazette_Pavilion_at_Star_Lake_-_Burgettstown%2C_PA.rar", "download link")</f>
        <v>download link</v>
      </c>
      <c r="I38" s="136" t="s">
        <v>2271</v>
      </c>
      <c r="J38" s="80"/>
    </row>
    <row r="39">
      <c r="A39" s="103">
        <v>37832.0</v>
      </c>
      <c r="B39" s="104"/>
      <c r="C39" s="105" t="str">
        <f t="shared" si="3"/>
        <v>setlist</v>
      </c>
      <c r="D39" s="106" t="s">
        <v>2272</v>
      </c>
      <c r="E39" s="106" t="s">
        <v>2070</v>
      </c>
      <c r="F39" s="107" t="s">
        <v>43</v>
      </c>
      <c r="G39" s="107" t="s">
        <v>36</v>
      </c>
      <c r="H39" s="105" t="str">
        <f>HYPERLINK("http://www.mediafire.com/download/14yysj80velsw0w/2003-07-30_-_Tweeter_Center_at_the_Waterfront_-_Camden%2C_NJ.rar", "download link")</f>
        <v>download link</v>
      </c>
      <c r="I39" s="134" t="s">
        <v>2273</v>
      </c>
      <c r="J39" s="109"/>
    </row>
    <row r="40">
      <c r="A40" s="110">
        <v>37833.0</v>
      </c>
      <c r="B40" s="111"/>
      <c r="C40" s="135" t="str">
        <f t="shared" si="3"/>
        <v>setlist</v>
      </c>
      <c r="D40" s="113" t="s">
        <v>2272</v>
      </c>
      <c r="E40" s="113" t="s">
        <v>2070</v>
      </c>
      <c r="F40" s="114" t="s">
        <v>43</v>
      </c>
      <c r="G40" s="114" t="s">
        <v>36</v>
      </c>
      <c r="H40" s="116" t="str">
        <f>HYPERLINK("http://www.mediafire.com/download/gh2vgap1fg90dw8/2003-07-31_-_Tweeter_Center_at_the_Waterfront_-_Camden%2C_NJ.rar", "download link")</f>
        <v>download link</v>
      </c>
      <c r="I40" s="136" t="s">
        <v>2274</v>
      </c>
      <c r="J40" s="80"/>
    </row>
    <row r="41">
      <c r="A41" s="103">
        <v>37834.0</v>
      </c>
      <c r="B41" s="141" t="s">
        <v>32</v>
      </c>
      <c r="C41" s="105" t="str">
        <f t="shared" si="3"/>
        <v>setlist</v>
      </c>
      <c r="D41" s="106" t="s">
        <v>2275</v>
      </c>
      <c r="E41" s="106" t="s">
        <v>1930</v>
      </c>
      <c r="F41" s="107" t="s">
        <v>257</v>
      </c>
      <c r="G41" s="107" t="s">
        <v>36</v>
      </c>
      <c r="H41" s="105" t="str">
        <f>HYPERLINK("http://www.mediafire.com/download/ebatg6po3acko89/2003-08-01_-_IT_-_Soundcheck_-_Limestone%2C_ME.rar", "download link")</f>
        <v>download link</v>
      </c>
      <c r="I41" s="134" t="s">
        <v>2276</v>
      </c>
      <c r="J41" s="109"/>
    </row>
    <row r="42">
      <c r="A42" s="142">
        <v>37835.0</v>
      </c>
      <c r="B42" s="144"/>
      <c r="C42" s="116" t="str">
        <f t="shared" si="3"/>
        <v>setlist</v>
      </c>
      <c r="D42" s="118" t="s">
        <v>2277</v>
      </c>
      <c r="E42" s="118" t="s">
        <v>1930</v>
      </c>
      <c r="F42" s="115" t="s">
        <v>257</v>
      </c>
      <c r="G42" s="115" t="s">
        <v>36</v>
      </c>
      <c r="H42" s="116" t="str">
        <f>HYPERLINK("http://www.mediafire.com/download/er8hh9l6jru5f8c/2003-08-02_-_IT_-_Loring_Air_Force_Base_-_Limestone%2C_ME.rar", "download link")</f>
        <v>download link</v>
      </c>
      <c r="I42" s="117" t="s">
        <v>2278</v>
      </c>
      <c r="J42" s="146"/>
    </row>
    <row r="43">
      <c r="A43" s="103">
        <v>37835.0</v>
      </c>
      <c r="B43" s="104"/>
      <c r="C43" s="105" t="str">
        <f t="shared" si="3"/>
        <v>setlist</v>
      </c>
      <c r="D43" s="106" t="s">
        <v>2279</v>
      </c>
      <c r="E43" s="106" t="s">
        <v>1930</v>
      </c>
      <c r="F43" s="107" t="s">
        <v>257</v>
      </c>
      <c r="G43" s="107" t="s">
        <v>36</v>
      </c>
      <c r="H43" s="105" t="str">
        <f>HYPERLINK("http://www.mediafire.com/download/545a97b055gv0au/2003-08-02_-_IT_-_Tower_Jam_-_Limestone%2C_ME.rar", "download link")</f>
        <v>download link</v>
      </c>
      <c r="I43" s="134" t="s">
        <v>2280</v>
      </c>
      <c r="J43" s="109"/>
    </row>
    <row r="44">
      <c r="A44" s="167">
        <v>37836.0</v>
      </c>
      <c r="B44" s="175"/>
      <c r="C44" s="166" t="str">
        <f t="shared" si="3"/>
        <v>setlist</v>
      </c>
      <c r="D44" s="169" t="s">
        <v>2277</v>
      </c>
      <c r="E44" s="169" t="s">
        <v>1930</v>
      </c>
      <c r="F44" s="168" t="s">
        <v>257</v>
      </c>
      <c r="G44" s="168" t="s">
        <v>36</v>
      </c>
      <c r="H44" s="116" t="str">
        <f>HYPERLINK("http://www.mediafire.com/download/tvfca6yqwecemfx/2003-08-03_-_IT_-_Loring_Air_Force_Base_-_Limestone%2C_ME.rar", "download link")</f>
        <v>download link</v>
      </c>
      <c r="I44" s="171" t="s">
        <v>2271</v>
      </c>
      <c r="J44" s="176"/>
    </row>
    <row r="45">
      <c r="A45" s="95"/>
      <c r="B45" s="93"/>
      <c r="C45" s="94"/>
      <c r="D45" s="83" t="s">
        <v>2281</v>
      </c>
      <c r="E45" s="95"/>
      <c r="F45" s="93"/>
      <c r="G45" s="93"/>
      <c r="H45" s="65"/>
      <c r="I45" s="95"/>
      <c r="J45" s="95"/>
    </row>
    <row r="46">
      <c r="A46" s="125">
        <v>37953.0</v>
      </c>
      <c r="B46" s="126"/>
      <c r="C46" s="98" t="str">
        <f t="shared" ref="C46:C49" si="4">HYPERLINK("http://phish.net/setlists/?d="&amp;RIGHT(TEXT(A46,"mm/dd/yyyy"),4)&amp;"-"&amp;LEFT(TEXT(A46,"mm/dd/yyyy"),2)&amp;"-"&amp;MID(TEXT(A46,"mm/dd/yyyy"),4,2), "setlist")</f>
        <v>setlist</v>
      </c>
      <c r="D46" s="102" t="s">
        <v>1965</v>
      </c>
      <c r="E46" s="102" t="s">
        <v>1966</v>
      </c>
      <c r="F46" s="127" t="s">
        <v>129</v>
      </c>
      <c r="G46" s="127" t="s">
        <v>36</v>
      </c>
      <c r="H46" s="98" t="str">
        <f>HYPERLINK("http://www.mediafire.com/download/q368mvbwbquz62b/2003-11-28_-_Nassau_Coliseum_-_Uniondale%2C_NY.rar", "download link")</f>
        <v>download link</v>
      </c>
      <c r="I46" s="101" t="s">
        <v>2282</v>
      </c>
      <c r="J46" s="129"/>
    </row>
    <row r="47">
      <c r="A47" s="103">
        <v>37954.0</v>
      </c>
      <c r="B47" s="104"/>
      <c r="C47" s="105" t="str">
        <f t="shared" si="4"/>
        <v>setlist</v>
      </c>
      <c r="D47" s="106" t="s">
        <v>2283</v>
      </c>
      <c r="E47" s="106" t="s">
        <v>871</v>
      </c>
      <c r="F47" s="107" t="s">
        <v>212</v>
      </c>
      <c r="G47" s="107" t="s">
        <v>36</v>
      </c>
      <c r="H47" s="105" t="str">
        <f>HYPERLINK("http://www.mediafire.com/download/5r7azvhf1vzalxe/2003-11-29_-_Wachovia_Spectrum_-_Philadelphia%2C_PA.rar", "download link")</f>
        <v>download link</v>
      </c>
      <c r="I47" s="134" t="s">
        <v>2131</v>
      </c>
      <c r="J47" s="109"/>
    </row>
    <row r="48">
      <c r="A48" s="110">
        <v>37956.0</v>
      </c>
      <c r="B48" s="111"/>
      <c r="C48" s="135" t="str">
        <f t="shared" si="4"/>
        <v>setlist</v>
      </c>
      <c r="D48" s="113" t="s">
        <v>1957</v>
      </c>
      <c r="E48" s="113" t="s">
        <v>309</v>
      </c>
      <c r="F48" s="114" t="s">
        <v>129</v>
      </c>
      <c r="G48" s="114" t="s">
        <v>36</v>
      </c>
      <c r="H48" s="116" t="str">
        <f>HYPERLINK("http://www.mediafire.com/download/b0l1of1sil6d5rb/2003-12-01_-_Pepsi_Arena_-_Albany%2C_NY.rar", "download link")</f>
        <v>download link</v>
      </c>
      <c r="I48" s="136" t="s">
        <v>2131</v>
      </c>
      <c r="J48" s="80"/>
    </row>
    <row r="49">
      <c r="A49" s="186">
        <v>37957.0</v>
      </c>
      <c r="B49" s="187"/>
      <c r="C49" s="123" t="str">
        <f t="shared" si="4"/>
        <v>setlist</v>
      </c>
      <c r="D49" s="137" t="s">
        <v>1810</v>
      </c>
      <c r="E49" s="122" t="s">
        <v>94</v>
      </c>
      <c r="F49" s="120" t="s">
        <v>95</v>
      </c>
      <c r="G49" s="120" t="s">
        <v>36</v>
      </c>
      <c r="H49" s="105" t="str">
        <f>HYPERLINK("http://www.mediafire.com/download/63gdhx69pdakukx/2003-12-02_-_FleetCenter_-_Boston%2C_MA.rar", "download link")</f>
        <v>download link</v>
      </c>
      <c r="I49" s="137" t="s">
        <v>2284</v>
      </c>
      <c r="J49" s="189"/>
    </row>
    <row r="50">
      <c r="A50" s="95"/>
      <c r="B50" s="93"/>
      <c r="C50" s="94"/>
      <c r="D50" s="83" t="s">
        <v>2285</v>
      </c>
      <c r="E50" s="95"/>
      <c r="F50" s="93"/>
      <c r="G50" s="93"/>
      <c r="H50" s="65"/>
      <c r="I50" s="95"/>
      <c r="J50" s="95"/>
    </row>
    <row r="51">
      <c r="A51" s="125">
        <v>37983.0</v>
      </c>
      <c r="B51" s="126"/>
      <c r="C51" s="98" t="str">
        <f t="shared" ref="C51:C54" si="5">HYPERLINK("http://phish.net/setlists/?d="&amp;RIGHT(TEXT(A51,"mm/dd/yyyy"),4)&amp;"-"&amp;LEFT(TEXT(A51,"mm/dd/yyyy"),2)&amp;"-"&amp;MID(TEXT(A51,"mm/dd/yyyy"),4,2), "setlist")</f>
        <v>setlist</v>
      </c>
      <c r="D51" s="102" t="s">
        <v>2286</v>
      </c>
      <c r="E51" s="102" t="s">
        <v>1274</v>
      </c>
      <c r="F51" s="127" t="s">
        <v>1133</v>
      </c>
      <c r="G51" s="127" t="s">
        <v>36</v>
      </c>
      <c r="H51" s="116" t="str">
        <f>HYPERLINK("http://www.mediafire.com/download/h2urmrn1z5a3yzo/2003-12-28_-_American_Airlines_Arena_-_Miami%2C_FL.rar", "download link")</f>
        <v>download link</v>
      </c>
      <c r="I51" s="101" t="s">
        <v>2287</v>
      </c>
      <c r="J51" s="129"/>
    </row>
    <row r="52">
      <c r="A52" s="103">
        <v>37984.0</v>
      </c>
      <c r="B52" s="104"/>
      <c r="C52" s="105" t="str">
        <f t="shared" si="5"/>
        <v>setlist</v>
      </c>
      <c r="D52" s="106" t="s">
        <v>2286</v>
      </c>
      <c r="E52" s="106" t="s">
        <v>1274</v>
      </c>
      <c r="F52" s="107" t="s">
        <v>1133</v>
      </c>
      <c r="G52" s="107" t="s">
        <v>36</v>
      </c>
      <c r="H52" s="105" t="str">
        <f>HYPERLINK("http://www.mediafire.com/download/nxpwkfu3151pkc5/2003-12-29_-_American_Airlines_Arena_-_Miami%2C_FL.rar", "download link")</f>
        <v>download link</v>
      </c>
      <c r="I52" s="134" t="s">
        <v>2287</v>
      </c>
      <c r="J52" s="109"/>
    </row>
    <row r="53">
      <c r="A53" s="110">
        <v>37985.0</v>
      </c>
      <c r="B53" s="111"/>
      <c r="C53" s="135" t="str">
        <f t="shared" si="5"/>
        <v>setlist</v>
      </c>
      <c r="D53" s="113" t="s">
        <v>2286</v>
      </c>
      <c r="E53" s="113" t="s">
        <v>1274</v>
      </c>
      <c r="F53" s="114" t="s">
        <v>1133</v>
      </c>
      <c r="G53" s="114" t="s">
        <v>36</v>
      </c>
      <c r="H53" s="116" t="str">
        <f>HYPERLINK("http://www.mediafire.com/download/t86mt2dlx9uvfp4/2003-12-30_-_American_Airlines_Arena_-_Miami%2C_FL.rar", "download link")</f>
        <v>download link</v>
      </c>
      <c r="I53" s="136" t="s">
        <v>2287</v>
      </c>
      <c r="J53" s="80"/>
    </row>
    <row r="54">
      <c r="A54" s="103">
        <v>37986.0</v>
      </c>
      <c r="B54" s="104"/>
      <c r="C54" s="105" t="str">
        <f t="shared" si="5"/>
        <v>setlist</v>
      </c>
      <c r="D54" s="106" t="s">
        <v>2286</v>
      </c>
      <c r="E54" s="106" t="s">
        <v>1274</v>
      </c>
      <c r="F54" s="107" t="s">
        <v>1133</v>
      </c>
      <c r="G54" s="107" t="s">
        <v>36</v>
      </c>
      <c r="H54" s="105" t="str">
        <f>HYPERLINK("http://www.mediafire.com/download/3mhxekze9hceyeo/2003-12-31_-_American_Airlines_Arena_-_Miami%2C_FL.rar", "download link")</f>
        <v>download link</v>
      </c>
      <c r="I54" s="134" t="s">
        <v>2288</v>
      </c>
      <c r="J54" s="109"/>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6.0"/>
  </cols>
  <sheetData>
    <row r="1">
      <c r="A1" s="77"/>
      <c r="B1" s="78"/>
      <c r="C1" s="78"/>
      <c r="D1" s="82"/>
      <c r="E1" s="82"/>
      <c r="F1" s="78"/>
      <c r="G1" s="78"/>
      <c r="H1" s="81"/>
      <c r="I1" s="82"/>
      <c r="J1" s="78"/>
    </row>
    <row r="2">
      <c r="A2" s="83" t="s">
        <v>22</v>
      </c>
      <c r="B2" s="60" t="s">
        <v>23</v>
      </c>
      <c r="C2" s="60" t="s">
        <v>24</v>
      </c>
      <c r="D2" s="60" t="s">
        <v>25</v>
      </c>
      <c r="E2" s="60" t="s">
        <v>26</v>
      </c>
      <c r="F2" s="60" t="s">
        <v>27</v>
      </c>
      <c r="G2" s="60" t="s">
        <v>28</v>
      </c>
      <c r="H2" s="60" t="s">
        <v>29</v>
      </c>
      <c r="I2" s="85" t="s">
        <v>30</v>
      </c>
      <c r="J2" s="83" t="s">
        <v>2145</v>
      </c>
    </row>
    <row r="3">
      <c r="A3" s="89"/>
      <c r="B3" s="87"/>
      <c r="C3" s="87"/>
      <c r="D3" s="87"/>
      <c r="E3" s="87"/>
      <c r="F3" s="87"/>
      <c r="G3" s="87"/>
      <c r="H3" s="87"/>
      <c r="I3" s="89"/>
      <c r="J3" s="87"/>
    </row>
    <row r="4">
      <c r="A4" s="95"/>
      <c r="B4" s="93"/>
      <c r="C4" s="93"/>
      <c r="D4" s="83" t="s">
        <v>2289</v>
      </c>
      <c r="E4" s="95"/>
      <c r="F4" s="93"/>
      <c r="G4" s="93"/>
      <c r="H4" s="93"/>
      <c r="I4" s="95"/>
      <c r="J4" s="93"/>
    </row>
    <row r="5">
      <c r="A5" s="125">
        <v>38092.0</v>
      </c>
      <c r="B5" s="126"/>
      <c r="C5" s="98" t="str">
        <f t="shared" ref="C5:C7" si="1">HYPERLINK("http://phish.net/setlists/?d="&amp;RIGHT(TEXT(A5,"mm/dd/yyyy"),4)&amp;"-"&amp;LEFT(TEXT(A5,"mm/dd/yyyy"),2)&amp;"-"&amp;MID(TEXT(A5,"mm/dd/yyyy"),4,2), "setlist")</f>
        <v>setlist</v>
      </c>
      <c r="D5" s="102" t="s">
        <v>1938</v>
      </c>
      <c r="E5" s="102" t="s">
        <v>1804</v>
      </c>
      <c r="F5" s="127" t="s">
        <v>1805</v>
      </c>
      <c r="G5" s="127" t="s">
        <v>36</v>
      </c>
      <c r="H5" s="98" t="str">
        <f>HYPERLINK("http://www.mediafire.com/download/negs56hpcyeagga/2004-04-15_-_Thomas_%26_Mack_Center_-_Las_Vegas%2C_NV.rar", "download link")</f>
        <v>download link</v>
      </c>
      <c r="I5" s="101" t="s">
        <v>2290</v>
      </c>
      <c r="J5" s="126"/>
    </row>
    <row r="6">
      <c r="A6" s="103">
        <v>38093.0</v>
      </c>
      <c r="B6" s="104"/>
      <c r="C6" s="105" t="str">
        <f t="shared" si="1"/>
        <v>setlist</v>
      </c>
      <c r="D6" s="106" t="s">
        <v>1938</v>
      </c>
      <c r="E6" s="106" t="s">
        <v>1804</v>
      </c>
      <c r="F6" s="107" t="s">
        <v>1805</v>
      </c>
      <c r="G6" s="107" t="s">
        <v>36</v>
      </c>
      <c r="H6" s="105" t="str">
        <f>HYPERLINK("http://www.mediafire.com/download/5fze2gjbq11a9dl/2004-04-16_-_Thomas_%26_Mack_Center_-_Las_Vegas%2C_NV.rar", "download link")</f>
        <v>download link</v>
      </c>
      <c r="I6" s="134" t="s">
        <v>2287</v>
      </c>
      <c r="J6" s="104"/>
    </row>
    <row r="7">
      <c r="A7" s="202">
        <v>38094.0</v>
      </c>
      <c r="B7" s="78"/>
      <c r="C7" s="203" t="str">
        <f t="shared" si="1"/>
        <v>setlist</v>
      </c>
      <c r="D7" s="204" t="s">
        <v>1938</v>
      </c>
      <c r="E7" s="204" t="s">
        <v>1804</v>
      </c>
      <c r="F7" s="205" t="s">
        <v>1805</v>
      </c>
      <c r="G7" s="205" t="s">
        <v>36</v>
      </c>
      <c r="H7" s="203" t="str">
        <f>HYPERLINK("http://www.mediafire.com/download/px28528styjfhdt/2004-04-17_-_Thomas_%26_Mack_Center_-_Las_Vegas%2C_NV.rar", "download link")</f>
        <v>download link</v>
      </c>
      <c r="I7" s="206" t="s">
        <v>2291</v>
      </c>
      <c r="J7" s="82"/>
    </row>
    <row r="8">
      <c r="A8" s="95"/>
      <c r="B8" s="93"/>
      <c r="C8" s="94"/>
      <c r="D8" s="83" t="s">
        <v>2292</v>
      </c>
      <c r="E8" s="95"/>
      <c r="F8" s="93"/>
      <c r="G8" s="93"/>
      <c r="H8" s="65"/>
      <c r="I8" s="95"/>
      <c r="J8" s="93"/>
    </row>
    <row r="9">
      <c r="A9" s="125">
        <v>38155.0</v>
      </c>
      <c r="B9" s="126"/>
      <c r="C9" s="98" t="str">
        <f t="shared" ref="C9:C24" si="2">HYPERLINK("http://phish.net/setlists/?d="&amp;RIGHT(TEXT(A9,"mm/dd/yyyy"),4)&amp;"-"&amp;LEFT(TEXT(A9,"mm/dd/yyyy"),2)&amp;"-"&amp;MID(TEXT(A9,"mm/dd/yyyy"),4,2), "setlist")</f>
        <v>setlist</v>
      </c>
      <c r="D9" s="102" t="s">
        <v>2293</v>
      </c>
      <c r="E9" s="102" t="s">
        <v>2294</v>
      </c>
      <c r="F9" s="127" t="s">
        <v>129</v>
      </c>
      <c r="G9" s="127" t="s">
        <v>36</v>
      </c>
      <c r="H9" s="98" t="str">
        <f>HYPERLINK("http://www.mediafire.com/download/54d9t2d2x1799k7/2004-06-17_-_KeySpan_Park_-_Brooklyn%2C_NY.rar", "download link")</f>
        <v>download link</v>
      </c>
      <c r="I9" s="101" t="s">
        <v>2295</v>
      </c>
      <c r="J9" s="102" t="s">
        <v>287</v>
      </c>
    </row>
    <row r="10">
      <c r="A10" s="103">
        <v>38156.0</v>
      </c>
      <c r="B10" s="104"/>
      <c r="C10" s="105" t="str">
        <f t="shared" si="2"/>
        <v>setlist</v>
      </c>
      <c r="D10" s="106" t="s">
        <v>2293</v>
      </c>
      <c r="E10" s="106" t="s">
        <v>2294</v>
      </c>
      <c r="F10" s="107" t="s">
        <v>129</v>
      </c>
      <c r="G10" s="107" t="s">
        <v>36</v>
      </c>
      <c r="H10" s="105" t="str">
        <f>HYPERLINK("http://www.mediafire.com/download/9j85ypwzd5rxld2/2004-06-18_-_KeySpan_Park_-_Brooklyn%2C_NY.rar", "download link")</f>
        <v>download link</v>
      </c>
      <c r="I10" s="134" t="s">
        <v>2296</v>
      </c>
      <c r="J10" s="109"/>
    </row>
    <row r="11">
      <c r="A11" s="110">
        <v>38157.0</v>
      </c>
      <c r="B11" s="111"/>
      <c r="C11" s="135" t="str">
        <f t="shared" si="2"/>
        <v>setlist</v>
      </c>
      <c r="D11" s="113" t="s">
        <v>1015</v>
      </c>
      <c r="E11" s="113" t="s">
        <v>465</v>
      </c>
      <c r="F11" s="114" t="s">
        <v>129</v>
      </c>
      <c r="G11" s="114" t="s">
        <v>36</v>
      </c>
      <c r="H11" s="116" t="str">
        <f>HYPERLINK("http://www.mediafire.com/download/forbcdap0xad7n6/2004-06-19_-_Saratoga_Performing_Arts_Center_-_Saratoga_Springs%2C_NY.rar", "download link")</f>
        <v>download link</v>
      </c>
      <c r="I11" s="136" t="s">
        <v>2297</v>
      </c>
      <c r="J11" s="80"/>
    </row>
    <row r="12">
      <c r="A12" s="103">
        <v>38158.0</v>
      </c>
      <c r="B12" s="104"/>
      <c r="C12" s="105" t="str">
        <f t="shared" si="2"/>
        <v>setlist</v>
      </c>
      <c r="D12" s="106" t="s">
        <v>1015</v>
      </c>
      <c r="E12" s="106" t="s">
        <v>465</v>
      </c>
      <c r="F12" s="107" t="s">
        <v>129</v>
      </c>
      <c r="G12" s="107" t="s">
        <v>36</v>
      </c>
      <c r="H12" s="105" t="str">
        <f>HYPERLINK("http://www.mediafire.com/download/2l1p3qg7hro935a/2004-06-20_-_Saratoga_Performing_Arts_Center_-_Saratoga_Springs%2C_NY.rar", "download link")</f>
        <v>download link</v>
      </c>
      <c r="I12" s="134" t="s">
        <v>2298</v>
      </c>
      <c r="J12" s="104"/>
    </row>
    <row r="13">
      <c r="A13" s="110">
        <v>38159.0</v>
      </c>
      <c r="B13" s="111"/>
      <c r="C13" s="135" t="str">
        <f t="shared" si="2"/>
        <v>setlist</v>
      </c>
      <c r="D13" s="113" t="s">
        <v>1551</v>
      </c>
      <c r="E13" s="113" t="s">
        <v>162</v>
      </c>
      <c r="F13" s="114" t="s">
        <v>129</v>
      </c>
      <c r="G13" s="114" t="s">
        <v>36</v>
      </c>
      <c r="H13" s="116" t="str">
        <f>HYPERLINK("http://www.mediafire.com/download/ye7c19xt5035ut1/2004-06-21_-_Ed_Sullivan_Theater_-_New_York%2C_NY.rar", "download link")</f>
        <v>download link</v>
      </c>
      <c r="I13" s="258" t="s">
        <v>2299</v>
      </c>
    </row>
    <row r="14">
      <c r="A14" s="103">
        <v>38161.0</v>
      </c>
      <c r="B14" s="104"/>
      <c r="C14" s="105" t="str">
        <f t="shared" si="2"/>
        <v>setlist</v>
      </c>
      <c r="D14" s="106" t="s">
        <v>2263</v>
      </c>
      <c r="E14" s="106" t="s">
        <v>1579</v>
      </c>
      <c r="F14" s="107" t="s">
        <v>508</v>
      </c>
      <c r="G14" s="107" t="s">
        <v>36</v>
      </c>
      <c r="H14" s="105" t="str">
        <f>HYPERLINK("http://www.mediafire.com/download/7tvfvo76vo3o3nr/2004-06-23_-_Verizon_Wireless_Music_Center_-_Noblesville%2C_IN.rar", "download link")</f>
        <v>download link</v>
      </c>
      <c r="I14" s="134" t="s">
        <v>2300</v>
      </c>
      <c r="J14" s="109"/>
    </row>
    <row r="15">
      <c r="A15" s="110">
        <v>38162.0</v>
      </c>
      <c r="B15" s="111"/>
      <c r="C15" s="135" t="str">
        <f t="shared" si="2"/>
        <v>setlist</v>
      </c>
      <c r="D15" s="113" t="s">
        <v>2263</v>
      </c>
      <c r="E15" s="113" t="s">
        <v>1579</v>
      </c>
      <c r="F15" s="114" t="s">
        <v>508</v>
      </c>
      <c r="G15" s="114" t="s">
        <v>36</v>
      </c>
      <c r="H15" s="116" t="str">
        <f>HYPERLINK("http://www.mediafire.com/download/rho586dpb9wm5h2/2004-06-24_-_Verizon_Wireless_Music_Center_-_Noblesville%2C_IN.rar", "download link")</f>
        <v>download link</v>
      </c>
      <c r="I15" s="136" t="s">
        <v>2301</v>
      </c>
      <c r="J15" s="80"/>
    </row>
    <row r="16">
      <c r="A16" s="103">
        <v>38163.0</v>
      </c>
      <c r="B16" s="104"/>
      <c r="C16" s="105" t="str">
        <f t="shared" si="2"/>
        <v>setlist</v>
      </c>
      <c r="D16" s="106" t="s">
        <v>1737</v>
      </c>
      <c r="E16" s="106" t="s">
        <v>1738</v>
      </c>
      <c r="F16" s="107" t="s">
        <v>483</v>
      </c>
      <c r="G16" s="107" t="s">
        <v>36</v>
      </c>
      <c r="H16" s="105" t="str">
        <f>HYPERLINK("http://www.mediafire.com/download/rmh9bd9rm1970qf/2004-06-25_-_Alpine_Valley_Music_Theatre_-_East_Troy%2C_WI.rar", "download link")</f>
        <v>download link</v>
      </c>
      <c r="I16" s="134" t="s">
        <v>2301</v>
      </c>
      <c r="J16" s="109"/>
    </row>
    <row r="17">
      <c r="A17" s="110">
        <v>38164.0</v>
      </c>
      <c r="B17" s="111"/>
      <c r="C17" s="135" t="str">
        <f t="shared" si="2"/>
        <v>setlist</v>
      </c>
      <c r="D17" s="113" t="s">
        <v>1737</v>
      </c>
      <c r="E17" s="113" t="s">
        <v>1738</v>
      </c>
      <c r="F17" s="114" t="s">
        <v>483</v>
      </c>
      <c r="G17" s="114" t="s">
        <v>36</v>
      </c>
      <c r="H17" s="116" t="str">
        <f>HYPERLINK("http://www.mediafire.com/download/sv1qehn4s8ohpaz/2004-06-26_-_Alpine_Valley_Music_Theatre_-_East_Troy%2C_WI.rar", "download link")</f>
        <v>download link</v>
      </c>
      <c r="I17" s="258" t="s">
        <v>2301</v>
      </c>
    </row>
    <row r="18">
      <c r="A18" s="103">
        <v>38208.0</v>
      </c>
      <c r="B18" s="104"/>
      <c r="C18" s="105" t="str">
        <f t="shared" si="2"/>
        <v>setlist</v>
      </c>
      <c r="D18" s="106" t="s">
        <v>1659</v>
      </c>
      <c r="E18" s="106" t="s">
        <v>1660</v>
      </c>
      <c r="F18" s="107" t="s">
        <v>446</v>
      </c>
      <c r="G18" s="107" t="s">
        <v>36</v>
      </c>
      <c r="H18" s="105" t="str">
        <f>HYPERLINK("http://www.mediafire.com/download/694v4w7rmvm7n39/2004-08-09_-_Hampton_Coliseum_-_Hampton%2C_VA.rar", "download link")</f>
        <v>download link</v>
      </c>
      <c r="I18" s="259" t="s">
        <v>2302</v>
      </c>
      <c r="J18" s="260"/>
    </row>
    <row r="19">
      <c r="A19" s="110">
        <v>38209.0</v>
      </c>
      <c r="B19" s="111"/>
      <c r="C19" s="135" t="str">
        <f t="shared" si="2"/>
        <v>setlist</v>
      </c>
      <c r="D19" s="113" t="s">
        <v>2071</v>
      </c>
      <c r="E19" s="113" t="s">
        <v>1004</v>
      </c>
      <c r="F19" s="114" t="s">
        <v>95</v>
      </c>
      <c r="G19" s="114" t="s">
        <v>36</v>
      </c>
      <c r="H19" s="116" t="str">
        <f>HYPERLINK("http://www.mediafire.com/download/0tkdj8j0k03b5uk/2004-08-10_-_Tweeter_Center_-_Mansfield%2C_MA.rar", "download link")</f>
        <v>download link</v>
      </c>
      <c r="I19" s="258" t="s">
        <v>2303</v>
      </c>
    </row>
    <row r="20">
      <c r="A20" s="103">
        <v>38210.0</v>
      </c>
      <c r="B20" s="104"/>
      <c r="C20" s="105" t="str">
        <f t="shared" si="2"/>
        <v>setlist</v>
      </c>
      <c r="D20" s="106" t="s">
        <v>2071</v>
      </c>
      <c r="E20" s="106" t="s">
        <v>1004</v>
      </c>
      <c r="F20" s="107" t="s">
        <v>95</v>
      </c>
      <c r="G20" s="107" t="s">
        <v>36</v>
      </c>
      <c r="H20" s="105" t="str">
        <f>HYPERLINK("http://www.mediafire.com/download/xrr4viiarezaw5i/2004-08-11_-_Tweeter_Center_-_Mansfield%2C_MA.rar", "download link")</f>
        <v>download link</v>
      </c>
      <c r="I20" s="259" t="s">
        <v>2304</v>
      </c>
      <c r="J20" s="260"/>
    </row>
    <row r="21">
      <c r="A21" s="110">
        <v>38211.0</v>
      </c>
      <c r="B21" s="111"/>
      <c r="C21" s="135" t="str">
        <f t="shared" si="2"/>
        <v>setlist</v>
      </c>
      <c r="D21" s="113" t="s">
        <v>2272</v>
      </c>
      <c r="E21" s="113" t="s">
        <v>2070</v>
      </c>
      <c r="F21" s="114" t="s">
        <v>43</v>
      </c>
      <c r="G21" s="114" t="s">
        <v>36</v>
      </c>
      <c r="H21" s="116" t="str">
        <f>HYPERLINK("http://www.mediafire.com/download/d6b3v4espp638y2/2004-08-12_-_Tweeter_Center_at_the_Watefront_-_Camden%2C_NJ.rar", "download link")</f>
        <v>download link</v>
      </c>
      <c r="I21" s="258" t="s">
        <v>2305</v>
      </c>
    </row>
    <row r="22">
      <c r="A22" s="103">
        <v>38212.0</v>
      </c>
      <c r="B22" s="104"/>
      <c r="C22" s="105" t="str">
        <f t="shared" si="2"/>
        <v>setlist</v>
      </c>
      <c r="D22" s="106" t="s">
        <v>2306</v>
      </c>
      <c r="E22" s="106" t="s">
        <v>2307</v>
      </c>
      <c r="F22" s="107" t="s">
        <v>35</v>
      </c>
      <c r="G22" s="107" t="s">
        <v>36</v>
      </c>
      <c r="H22" s="105" t="str">
        <f>HYPERLINK("http://www.mediafire.com/download/u4k3en3lw4e3110/2004-08-13_-_Coventry_-_Soundcheck_-_Coventry%2C_VT.rar", "download link")</f>
        <v>download link</v>
      </c>
      <c r="I22" s="259" t="s">
        <v>2308</v>
      </c>
      <c r="J22" s="260"/>
    </row>
    <row r="23">
      <c r="A23" s="142">
        <v>38213.0</v>
      </c>
      <c r="B23" s="144"/>
      <c r="C23" s="116" t="str">
        <f t="shared" si="2"/>
        <v>setlist</v>
      </c>
      <c r="D23" s="118" t="s">
        <v>2309</v>
      </c>
      <c r="E23" s="118" t="s">
        <v>2307</v>
      </c>
      <c r="F23" s="115" t="s">
        <v>35</v>
      </c>
      <c r="G23" s="115" t="s">
        <v>36</v>
      </c>
      <c r="H23" s="116" t="str">
        <f>HYPERLINK("http://www.mediafire.com/download/afb79kd98tdt0cr/2004-08-14_-_Coventry_-_Newport_State_Airport_-_Coventry%2C_VT.rar", "download link")</f>
        <v>download link</v>
      </c>
      <c r="I23" s="117" t="s">
        <v>2310</v>
      </c>
      <c r="J23" s="146"/>
    </row>
    <row r="24">
      <c r="A24" s="103">
        <v>38214.0</v>
      </c>
      <c r="B24" s="104"/>
      <c r="C24" s="105" t="str">
        <f t="shared" si="2"/>
        <v>setlist</v>
      </c>
      <c r="D24" s="106" t="s">
        <v>2309</v>
      </c>
      <c r="E24" s="106" t="s">
        <v>2307</v>
      </c>
      <c r="F24" s="107" t="s">
        <v>35</v>
      </c>
      <c r="G24" s="107" t="s">
        <v>36</v>
      </c>
      <c r="H24" s="105" t="str">
        <f>HYPERLINK("http://www.mediafire.com/download/b7r2i1i641ju1tl/2004-08-15_-_Coventry_-_Newport_State_Airport_-_Coventry%2C_VT.rar", "download link")</f>
        <v>download link</v>
      </c>
      <c r="I24" s="134" t="s">
        <v>2311</v>
      </c>
      <c r="J24" s="10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5.13"/>
    <col customWidth="1" min="2" max="2" width="112.25"/>
    <col customWidth="1" min="3" max="4" width="15.13"/>
  </cols>
  <sheetData>
    <row r="1">
      <c r="A1" s="1"/>
      <c r="B1" s="1"/>
      <c r="C1" s="1"/>
      <c r="D1" s="1"/>
    </row>
    <row r="2">
      <c r="A2" s="9"/>
      <c r="B2" s="9"/>
      <c r="C2" s="9"/>
      <c r="D2" s="9"/>
    </row>
    <row r="3">
      <c r="A3" s="9"/>
      <c r="B3" s="75"/>
      <c r="C3" s="9"/>
      <c r="D3" s="9"/>
    </row>
    <row r="4">
      <c r="A4" s="9"/>
      <c r="B4" s="9"/>
      <c r="C4" s="9"/>
      <c r="D4" s="9"/>
    </row>
    <row r="5">
      <c r="A5" s="9"/>
      <c r="B5" s="1"/>
      <c r="C5" s="9"/>
      <c r="D5" s="9"/>
    </row>
    <row r="6">
      <c r="A6" s="9"/>
      <c r="B6" s="76" t="s">
        <v>21</v>
      </c>
      <c r="C6" s="9"/>
      <c r="D6" s="9"/>
    </row>
    <row r="7">
      <c r="A7" s="9"/>
      <c r="B7" s="9"/>
      <c r="C7" s="9"/>
      <c r="D7" s="9"/>
    </row>
    <row r="8">
      <c r="A8" s="9"/>
      <c r="B8" s="9"/>
      <c r="C8" s="9"/>
      <c r="D8" s="9"/>
    </row>
    <row r="9">
      <c r="A9" s="9"/>
      <c r="B9" s="75"/>
      <c r="C9" s="9"/>
      <c r="D9" s="9"/>
    </row>
    <row r="10">
      <c r="A10" s="9"/>
      <c r="B10" s="9"/>
      <c r="C10" s="9"/>
      <c r="D10" s="9"/>
    </row>
    <row r="11">
      <c r="A11" s="9"/>
      <c r="B11" s="73"/>
      <c r="C11" s="9"/>
      <c r="D11" s="9"/>
    </row>
    <row r="12" ht="504.0" customHeight="1">
      <c r="A12" s="9"/>
      <c r="B12" s="73"/>
      <c r="C12" s="9"/>
      <c r="D12" s="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13"/>
  </cols>
  <sheetData>
    <row r="1">
      <c r="A1" s="77"/>
      <c r="B1" s="78"/>
      <c r="C1" s="78"/>
      <c r="D1" s="80"/>
      <c r="E1" s="80"/>
      <c r="F1" s="78"/>
      <c r="G1" s="78"/>
      <c r="H1" s="81"/>
      <c r="I1" s="78"/>
      <c r="J1" s="78"/>
    </row>
    <row r="2">
      <c r="A2" s="60" t="s">
        <v>22</v>
      </c>
      <c r="B2" s="60" t="s">
        <v>23</v>
      </c>
      <c r="C2" s="60" t="s">
        <v>24</v>
      </c>
      <c r="D2" s="56" t="s">
        <v>25</v>
      </c>
      <c r="E2" s="56" t="s">
        <v>26</v>
      </c>
      <c r="F2" s="60" t="s">
        <v>27</v>
      </c>
      <c r="G2" s="60" t="s">
        <v>28</v>
      </c>
      <c r="H2" s="60" t="s">
        <v>29</v>
      </c>
      <c r="I2" s="85" t="s">
        <v>30</v>
      </c>
      <c r="J2" s="85" t="s">
        <v>31</v>
      </c>
    </row>
    <row r="3">
      <c r="A3" s="89"/>
      <c r="B3" s="87"/>
      <c r="C3" s="87"/>
      <c r="D3" s="87"/>
      <c r="E3" s="87"/>
      <c r="F3" s="87"/>
      <c r="G3" s="87"/>
      <c r="H3" s="87"/>
      <c r="I3" s="87"/>
      <c r="J3" s="87"/>
    </row>
    <row r="4">
      <c r="A4" s="95"/>
      <c r="B4" s="93"/>
      <c r="C4" s="93"/>
      <c r="D4" s="254" t="s">
        <v>2222</v>
      </c>
      <c r="E4" s="238"/>
      <c r="F4" s="93"/>
      <c r="G4" s="93"/>
      <c r="H4" s="93"/>
      <c r="I4" s="93"/>
      <c r="J4" s="93"/>
    </row>
    <row r="5">
      <c r="A5" s="125">
        <v>39697.0</v>
      </c>
      <c r="B5" s="126"/>
      <c r="C5" s="98" t="str">
        <f>HYPERLINK("http://phish.net/setlists/?d="&amp;RIGHT(TEXT(A5,"mm/dd/yyyy"),4)&amp;"-"&amp;LEFT(TEXT(A5,"mm/dd/yyyy"),2)&amp;"-"&amp;MID(TEXT(A5,"mm/dd/yyyy"),4,2), "setlist")</f>
        <v>setlist</v>
      </c>
      <c r="D5" s="179" t="s">
        <v>2312</v>
      </c>
      <c r="E5" s="179" t="s">
        <v>162</v>
      </c>
      <c r="F5" s="127" t="s">
        <v>129</v>
      </c>
      <c r="G5" s="126"/>
      <c r="H5" s="128"/>
      <c r="I5" s="126"/>
      <c r="J5" s="12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67.88"/>
  </cols>
  <sheetData>
    <row r="1">
      <c r="A1" s="77"/>
      <c r="B1" s="78"/>
      <c r="C1" s="78"/>
      <c r="D1" s="80"/>
      <c r="E1" s="80"/>
      <c r="F1" s="78"/>
      <c r="G1" s="78"/>
      <c r="H1" s="81"/>
      <c r="I1" s="237"/>
      <c r="J1" s="237"/>
    </row>
    <row r="2">
      <c r="A2" s="83" t="s">
        <v>22</v>
      </c>
      <c r="B2" s="261" t="s">
        <v>23</v>
      </c>
      <c r="C2" s="262" t="s">
        <v>24</v>
      </c>
      <c r="D2" s="263" t="s">
        <v>25</v>
      </c>
      <c r="E2" s="56" t="s">
        <v>26</v>
      </c>
      <c r="F2" s="60" t="s">
        <v>27</v>
      </c>
      <c r="G2" s="60" t="s">
        <v>28</v>
      </c>
      <c r="H2" s="60" t="s">
        <v>29</v>
      </c>
      <c r="I2" s="264" t="s">
        <v>30</v>
      </c>
      <c r="J2" s="264" t="s">
        <v>31</v>
      </c>
    </row>
    <row r="3">
      <c r="A3" s="86"/>
      <c r="B3" s="87"/>
      <c r="C3" s="78"/>
      <c r="D3" s="3"/>
      <c r="E3" s="3"/>
      <c r="F3" s="87"/>
      <c r="G3" s="87"/>
      <c r="H3" s="87"/>
      <c r="I3" s="3"/>
      <c r="J3" s="3"/>
    </row>
    <row r="4">
      <c r="A4" s="92"/>
      <c r="B4" s="93"/>
      <c r="C4" s="93"/>
      <c r="D4" s="254" t="s">
        <v>2313</v>
      </c>
      <c r="E4" s="238"/>
      <c r="F4" s="93"/>
      <c r="G4" s="93"/>
      <c r="H4" s="93"/>
      <c r="I4" s="238"/>
      <c r="J4" s="238"/>
    </row>
    <row r="5">
      <c r="A5" s="125">
        <v>39878.0</v>
      </c>
      <c r="B5" s="126"/>
      <c r="C5" s="98" t="str">
        <f t="shared" ref="C5:C7" si="1">HYPERLINK("http://phish.net/setlists/?d="&amp;RIGHT(TEXT(A5,"mm/dd/yyyy"),4)&amp;"-"&amp;LEFT(TEXT(A5,"mm/dd/yyyy"),2)&amp;"-"&amp;MID(TEXT(A5,"mm/dd/yyyy"),4,2), "setlist")</f>
        <v>setlist</v>
      </c>
      <c r="D5" s="179" t="s">
        <v>1659</v>
      </c>
      <c r="E5" s="179" t="s">
        <v>1660</v>
      </c>
      <c r="F5" s="127" t="s">
        <v>446</v>
      </c>
      <c r="G5" s="127" t="s">
        <v>36</v>
      </c>
      <c r="H5" s="98" t="str">
        <f>HYPERLINK("http://www.mediafire.com/download/ac7s29ea2geozw6/2009-03-06_-_Hampton_Coliseum_-_Hampton%2C_VA.rar", "download link")</f>
        <v>download link</v>
      </c>
      <c r="I5" s="255" t="s">
        <v>2314</v>
      </c>
      <c r="J5" s="265"/>
    </row>
    <row r="6">
      <c r="A6" s="103">
        <v>39879.0</v>
      </c>
      <c r="B6" s="104"/>
      <c r="C6" s="105" t="str">
        <f t="shared" si="1"/>
        <v>setlist</v>
      </c>
      <c r="D6" s="181" t="s">
        <v>1659</v>
      </c>
      <c r="E6" s="181" t="s">
        <v>1660</v>
      </c>
      <c r="F6" s="107" t="s">
        <v>446</v>
      </c>
      <c r="G6" s="107" t="s">
        <v>36</v>
      </c>
      <c r="H6" s="105" t="str">
        <f>HYPERLINK("http://www.mediafire.com/download/995w9ka353wnurx/2009-03-07_-_Hampton_Coliseum_-_Hampton%2C_VA.rar", "download link")</f>
        <v>download link</v>
      </c>
      <c r="I6" s="266" t="s">
        <v>2315</v>
      </c>
      <c r="J6" s="260"/>
    </row>
    <row r="7">
      <c r="A7" s="202">
        <v>39880.0</v>
      </c>
      <c r="B7" s="78"/>
      <c r="C7" s="203" t="str">
        <f t="shared" si="1"/>
        <v>setlist</v>
      </c>
      <c r="D7" s="257" t="s">
        <v>1659</v>
      </c>
      <c r="E7" s="257" t="s">
        <v>1660</v>
      </c>
      <c r="F7" s="205" t="s">
        <v>446</v>
      </c>
      <c r="G7" s="205" t="s">
        <v>36</v>
      </c>
      <c r="H7" s="203" t="str">
        <f>HYPERLINK("http://www.mediafire.com/download/x5mpbrsar2fp5zh/2009-03-08_-_Hampton_Coliseum_-_Hampton%2C_VA.rar", "download link")</f>
        <v>download link</v>
      </c>
      <c r="I7" s="267" t="s">
        <v>2316</v>
      </c>
      <c r="J7" s="237"/>
    </row>
    <row r="8">
      <c r="A8" s="92"/>
      <c r="B8" s="65"/>
      <c r="C8" s="94"/>
      <c r="D8" s="254" t="s">
        <v>2317</v>
      </c>
      <c r="E8" s="268"/>
      <c r="F8" s="65"/>
      <c r="G8" s="65"/>
      <c r="H8" s="65"/>
      <c r="I8" s="268"/>
      <c r="J8" s="268"/>
    </row>
    <row r="9">
      <c r="A9" s="125">
        <v>39964.0</v>
      </c>
      <c r="B9" s="126"/>
      <c r="C9" s="98" t="str">
        <f t="shared" ref="C9:C36" si="2">HYPERLINK("http://phish.net/setlists/?d="&amp;RIGHT(TEXT(A9,"mm/dd/yyyy"),4)&amp;"-"&amp;LEFT(TEXT(A9,"mm/dd/yyyy"),2)&amp;"-"&amp;MID(TEXT(A9,"mm/dd/yyyy"),4,2), "setlist")</f>
        <v>setlist</v>
      </c>
      <c r="D9" s="179" t="s">
        <v>2318</v>
      </c>
      <c r="E9" s="179" t="s">
        <v>94</v>
      </c>
      <c r="F9" s="127" t="s">
        <v>95</v>
      </c>
      <c r="G9" s="127" t="s">
        <v>36</v>
      </c>
      <c r="H9" s="98" t="str">
        <f>HYPERLINK("http://www.mediafire.com/download/6sc2dbm93068nb8/2009-05-31_-_Fenway_Park_-_Boston%2C_MA.rar", "download link")</f>
        <v>download link</v>
      </c>
      <c r="I9" s="255" t="s">
        <v>2201</v>
      </c>
      <c r="J9" s="265"/>
    </row>
    <row r="10">
      <c r="A10" s="103">
        <v>39966.0</v>
      </c>
      <c r="B10" s="104"/>
      <c r="C10" s="105" t="str">
        <f t="shared" si="2"/>
        <v>setlist</v>
      </c>
      <c r="D10" s="181" t="s">
        <v>2319</v>
      </c>
      <c r="E10" s="181" t="s">
        <v>994</v>
      </c>
      <c r="F10" s="107" t="s">
        <v>129</v>
      </c>
      <c r="G10" s="107" t="s">
        <v>36</v>
      </c>
      <c r="H10" s="105" t="str">
        <f>HYPERLINK("http://www.mediafire.com/download/yit2db9iss241ef/2009-06-02_-_Nikon_at_Jones_Beach_Theater_-_Wantagh%2C_NY.rar", "download link")</f>
        <v>download link</v>
      </c>
      <c r="I10" s="266" t="s">
        <v>2320</v>
      </c>
      <c r="J10" s="260"/>
    </row>
    <row r="11">
      <c r="A11" s="110">
        <v>39968.0</v>
      </c>
      <c r="B11" s="111"/>
      <c r="C11" s="135" t="str">
        <f t="shared" si="2"/>
        <v>setlist</v>
      </c>
      <c r="D11" s="183" t="s">
        <v>2319</v>
      </c>
      <c r="E11" s="183" t="s">
        <v>994</v>
      </c>
      <c r="F11" s="114" t="s">
        <v>129</v>
      </c>
      <c r="G11" s="114" t="s">
        <v>36</v>
      </c>
      <c r="H11" s="116" t="str">
        <f>HYPERLINK("http://www.mediafire.com/download/1dlgjvt9x37x4g4/2009-06-04_-_Nikon_at_Jones_Beach_Theater_-_Wantagh%2C_NY.rar", "download link")</f>
        <v>download link</v>
      </c>
      <c r="I11" s="269" t="s">
        <v>2321</v>
      </c>
    </row>
    <row r="12">
      <c r="A12" s="103">
        <v>39969.0</v>
      </c>
      <c r="B12" s="104"/>
      <c r="C12" s="105" t="str">
        <f t="shared" si="2"/>
        <v>setlist</v>
      </c>
      <c r="D12" s="181" t="s">
        <v>2319</v>
      </c>
      <c r="E12" s="181" t="s">
        <v>994</v>
      </c>
      <c r="F12" s="107" t="s">
        <v>129</v>
      </c>
      <c r="G12" s="107" t="s">
        <v>36</v>
      </c>
      <c r="H12" s="105" t="str">
        <f>HYPERLINK("http://www.mediafire.com/download/9fsrkbj7e63vkpv/2009-06-05_-_Nikon_at_Jones_Beach_Theater_-_Wantagh%2C_NY.rar", "download link")</f>
        <v>download link</v>
      </c>
      <c r="I12" s="266" t="s">
        <v>2321</v>
      </c>
      <c r="J12" s="260"/>
    </row>
    <row r="13">
      <c r="A13" s="110">
        <v>39970.0</v>
      </c>
      <c r="B13" s="111"/>
      <c r="C13" s="135" t="str">
        <f t="shared" si="2"/>
        <v>setlist</v>
      </c>
      <c r="D13" s="183" t="s">
        <v>2322</v>
      </c>
      <c r="E13" s="183" t="s">
        <v>1004</v>
      </c>
      <c r="F13" s="114" t="s">
        <v>95</v>
      </c>
      <c r="G13" s="114" t="s">
        <v>36</v>
      </c>
      <c r="H13" s="116" t="str">
        <f>HYPERLINK("http://www.mediafire.com/download/94pdtpeh9w9zg9w/2009-06-06_-_Comcast_Center_-_Mansfield%2C_MA.rar", "download link")</f>
        <v>download link</v>
      </c>
      <c r="I13" s="269" t="s">
        <v>2323</v>
      </c>
    </row>
    <row r="14">
      <c r="A14" s="103">
        <v>39971.0</v>
      </c>
      <c r="B14" s="104"/>
      <c r="C14" s="105" t="str">
        <f t="shared" si="2"/>
        <v>setlist</v>
      </c>
      <c r="D14" s="181" t="s">
        <v>2324</v>
      </c>
      <c r="E14" s="181" t="s">
        <v>2070</v>
      </c>
      <c r="F14" s="107" t="s">
        <v>43</v>
      </c>
      <c r="G14" s="107" t="s">
        <v>36</v>
      </c>
      <c r="H14" s="105" t="str">
        <f>HYPERLINK("http://www.mediafire.com/download/pewa8xb29vaipxu/2009-06-07_-_Susquehanna_Bank_Center_-_Camden%2C_NJ.rar", "download link")</f>
        <v>download link</v>
      </c>
      <c r="I14" s="266" t="s">
        <v>2325</v>
      </c>
      <c r="J14" s="260"/>
    </row>
    <row r="15">
      <c r="A15" s="110">
        <v>39973.0</v>
      </c>
      <c r="B15" s="111"/>
      <c r="C15" s="135" t="str">
        <f t="shared" si="2"/>
        <v>setlist</v>
      </c>
      <c r="D15" s="183" t="s">
        <v>2326</v>
      </c>
      <c r="E15" s="183" t="s">
        <v>2327</v>
      </c>
      <c r="F15" s="114" t="s">
        <v>443</v>
      </c>
      <c r="G15" s="114" t="s">
        <v>36</v>
      </c>
      <c r="H15" s="116" t="str">
        <f>HYPERLINK("http://www.mediafire.com/download/xbdk0k6mz0pclj7/2009-06-09_-_Asheville_Civic_Center_-_Asheville%2C_NC.rar", "download link")</f>
        <v>download link</v>
      </c>
      <c r="I15" s="269" t="s">
        <v>2328</v>
      </c>
    </row>
    <row r="16">
      <c r="A16" s="103">
        <v>39974.0</v>
      </c>
      <c r="B16" s="104"/>
      <c r="C16" s="105" t="str">
        <f t="shared" si="2"/>
        <v>setlist</v>
      </c>
      <c r="D16" s="181" t="s">
        <v>2329</v>
      </c>
      <c r="E16" s="181" t="s">
        <v>649</v>
      </c>
      <c r="F16" s="107" t="s">
        <v>650</v>
      </c>
      <c r="G16" s="107" t="s">
        <v>36</v>
      </c>
      <c r="H16" s="105" t="str">
        <f>HYPERLINK("http://www.mediafire.com/download/c1tshays1kqdicc/2009-06-10_-_Thompson-Boling_Arena_-_Knoxville%2C_TN.rar", "download link")</f>
        <v>download link</v>
      </c>
      <c r="I16" s="266" t="s">
        <v>2330</v>
      </c>
      <c r="J16" s="260"/>
    </row>
    <row r="17">
      <c r="A17" s="110">
        <v>39975.0</v>
      </c>
      <c r="B17" s="111"/>
      <c r="C17" s="135" t="str">
        <f t="shared" si="2"/>
        <v>setlist</v>
      </c>
      <c r="D17" s="269" t="s">
        <v>2331</v>
      </c>
      <c r="E17" s="269" t="s">
        <v>2332</v>
      </c>
      <c r="F17" s="139" t="s">
        <v>650</v>
      </c>
      <c r="G17" s="114"/>
      <c r="H17" s="270"/>
    </row>
    <row r="18">
      <c r="A18" s="103">
        <v>39976.0</v>
      </c>
      <c r="B18" s="104"/>
      <c r="C18" s="105" t="str">
        <f t="shared" si="2"/>
        <v>setlist</v>
      </c>
      <c r="D18" s="266" t="s">
        <v>2333</v>
      </c>
      <c r="E18" s="181" t="s">
        <v>2332</v>
      </c>
      <c r="F18" s="107" t="s">
        <v>650</v>
      </c>
      <c r="G18" s="107" t="s">
        <v>36</v>
      </c>
      <c r="H18" s="105" t="str">
        <f>HYPERLINK("http://www.mediafire.com/download/oba075we3avau6d/2009-06-12_-_Bonnaroo_Music_%26_Arts_Festival_-_Manchester%2C_TN.rar", "download link")</f>
        <v>download link</v>
      </c>
      <c r="I18" s="266" t="s">
        <v>2334</v>
      </c>
      <c r="J18" s="260"/>
    </row>
    <row r="19">
      <c r="A19" s="142">
        <v>39978.0</v>
      </c>
      <c r="B19" s="144"/>
      <c r="C19" s="116" t="str">
        <f t="shared" si="2"/>
        <v>setlist</v>
      </c>
      <c r="D19" s="271" t="s">
        <v>2333</v>
      </c>
      <c r="E19" s="272" t="s">
        <v>2332</v>
      </c>
      <c r="F19" s="115" t="s">
        <v>650</v>
      </c>
      <c r="G19" s="115" t="s">
        <v>36</v>
      </c>
      <c r="H19" s="116" t="str">
        <f>HYPERLINK("http://www.mediafire.com/download/wwfaq99xeb9cf3x/2009-06-14_-_Bonnaroo_Music_%26_Arts_Festival_-_Manchester%2C_TN.rar", "download link")</f>
        <v>download link</v>
      </c>
      <c r="I19" s="271" t="s">
        <v>2335</v>
      </c>
      <c r="J19" s="273"/>
    </row>
    <row r="20">
      <c r="A20" s="103">
        <v>39980.0</v>
      </c>
      <c r="B20" s="104"/>
      <c r="C20" s="105" t="str">
        <f t="shared" si="2"/>
        <v>setlist</v>
      </c>
      <c r="D20" s="266" t="s">
        <v>897</v>
      </c>
      <c r="E20" s="181" t="s">
        <v>885</v>
      </c>
      <c r="F20" s="107" t="s">
        <v>886</v>
      </c>
      <c r="G20" s="107" t="s">
        <v>36</v>
      </c>
      <c r="H20" s="105" t="str">
        <f>HYPERLINK("http://www.mediafire.com/download/6nof43qsonf4s31/2009-06-16_-_The_Fox_Theatre_-_St._Louis%2C_MO.rar", "download link")</f>
        <v>download link</v>
      </c>
      <c r="I20" s="266" t="s">
        <v>2336</v>
      </c>
      <c r="J20" s="260"/>
    </row>
    <row r="21">
      <c r="A21" s="142">
        <v>39982.0</v>
      </c>
      <c r="B21" s="144"/>
      <c r="C21" s="116" t="str">
        <f t="shared" si="2"/>
        <v>setlist</v>
      </c>
      <c r="D21" s="271" t="s">
        <v>2337</v>
      </c>
      <c r="E21" s="272" t="s">
        <v>1926</v>
      </c>
      <c r="F21" s="115" t="s">
        <v>212</v>
      </c>
      <c r="G21" s="115" t="s">
        <v>36</v>
      </c>
      <c r="H21" s="116" t="str">
        <f>HYPERLINK("http://www.mediafire.com/download/g0910splzl0f0l8/2009-06-18_-_Post-Gazette_Pavilion_-_Burgettstown%2C_PA.rar", "download link")</f>
        <v>download link</v>
      </c>
      <c r="I21" s="271" t="s">
        <v>2314</v>
      </c>
      <c r="J21" s="273"/>
    </row>
    <row r="22">
      <c r="A22" s="103">
        <v>39983.0</v>
      </c>
      <c r="B22" s="104"/>
      <c r="C22" s="105" t="str">
        <f t="shared" si="2"/>
        <v>setlist</v>
      </c>
      <c r="D22" s="181" t="s">
        <v>2263</v>
      </c>
      <c r="E22" s="181" t="s">
        <v>1579</v>
      </c>
      <c r="F22" s="107" t="s">
        <v>508</v>
      </c>
      <c r="G22" s="107" t="s">
        <v>36</v>
      </c>
      <c r="H22" s="105" t="str">
        <f>HYPERLINK("http://www.mediafire.com/download/f2s3zcyjs4oco4f/2009-06-19_-_Verizon_Wireless_Music_Center_-_Noblesville%2C_IN.rar", "download link")</f>
        <v>download link</v>
      </c>
      <c r="I22" s="266" t="s">
        <v>2314</v>
      </c>
      <c r="J22" s="260"/>
    </row>
    <row r="23">
      <c r="A23" s="142">
        <v>39984.0</v>
      </c>
      <c r="B23" s="144"/>
      <c r="C23" s="116" t="str">
        <f t="shared" si="2"/>
        <v>setlist</v>
      </c>
      <c r="D23" s="272" t="s">
        <v>1737</v>
      </c>
      <c r="E23" s="272" t="s">
        <v>1738</v>
      </c>
      <c r="F23" s="115" t="s">
        <v>483</v>
      </c>
      <c r="G23" s="115" t="s">
        <v>36</v>
      </c>
      <c r="H23" s="116" t="str">
        <f>HYPERLINK("http://www.mediafire.com/download/g4q20hvf3308146/2009-06-20_-_Alpine_Valley_Music_Theatre_-_East_Troy%2C_WI.rar", "download link")</f>
        <v>download link</v>
      </c>
      <c r="I23" s="271" t="s">
        <v>2314</v>
      </c>
      <c r="J23" s="273"/>
    </row>
    <row r="24">
      <c r="A24" s="103">
        <v>39985.0</v>
      </c>
      <c r="B24" s="104"/>
      <c r="C24" s="105" t="str">
        <f t="shared" si="2"/>
        <v>setlist</v>
      </c>
      <c r="D24" s="181" t="s">
        <v>1737</v>
      </c>
      <c r="E24" s="181" t="s">
        <v>1738</v>
      </c>
      <c r="F24" s="107" t="s">
        <v>483</v>
      </c>
      <c r="G24" s="107" t="s">
        <v>36</v>
      </c>
      <c r="H24" s="105" t="str">
        <f>HYPERLINK("http://www.mediafire.com/download/vj2ssbelyt45ey2/2009-06-21_-_Alpine_Valley_Music_Theatre_-_East_Troy%2C_WI.rar", "download link")</f>
        <v>download link</v>
      </c>
      <c r="I24" s="266" t="s">
        <v>2314</v>
      </c>
      <c r="J24" s="260"/>
    </row>
    <row r="25">
      <c r="A25" s="142">
        <v>40024.0</v>
      </c>
      <c r="B25" s="144"/>
      <c r="C25" s="116" t="str">
        <f t="shared" si="2"/>
        <v>setlist</v>
      </c>
      <c r="D25" s="272" t="s">
        <v>1297</v>
      </c>
      <c r="E25" s="272" t="s">
        <v>1298</v>
      </c>
      <c r="F25" s="115" t="s">
        <v>203</v>
      </c>
      <c r="G25" s="115" t="s">
        <v>36</v>
      </c>
      <c r="H25" s="116" t="str">
        <f>HYPERLINK("http://www.mediafire.com/download/sp78kyt2aez3ls6/2009-07-30_-_Red_Rocks_Amphitheatre_-_Morrison%2C_CO.rar", "download link")</f>
        <v>download link</v>
      </c>
      <c r="I25" s="271" t="s">
        <v>2338</v>
      </c>
      <c r="J25" s="273"/>
    </row>
    <row r="26">
      <c r="A26" s="103">
        <v>40025.0</v>
      </c>
      <c r="B26" s="104"/>
      <c r="C26" s="105" t="str">
        <f t="shared" si="2"/>
        <v>setlist</v>
      </c>
      <c r="D26" s="181" t="s">
        <v>1297</v>
      </c>
      <c r="E26" s="181" t="s">
        <v>1298</v>
      </c>
      <c r="F26" s="107" t="s">
        <v>203</v>
      </c>
      <c r="G26" s="107" t="s">
        <v>36</v>
      </c>
      <c r="H26" s="105" t="str">
        <f>HYPERLINK("http://www.mediafire.com/download/jtpng9sauta7d7t/2009-07-31_-_Red_Rocks_Amphitheatre_-_Morrison%2C_CO.rar", "download link")</f>
        <v>download link</v>
      </c>
      <c r="I26" s="266" t="s">
        <v>2338</v>
      </c>
      <c r="J26" s="260"/>
    </row>
    <row r="27">
      <c r="A27" s="142">
        <v>40026.0</v>
      </c>
      <c r="B27" s="144"/>
      <c r="C27" s="116" t="str">
        <f t="shared" si="2"/>
        <v>setlist</v>
      </c>
      <c r="D27" s="272" t="s">
        <v>1297</v>
      </c>
      <c r="E27" s="272" t="s">
        <v>1298</v>
      </c>
      <c r="F27" s="115" t="s">
        <v>203</v>
      </c>
      <c r="G27" s="115" t="s">
        <v>36</v>
      </c>
      <c r="H27" s="116" t="str">
        <f>HYPERLINK("http://www.mediafire.com/download/vzg1ltajj3wb6cj/2009-08-01_-_Red_Rocks_Amphitheatre_-_Morrison%2C_CO.rar", "download link")</f>
        <v>download link</v>
      </c>
      <c r="I27" s="271" t="s">
        <v>2338</v>
      </c>
      <c r="J27" s="273"/>
    </row>
    <row r="28">
      <c r="A28" s="103">
        <v>40027.0</v>
      </c>
      <c r="B28" s="104"/>
      <c r="C28" s="105" t="str">
        <f t="shared" si="2"/>
        <v>setlist</v>
      </c>
      <c r="D28" s="181" t="s">
        <v>1297</v>
      </c>
      <c r="E28" s="181" t="s">
        <v>1298</v>
      </c>
      <c r="F28" s="107" t="s">
        <v>203</v>
      </c>
      <c r="G28" s="107" t="s">
        <v>36</v>
      </c>
      <c r="H28" s="105" t="str">
        <f>HYPERLINK("http://www.mediafire.com/download/37fz24jtlt3f44j/2009-08-02_-_Red_Rocks_Amphitheatre_-_Morrison%2C_CO.rar", "download link")</f>
        <v>download link</v>
      </c>
      <c r="I28" s="266" t="s">
        <v>2338</v>
      </c>
      <c r="J28" s="260"/>
    </row>
    <row r="29">
      <c r="A29" s="142">
        <v>40030.0</v>
      </c>
      <c r="B29" s="144"/>
      <c r="C29" s="116" t="str">
        <f t="shared" si="2"/>
        <v>setlist</v>
      </c>
      <c r="D29" s="272" t="s">
        <v>1052</v>
      </c>
      <c r="E29" s="272" t="s">
        <v>1053</v>
      </c>
      <c r="F29" s="115" t="s">
        <v>679</v>
      </c>
      <c r="G29" s="115" t="s">
        <v>36</v>
      </c>
      <c r="H29" s="116" t="str">
        <f>HYPERLINK("http://www.mediafire.com/download/fkdvmn716751miz/2009-08-05_-_Shoreline_Amphitheatre_-_Mountain_View%2C_CA.rar", "download link")</f>
        <v>download link</v>
      </c>
      <c r="I29" s="271" t="s">
        <v>2339</v>
      </c>
      <c r="J29" s="273"/>
    </row>
    <row r="30">
      <c r="A30" s="103">
        <v>40032.0</v>
      </c>
      <c r="B30" s="104"/>
      <c r="C30" s="105" t="str">
        <f t="shared" si="2"/>
        <v>setlist</v>
      </c>
      <c r="D30" s="181" t="s">
        <v>1918</v>
      </c>
      <c r="E30" s="181" t="s">
        <v>1919</v>
      </c>
      <c r="F30" s="107" t="s">
        <v>701</v>
      </c>
      <c r="G30" s="107" t="s">
        <v>36</v>
      </c>
      <c r="H30" s="105" t="str">
        <f>HYPERLINK("http://www.mediafire.com/download/8verkq9t92fqprz/2009-08-07_-_Gorge_Amphitheatre_-_George%2C_WA.rar", "download link")</f>
        <v>download link</v>
      </c>
      <c r="I30" s="266" t="s">
        <v>2340</v>
      </c>
      <c r="J30" s="260"/>
    </row>
    <row r="31">
      <c r="A31" s="142">
        <v>40033.0</v>
      </c>
      <c r="B31" s="144"/>
      <c r="C31" s="116" t="str">
        <f t="shared" si="2"/>
        <v>setlist</v>
      </c>
      <c r="D31" s="272" t="s">
        <v>1918</v>
      </c>
      <c r="E31" s="272" t="s">
        <v>1919</v>
      </c>
      <c r="F31" s="115" t="s">
        <v>701</v>
      </c>
      <c r="G31" s="115" t="s">
        <v>36</v>
      </c>
      <c r="H31" s="116" t="str">
        <f>HYPERLINK("http://www.mediafire.com/download/p9zy38vbdwbo2kn/2009-08-08_-_Gorge_Amphitheatre_-_George%2C_WA.rar", "download link")</f>
        <v>download link</v>
      </c>
      <c r="I31" s="271" t="s">
        <v>2341</v>
      </c>
      <c r="J31" s="273"/>
    </row>
    <row r="32">
      <c r="A32" s="103">
        <v>40036.0</v>
      </c>
      <c r="B32" s="104"/>
      <c r="C32" s="105" t="str">
        <f t="shared" si="2"/>
        <v>setlist</v>
      </c>
      <c r="D32" s="181" t="s">
        <v>2342</v>
      </c>
      <c r="E32" s="181" t="s">
        <v>2343</v>
      </c>
      <c r="F32" s="107" t="s">
        <v>480</v>
      </c>
      <c r="G32" s="107" t="s">
        <v>36</v>
      </c>
      <c r="H32" s="105" t="str">
        <f>HYPERLINK("http://www.mediafire.com/download/qpcqbko0qmg8qov/2009-08-11_-_Toyota_Park_-_Bridgeview%2C_IL.rar", "download link")</f>
        <v>download link</v>
      </c>
      <c r="I32" s="266" t="s">
        <v>2344</v>
      </c>
      <c r="J32" s="260"/>
    </row>
    <row r="33">
      <c r="A33" s="142">
        <v>40038.0</v>
      </c>
      <c r="B33" s="144"/>
      <c r="C33" s="116" t="str">
        <f t="shared" si="2"/>
        <v>setlist</v>
      </c>
      <c r="D33" s="272" t="s">
        <v>1278</v>
      </c>
      <c r="E33" s="272" t="s">
        <v>1279</v>
      </c>
      <c r="F33" s="115" t="s">
        <v>129</v>
      </c>
      <c r="G33" s="115" t="s">
        <v>36</v>
      </c>
      <c r="H33" s="116" t="str">
        <f>HYPERLINK("http://www.mediafire.com/download/245k4yciveijh51/2009-08-13_-_Darien_Lake_Performing_Arts_Center_-_Darien_Center%2C_NY.rar", "download link")</f>
        <v>download link</v>
      </c>
      <c r="I33" s="271" t="s">
        <v>2314</v>
      </c>
      <c r="J33" s="273"/>
    </row>
    <row r="34">
      <c r="A34" s="103">
        <v>40039.0</v>
      </c>
      <c r="B34" s="104"/>
      <c r="C34" s="105" t="str">
        <f t="shared" si="2"/>
        <v>setlist</v>
      </c>
      <c r="D34" s="266" t="s">
        <v>2345</v>
      </c>
      <c r="E34" s="181" t="s">
        <v>323</v>
      </c>
      <c r="F34" s="107" t="s">
        <v>171</v>
      </c>
      <c r="G34" s="107" t="s">
        <v>36</v>
      </c>
      <c r="H34" s="105" t="str">
        <f>HYPERLINK("http://www.mediafire.com/download/s4gth4k2fzx3jxn/2009-08-14_-_The_Comcast_Theatre_-_Hartford%2C_CT.rar", "download link")</f>
        <v>download link</v>
      </c>
      <c r="I34" s="266" t="s">
        <v>2346</v>
      </c>
      <c r="J34" s="260"/>
    </row>
    <row r="35">
      <c r="A35" s="142">
        <v>40040.0</v>
      </c>
      <c r="B35" s="144"/>
      <c r="C35" s="116" t="str">
        <f t="shared" si="2"/>
        <v>setlist</v>
      </c>
      <c r="D35" s="272" t="s">
        <v>1000</v>
      </c>
      <c r="E35" s="272" t="s">
        <v>439</v>
      </c>
      <c r="F35" s="115" t="s">
        <v>397</v>
      </c>
      <c r="G35" s="115" t="s">
        <v>36</v>
      </c>
      <c r="H35" s="116" t="str">
        <f>HYPERLINK("http://www.mediafire.com/download/067ac3evd7pkhmd/2009-08-15_-_Merriweather_Post_Pavilion_-_Columbia%2C_MD.rar", "download link")</f>
        <v>download link</v>
      </c>
      <c r="I35" s="271" t="s">
        <v>2340</v>
      </c>
      <c r="J35" s="273"/>
    </row>
    <row r="36">
      <c r="A36" s="186">
        <v>40041.0</v>
      </c>
      <c r="B36" s="187"/>
      <c r="C36" s="123" t="str">
        <f t="shared" si="2"/>
        <v>setlist</v>
      </c>
      <c r="D36" s="274" t="s">
        <v>1015</v>
      </c>
      <c r="E36" s="274" t="s">
        <v>465</v>
      </c>
      <c r="F36" s="120" t="s">
        <v>129</v>
      </c>
      <c r="G36" s="120" t="s">
        <v>36</v>
      </c>
      <c r="H36" s="105" t="str">
        <f>HYPERLINK("http://www.mediafire.com/download/2n8li5bq907ro38/2009-08-16_-_Saratoga_Performing_Arts_Center_-_Saratoga_Springs%2C_NY.rar", "download link")</f>
        <v>download link</v>
      </c>
      <c r="I36" s="266" t="s">
        <v>2347</v>
      </c>
      <c r="J36" s="275"/>
    </row>
    <row r="37">
      <c r="A37" s="276"/>
      <c r="B37" s="277"/>
      <c r="C37" s="278"/>
      <c r="D37" s="279" t="s">
        <v>2348</v>
      </c>
      <c r="E37" s="280"/>
      <c r="F37" s="277"/>
      <c r="G37" s="277"/>
      <c r="H37" s="281"/>
      <c r="I37" s="280"/>
      <c r="J37" s="280"/>
    </row>
    <row r="38">
      <c r="A38" s="110">
        <v>40115.0</v>
      </c>
      <c r="B38" s="114" t="s">
        <v>32</v>
      </c>
      <c r="C38" s="112" t="s">
        <v>40</v>
      </c>
      <c r="D38" s="183" t="s">
        <v>2349</v>
      </c>
      <c r="E38" s="183" t="s">
        <v>2350</v>
      </c>
      <c r="F38" s="114" t="s">
        <v>679</v>
      </c>
      <c r="G38" s="114" t="s">
        <v>36</v>
      </c>
      <c r="H38" s="135" t="str">
        <f>HYPERLINK("http://www.mediafire.com/download/u3jac2rqds8ju02/2009-10-29_-_Festival_8_-_Soundcheck_-_Indio%2C_CA.rar", "download link")</f>
        <v>download link</v>
      </c>
      <c r="I38" s="269" t="s">
        <v>2351</v>
      </c>
      <c r="J38" s="183" t="s">
        <v>2352</v>
      </c>
    </row>
    <row r="39">
      <c r="A39" s="103">
        <v>40116.0</v>
      </c>
      <c r="B39" s="104"/>
      <c r="C39" s="105" t="str">
        <f t="shared" ref="C39:C41" si="3">HYPERLINK("http://phish.net/setlists/?d="&amp;RIGHT(TEXT(A39,"mm/dd/yyyy"),4)&amp;"-"&amp;LEFT(TEXT(A39,"mm/dd/yyyy"),2)&amp;"-"&amp;MID(TEXT(A39,"mm/dd/yyyy"),4,2), "setlist")</f>
        <v>setlist</v>
      </c>
      <c r="D39" s="181" t="s">
        <v>2353</v>
      </c>
      <c r="E39" s="181" t="s">
        <v>2350</v>
      </c>
      <c r="F39" s="107" t="s">
        <v>679</v>
      </c>
      <c r="G39" s="107" t="s">
        <v>36</v>
      </c>
      <c r="H39" s="105" t="str">
        <f>HYPERLINK("http://www.mediafire.com/download/v06fbst10ftwht7/2009-10-30_-_Festival_8_-_Empire_Polo_Club_-_Indio%2C_CA.rar", "download link")</f>
        <v>download link</v>
      </c>
      <c r="I39" s="266" t="s">
        <v>2354</v>
      </c>
      <c r="J39" s="260"/>
    </row>
    <row r="40">
      <c r="A40" s="142">
        <v>40117.0</v>
      </c>
      <c r="B40" s="144"/>
      <c r="C40" s="116" t="str">
        <f t="shared" si="3"/>
        <v>setlist</v>
      </c>
      <c r="D40" s="272" t="s">
        <v>2353</v>
      </c>
      <c r="E40" s="272" t="s">
        <v>2350</v>
      </c>
      <c r="F40" s="115" t="s">
        <v>679</v>
      </c>
      <c r="G40" s="115" t="s">
        <v>36</v>
      </c>
      <c r="H40" s="116" t="str">
        <f>HYPERLINK("http://www.mediafire.com/download/xsx1wcpc93afqcf/2009-10-31_-_Festival_8_-_Empire_Polo_Club_-_Indio%2C_CA.rar", "download link")</f>
        <v>download link</v>
      </c>
      <c r="I40" s="271" t="s">
        <v>2355</v>
      </c>
      <c r="J40" s="273"/>
    </row>
    <row r="41">
      <c r="A41" s="186">
        <v>40118.0</v>
      </c>
      <c r="B41" s="187"/>
      <c r="C41" s="123" t="str">
        <f t="shared" si="3"/>
        <v>setlist</v>
      </c>
      <c r="D41" s="274" t="s">
        <v>2353</v>
      </c>
      <c r="E41" s="274" t="s">
        <v>2350</v>
      </c>
      <c r="F41" s="120" t="s">
        <v>679</v>
      </c>
      <c r="G41" s="120" t="s">
        <v>36</v>
      </c>
      <c r="H41" s="123" t="str">
        <f>HYPERLINK("http://www.mediafire.com/download/p2vlljzjlq5fwhp/2009-11-01_-_Festival_8_-_Empire_Polo_Club_-_Indio%2C_CA.rar", "download link")</f>
        <v>download link</v>
      </c>
      <c r="I41" s="282" t="s">
        <v>2356</v>
      </c>
      <c r="J41" s="275"/>
    </row>
    <row r="42">
      <c r="A42" s="92"/>
      <c r="B42" s="93"/>
      <c r="C42" s="94"/>
      <c r="D42" s="254" t="s">
        <v>2357</v>
      </c>
      <c r="E42" s="238"/>
      <c r="F42" s="93"/>
      <c r="G42" s="93"/>
      <c r="H42" s="65"/>
      <c r="I42" s="238"/>
      <c r="J42" s="238"/>
    </row>
    <row r="43">
      <c r="A43" s="125">
        <v>40135.0</v>
      </c>
      <c r="B43" s="126"/>
      <c r="C43" s="98" t="str">
        <f t="shared" ref="C43:C55" si="4">HYPERLINK("http://phish.net/setlists/?d="&amp;RIGHT(TEXT(A43,"mm/dd/yyyy"),4)&amp;"-"&amp;LEFT(TEXT(A43,"mm/dd/yyyy"),2)&amp;"-"&amp;MID(TEXT(A43,"mm/dd/yyyy"),4,2), "setlist")</f>
        <v>setlist</v>
      </c>
      <c r="D43" s="179" t="s">
        <v>2358</v>
      </c>
      <c r="E43" s="179" t="s">
        <v>946</v>
      </c>
      <c r="F43" s="127" t="s">
        <v>712</v>
      </c>
      <c r="G43" s="127" t="s">
        <v>36</v>
      </c>
      <c r="H43" s="98" t="str">
        <f>HYPERLINK("http://www.mediafire.com/download/jdc2s8jfu7d0w9v/2009-11-18_-_Cobo_Arena_-_Detroit%2C_MI.rar", "download link")</f>
        <v>download link</v>
      </c>
      <c r="I43" s="255" t="s">
        <v>2359</v>
      </c>
      <c r="J43" s="265"/>
    </row>
    <row r="44">
      <c r="A44" s="103">
        <v>40137.0</v>
      </c>
      <c r="B44" s="104"/>
      <c r="C44" s="105" t="str">
        <f t="shared" si="4"/>
        <v>setlist</v>
      </c>
      <c r="D44" s="181" t="s">
        <v>2239</v>
      </c>
      <c r="E44" s="181" t="s">
        <v>943</v>
      </c>
      <c r="F44" s="107" t="s">
        <v>472</v>
      </c>
      <c r="G44" s="107" t="s">
        <v>36</v>
      </c>
      <c r="H44" s="105" t="str">
        <f>HYPERLINK("http://www.mediafire.com/download/b9jvp8z9sr28c2k/2009-11-20_-_U.S._Bank_Arena_-_Cincinnati%2C_OH.rar", "download link")</f>
        <v>download link</v>
      </c>
      <c r="I44" s="266" t="s">
        <v>2360</v>
      </c>
      <c r="J44" s="260"/>
    </row>
    <row r="45">
      <c r="A45" s="110">
        <v>40138.0</v>
      </c>
      <c r="B45" s="111"/>
      <c r="C45" s="135" t="str">
        <f t="shared" si="4"/>
        <v>setlist</v>
      </c>
      <c r="D45" s="272" t="s">
        <v>2239</v>
      </c>
      <c r="E45" s="183" t="s">
        <v>943</v>
      </c>
      <c r="F45" s="114" t="s">
        <v>472</v>
      </c>
      <c r="G45" s="114" t="s">
        <v>36</v>
      </c>
      <c r="H45" s="116" t="str">
        <f>HYPERLINK("http://www.mediafire.com/download/368oar6e69574y8/2009-11-21_-_U.S._Bank_Arena_-_Cincinnati%2C_OH.rar", "download link")</f>
        <v>download link</v>
      </c>
      <c r="I45" s="269" t="s">
        <v>2340</v>
      </c>
    </row>
    <row r="46">
      <c r="A46" s="103">
        <v>40139.0</v>
      </c>
      <c r="B46" s="104"/>
      <c r="C46" s="105" t="str">
        <f t="shared" si="4"/>
        <v>setlist</v>
      </c>
      <c r="D46" s="181" t="s">
        <v>2361</v>
      </c>
      <c r="E46" s="181" t="s">
        <v>311</v>
      </c>
      <c r="F46" s="107" t="s">
        <v>129</v>
      </c>
      <c r="G46" s="107" t="s">
        <v>36</v>
      </c>
      <c r="H46" s="105" t="str">
        <f>HYPERLINK("http://www.mediafire.com/download/ptru21w8qpzk6z6/2009-11-22_-_War_Memorial_at_Oncenter_-_Syracuse%2C_NY.rar", "download link")</f>
        <v>download link</v>
      </c>
      <c r="I46" s="266" t="s">
        <v>2362</v>
      </c>
      <c r="J46" s="260"/>
    </row>
    <row r="47">
      <c r="A47" s="110">
        <v>40141.0</v>
      </c>
      <c r="B47" s="111"/>
      <c r="C47" s="135" t="str">
        <f t="shared" si="4"/>
        <v>setlist</v>
      </c>
      <c r="D47" s="183" t="s">
        <v>2363</v>
      </c>
      <c r="E47" s="183" t="s">
        <v>871</v>
      </c>
      <c r="F47" s="114" t="s">
        <v>212</v>
      </c>
      <c r="G47" s="114" t="s">
        <v>36</v>
      </c>
      <c r="H47" s="116" t="str">
        <f>HYPERLINK("http://www.mediafire.com/download/98gc8ux0xv983m8/2009-11-24_-_Wachovia_Center_-_Philadelphia%2C_PA.rar", "download link")</f>
        <v>download link</v>
      </c>
      <c r="I47" s="269" t="s">
        <v>2364</v>
      </c>
    </row>
    <row r="48">
      <c r="A48" s="103">
        <v>40142.0</v>
      </c>
      <c r="B48" s="104"/>
      <c r="C48" s="105" t="str">
        <f t="shared" si="4"/>
        <v>setlist</v>
      </c>
      <c r="D48" s="181" t="s">
        <v>2363</v>
      </c>
      <c r="E48" s="181" t="s">
        <v>871</v>
      </c>
      <c r="F48" s="107" t="s">
        <v>212</v>
      </c>
      <c r="G48" s="107" t="s">
        <v>36</v>
      </c>
      <c r="H48" s="105" t="str">
        <f>HYPERLINK("http://www.mediafire.com/download/l3ji1hi5znqw5x5/2009-11-25_-_Wachovia_Center_-_Philadelphia%2C_PA.rar", "download link")</f>
        <v>download link</v>
      </c>
      <c r="I48" s="266" t="s">
        <v>2365</v>
      </c>
      <c r="J48" s="260"/>
    </row>
    <row r="49">
      <c r="A49" s="110">
        <v>40144.0</v>
      </c>
      <c r="B49" s="111"/>
      <c r="C49" s="135" t="str">
        <f t="shared" si="4"/>
        <v>setlist</v>
      </c>
      <c r="D49" s="183" t="s">
        <v>2366</v>
      </c>
      <c r="E49" s="183" t="s">
        <v>309</v>
      </c>
      <c r="F49" s="114" t="s">
        <v>129</v>
      </c>
      <c r="G49" s="114" t="s">
        <v>36</v>
      </c>
      <c r="H49" s="116" t="str">
        <f>HYPERLINK("http://www.mediafire.com/download/tsa8wiapegh9l8m/2009-11-27_-_Times_Union_Center_-_Albany%2C_NY.rar", "download link")</f>
        <v>download link</v>
      </c>
      <c r="I49" s="269" t="s">
        <v>2367</v>
      </c>
    </row>
    <row r="50">
      <c r="A50" s="103">
        <v>40145.0</v>
      </c>
      <c r="B50" s="104"/>
      <c r="C50" s="105" t="str">
        <f t="shared" si="4"/>
        <v>setlist</v>
      </c>
      <c r="D50" s="181" t="s">
        <v>2366</v>
      </c>
      <c r="E50" s="181" t="s">
        <v>309</v>
      </c>
      <c r="F50" s="107" t="s">
        <v>129</v>
      </c>
      <c r="G50" s="107" t="s">
        <v>36</v>
      </c>
      <c r="H50" s="105" t="str">
        <f>HYPERLINK("http://www.mediafire.com/download/83hczytd0at4b8e/2009-11-28_-_Times_Union_Center_-_Albany%2C_NY.rar", "download link")</f>
        <v>download link</v>
      </c>
      <c r="I50" s="266" t="s">
        <v>2368</v>
      </c>
      <c r="J50" s="260"/>
    </row>
    <row r="51">
      <c r="A51" s="110">
        <v>40146.0</v>
      </c>
      <c r="B51" s="111"/>
      <c r="C51" s="135" t="str">
        <f t="shared" si="4"/>
        <v>setlist</v>
      </c>
      <c r="D51" s="183" t="s">
        <v>988</v>
      </c>
      <c r="E51" s="183" t="s">
        <v>279</v>
      </c>
      <c r="F51" s="114" t="s">
        <v>257</v>
      </c>
      <c r="G51" s="114" t="s">
        <v>36</v>
      </c>
      <c r="H51" s="116" t="str">
        <f>HYPERLINK("http://www.mediafire.com/download/ccxpcoo9k8n8b9a/2009-11-29_-_Cumberland_County_Civic_Center_-_Portland%2C_ME.rar", "download link")</f>
        <v>download link</v>
      </c>
      <c r="I51" s="269" t="s">
        <v>2369</v>
      </c>
    </row>
    <row r="52">
      <c r="A52" s="103">
        <v>40149.0</v>
      </c>
      <c r="B52" s="104"/>
      <c r="C52" s="105" t="str">
        <f t="shared" si="4"/>
        <v>setlist</v>
      </c>
      <c r="D52" s="181" t="s">
        <v>1553</v>
      </c>
      <c r="E52" s="181" t="s">
        <v>162</v>
      </c>
      <c r="F52" s="107" t="s">
        <v>129</v>
      </c>
      <c r="G52" s="107" t="s">
        <v>36</v>
      </c>
      <c r="H52" s="105" t="str">
        <f>HYPERLINK("http://www.mediafire.com/download/muir55n7e200mbs/2009-12-02_-_Madison_Square_Garden_-_New_York%2C_NY.rar", "download link")</f>
        <v>download link</v>
      </c>
      <c r="I52" s="266" t="s">
        <v>2370</v>
      </c>
      <c r="J52" s="260"/>
    </row>
    <row r="53">
      <c r="A53" s="110">
        <v>40150.0</v>
      </c>
      <c r="B53" s="111"/>
      <c r="C53" s="135" t="str">
        <f t="shared" si="4"/>
        <v>setlist</v>
      </c>
      <c r="D53" s="183" t="s">
        <v>1553</v>
      </c>
      <c r="E53" s="183" t="s">
        <v>162</v>
      </c>
      <c r="F53" s="114" t="s">
        <v>129</v>
      </c>
      <c r="G53" s="114" t="s">
        <v>36</v>
      </c>
      <c r="H53" s="116" t="str">
        <f>HYPERLINK("http://www.mediafire.com/download/9wezhm6ve1ex7kh/2009-12-03_-_Madison_Square_Garden_-_New_York%2C_NY.rar", "download link")</f>
        <v>download link</v>
      </c>
      <c r="I53" s="269" t="s">
        <v>2356</v>
      </c>
    </row>
    <row r="54">
      <c r="A54" s="103">
        <v>40151.0</v>
      </c>
      <c r="B54" s="104"/>
      <c r="C54" s="105" t="str">
        <f t="shared" si="4"/>
        <v>setlist</v>
      </c>
      <c r="D54" s="181" t="s">
        <v>1553</v>
      </c>
      <c r="E54" s="181" t="s">
        <v>162</v>
      </c>
      <c r="F54" s="107" t="s">
        <v>129</v>
      </c>
      <c r="G54" s="107" t="s">
        <v>36</v>
      </c>
      <c r="H54" s="105" t="str">
        <f>HYPERLINK("http://www.mediafire.com/download/vt4nwj9ggmptaru/2009-12-04_-_Madison_Square_Garden_-_New_York%2C_NY.rar", "download link")</f>
        <v>download link</v>
      </c>
      <c r="I54" s="266" t="s">
        <v>2370</v>
      </c>
      <c r="J54" s="260"/>
    </row>
    <row r="55">
      <c r="A55" s="202">
        <v>40152.0</v>
      </c>
      <c r="B55" s="78"/>
      <c r="C55" s="203" t="str">
        <f t="shared" si="4"/>
        <v>setlist</v>
      </c>
      <c r="D55" s="257" t="s">
        <v>2371</v>
      </c>
      <c r="E55" s="257" t="s">
        <v>579</v>
      </c>
      <c r="F55" s="205" t="s">
        <v>446</v>
      </c>
      <c r="G55" s="205" t="s">
        <v>36</v>
      </c>
      <c r="H55" s="116" t="str">
        <f>HYPERLINK("http://www.mediafire.com/download/nhmzoqacnc2b8kt/2009-12-05_-_John_Paul_Jones_Arena_-_Charlottesville%2C_VA.rar", "download link")</f>
        <v>download link</v>
      </c>
      <c r="I55" s="267" t="s">
        <v>2372</v>
      </c>
      <c r="J55" s="237"/>
    </row>
    <row r="56">
      <c r="A56" s="92"/>
      <c r="B56" s="65"/>
      <c r="C56" s="94"/>
      <c r="D56" s="254" t="s">
        <v>2373</v>
      </c>
      <c r="E56" s="268"/>
      <c r="F56" s="65"/>
      <c r="G56" s="65"/>
      <c r="H56" s="65"/>
      <c r="I56" s="268"/>
      <c r="J56" s="268"/>
    </row>
    <row r="57">
      <c r="A57" s="283">
        <v>40175.0</v>
      </c>
      <c r="B57" s="253"/>
      <c r="C57" s="98" t="str">
        <f t="shared" ref="C57:C60" si="5">HYPERLINK("http://phish.net/setlists/?d="&amp;RIGHT(TEXT(A57,"mm/dd/yyyy"),4)&amp;"-"&amp;LEFT(TEXT(A57,"mm/dd/yyyy"),2)&amp;"-"&amp;MID(TEXT(A57,"mm/dd/yyyy"),4,2), "setlist")</f>
        <v>setlist</v>
      </c>
      <c r="D57" s="284" t="s">
        <v>2286</v>
      </c>
      <c r="E57" s="284" t="s">
        <v>1274</v>
      </c>
      <c r="F57" s="252" t="s">
        <v>1133</v>
      </c>
      <c r="G57" s="252" t="s">
        <v>36</v>
      </c>
      <c r="H57" s="178" t="str">
        <f>HYPERLINK("http://www.mediafire.com/download/wcaxxx1z0mn0nuk/2009-12-28_-_American_Airlines_Arena_-_Miami%2C_FL.rar", "download link")</f>
        <v>download link</v>
      </c>
      <c r="I57" s="285" t="s">
        <v>2356</v>
      </c>
      <c r="J57" s="286"/>
    </row>
    <row r="58">
      <c r="A58" s="130">
        <v>40176.0</v>
      </c>
      <c r="B58" s="131"/>
      <c r="C58" s="105" t="str">
        <f t="shared" si="5"/>
        <v>setlist</v>
      </c>
      <c r="D58" s="287" t="s">
        <v>2286</v>
      </c>
      <c r="E58" s="287" t="s">
        <v>1274</v>
      </c>
      <c r="F58" s="133" t="s">
        <v>1133</v>
      </c>
      <c r="G58" s="133" t="s">
        <v>36</v>
      </c>
      <c r="H58" s="105" t="str">
        <f>HYPERLINK("http://www.mediafire.com/download/x65uqnonu6zpqi6/2009-12-29_-_American_Airlines_Arena_-_Miami%2C_FL.rar", "download link")</f>
        <v>download link</v>
      </c>
      <c r="I58" s="288" t="s">
        <v>2356</v>
      </c>
      <c r="J58" s="289"/>
    </row>
    <row r="59">
      <c r="A59" s="150">
        <v>40177.0</v>
      </c>
      <c r="B59" s="156"/>
      <c r="C59" s="135" t="str">
        <f t="shared" si="5"/>
        <v>setlist</v>
      </c>
      <c r="D59" s="290" t="s">
        <v>2286</v>
      </c>
      <c r="E59" s="290" t="s">
        <v>1274</v>
      </c>
      <c r="F59" s="151" t="s">
        <v>1133</v>
      </c>
      <c r="G59" s="151" t="s">
        <v>36</v>
      </c>
      <c r="H59" s="116" t="str">
        <f>HYPERLINK("http://www.mediafire.com/download/d3meca94l7h83ua/2009-12-30_-_American_Airlines_Arena_-_Miami%2C_FL.rar", "download link")</f>
        <v>download link</v>
      </c>
      <c r="I59" s="291" t="s">
        <v>2374</v>
      </c>
      <c r="J59" s="292"/>
    </row>
    <row r="60">
      <c r="A60" s="130">
        <v>40178.0</v>
      </c>
      <c r="B60" s="131"/>
      <c r="C60" s="105" t="str">
        <f t="shared" si="5"/>
        <v>setlist</v>
      </c>
      <c r="D60" s="287" t="s">
        <v>2286</v>
      </c>
      <c r="E60" s="287" t="s">
        <v>1274</v>
      </c>
      <c r="F60" s="133" t="s">
        <v>1133</v>
      </c>
      <c r="G60" s="133" t="s">
        <v>36</v>
      </c>
      <c r="H60" s="105" t="str">
        <f>HYPERLINK("http://www.mediafire.com/download/fd0jkdjyd7yipjc/2009-12-31_-_American_Airlines_Arena_-_Miami%2C_FL.rar", "download link")</f>
        <v>download link</v>
      </c>
      <c r="I60" s="288" t="s">
        <v>2356</v>
      </c>
      <c r="J60" s="289"/>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77"/>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86"/>
      <c r="B3" s="87"/>
      <c r="C3" s="87"/>
      <c r="D3" s="3"/>
      <c r="E3" s="3"/>
      <c r="F3" s="87"/>
      <c r="G3" s="87"/>
      <c r="H3" s="294"/>
      <c r="I3" s="3"/>
      <c r="J3" s="3"/>
    </row>
    <row r="4">
      <c r="A4" s="92"/>
      <c r="B4" s="93"/>
      <c r="C4" s="93"/>
      <c r="D4" s="254" t="s">
        <v>2222</v>
      </c>
      <c r="E4" s="238"/>
      <c r="F4" s="93"/>
      <c r="G4" s="93"/>
      <c r="H4" s="164"/>
      <c r="I4" s="238"/>
      <c r="J4" s="238"/>
    </row>
    <row r="5">
      <c r="A5" s="125">
        <v>40252.0</v>
      </c>
      <c r="B5" s="127" t="s">
        <v>32</v>
      </c>
      <c r="C5" s="98" t="str">
        <f t="shared" ref="C5:C6" si="1">HYPERLINK("http://phish.net/setlists/?d="&amp;RIGHT(TEXT(A5,"mm/dd/yyyy"),4)&amp;"-"&amp;LEFT(TEXT(A5,"mm/dd/yyyy"),2)&amp;"-"&amp;MID(TEXT(A5,"mm/dd/yyyy"),4,2), "setlist")</f>
        <v>setlist</v>
      </c>
      <c r="D5" s="255" t="s">
        <v>2375</v>
      </c>
      <c r="E5" s="179" t="s">
        <v>162</v>
      </c>
      <c r="F5" s="127" t="s">
        <v>129</v>
      </c>
      <c r="G5" s="127" t="s">
        <v>36</v>
      </c>
      <c r="H5" s="98" t="str">
        <f>HYPERLINK("http://www.mediafire.com/download/8rwn1bhwldql22g/2010-03-15_-_The_Waldorf_Astoria_-_New_York%2C_NY.rar", "download link")</f>
        <v>download link</v>
      </c>
      <c r="I5" s="255" t="s">
        <v>2376</v>
      </c>
      <c r="J5" s="265"/>
    </row>
    <row r="6">
      <c r="A6" s="186">
        <v>40311.0</v>
      </c>
      <c r="B6" s="187"/>
      <c r="C6" s="123" t="str">
        <f t="shared" si="1"/>
        <v>setlist</v>
      </c>
      <c r="D6" s="274" t="s">
        <v>2377</v>
      </c>
      <c r="E6" s="274" t="s">
        <v>162</v>
      </c>
      <c r="F6" s="120" t="s">
        <v>129</v>
      </c>
      <c r="G6" s="120" t="s">
        <v>36</v>
      </c>
      <c r="H6" s="123" t="str">
        <f>HYPERLINK("http://www.mediafire.com/download/v749m8o1qys9rsf/2010-05-13_-_NBC_Television_Studios%2C_Studio_6B_-_New_York%2C_NY.rar", "download link")</f>
        <v>download link</v>
      </c>
      <c r="I6" s="282" t="s">
        <v>2378</v>
      </c>
      <c r="J6" s="275"/>
    </row>
    <row r="7">
      <c r="A7" s="92"/>
      <c r="B7" s="65"/>
      <c r="C7" s="94"/>
      <c r="D7" s="254" t="s">
        <v>2379</v>
      </c>
      <c r="E7" s="268"/>
      <c r="F7" s="65"/>
      <c r="G7" s="65"/>
      <c r="H7" s="94"/>
      <c r="I7" s="268"/>
      <c r="J7" s="268"/>
    </row>
    <row r="8">
      <c r="A8" s="125">
        <v>40340.0</v>
      </c>
      <c r="B8" s="126"/>
      <c r="C8" s="98" t="str">
        <f t="shared" ref="C8:C36" si="2">HYPERLINK("http://phish.net/setlists/?d="&amp;RIGHT(TEXT(A8,"mm/dd/yyyy"),4)&amp;"-"&amp;LEFT(TEXT(A8,"mm/dd/yyyy"),2)&amp;"-"&amp;MID(TEXT(A8,"mm/dd/yyyy"),4,2), "setlist")</f>
        <v>setlist</v>
      </c>
      <c r="D8" s="179" t="s">
        <v>2342</v>
      </c>
      <c r="E8" s="179" t="s">
        <v>2343</v>
      </c>
      <c r="F8" s="127" t="s">
        <v>480</v>
      </c>
      <c r="G8" s="127" t="s">
        <v>36</v>
      </c>
      <c r="H8" s="98" t="str">
        <f>HYPERLINK("http://www.mediafire.com/download/fj6ibd9z8vhne02/2010-06-11_-_Toyota_Park_-_Bridgeview%2C_IL.rar", "download link")</f>
        <v>download link</v>
      </c>
      <c r="I8" s="255" t="s">
        <v>2380</v>
      </c>
      <c r="J8" s="265"/>
    </row>
    <row r="9">
      <c r="A9" s="103">
        <v>40341.0</v>
      </c>
      <c r="B9" s="104"/>
      <c r="C9" s="105" t="str">
        <f t="shared" si="2"/>
        <v>setlist</v>
      </c>
      <c r="D9" s="181" t="s">
        <v>1023</v>
      </c>
      <c r="E9" s="181" t="s">
        <v>1024</v>
      </c>
      <c r="F9" s="107" t="s">
        <v>472</v>
      </c>
      <c r="G9" s="107" t="s">
        <v>36</v>
      </c>
      <c r="H9" s="105" t="str">
        <f>HYPERLINK("http://www.mediafire.com/download/9ymb1j0n7pef6cz/2010-06-12_-_Blossom_Music_Center_-_Cuyahoga_Falls%2C_OH.rar", "download link")</f>
        <v>download link</v>
      </c>
      <c r="I9" s="266" t="s">
        <v>2381</v>
      </c>
      <c r="J9" s="260"/>
    </row>
    <row r="10">
      <c r="A10" s="110">
        <v>40342.0</v>
      </c>
      <c r="B10" s="111"/>
      <c r="C10" s="135" t="str">
        <f t="shared" si="2"/>
        <v>setlist</v>
      </c>
      <c r="D10" s="183" t="s">
        <v>1741</v>
      </c>
      <c r="E10" s="183" t="s">
        <v>1667</v>
      </c>
      <c r="F10" s="114" t="s">
        <v>212</v>
      </c>
      <c r="G10" s="114" t="s">
        <v>36</v>
      </c>
      <c r="H10" s="116" t="str">
        <f>HYPERLINK("http://www.mediafire.com/download/5sxub5sed6esgiz/2010-06-13_-_Hersheypark_Stadium_-_Hershey%2C_PA.rar", "download link")</f>
        <v>download link</v>
      </c>
      <c r="I10" s="269" t="s">
        <v>2382</v>
      </c>
      <c r="J10" s="183" t="s">
        <v>287</v>
      </c>
    </row>
    <row r="11">
      <c r="A11" s="103">
        <v>40344.0</v>
      </c>
      <c r="B11" s="104"/>
      <c r="C11" s="105" t="str">
        <f t="shared" si="2"/>
        <v>setlist</v>
      </c>
      <c r="D11" s="181" t="s">
        <v>2383</v>
      </c>
      <c r="E11" s="181" t="s">
        <v>634</v>
      </c>
      <c r="F11" s="107" t="s">
        <v>446</v>
      </c>
      <c r="G11" s="107" t="s">
        <v>36</v>
      </c>
      <c r="H11" s="105" t="str">
        <f>HYPERLINK("http://www.mediafire.com/download/sk2c6pfspj0p37p/2010-06-15_-_nTelos_Pavilion_-_Portsmouth%2C_VA.rar", "download link")</f>
        <v>download link</v>
      </c>
      <c r="I11" s="266" t="s">
        <v>2384</v>
      </c>
      <c r="J11" s="260"/>
    </row>
    <row r="12">
      <c r="A12" s="110">
        <v>40346.0</v>
      </c>
      <c r="B12" s="111"/>
      <c r="C12" s="135" t="str">
        <f t="shared" si="2"/>
        <v>setlist</v>
      </c>
      <c r="D12" s="183" t="s">
        <v>2345</v>
      </c>
      <c r="E12" s="183" t="s">
        <v>323</v>
      </c>
      <c r="F12" s="114" t="s">
        <v>171</v>
      </c>
      <c r="G12" s="114" t="s">
        <v>36</v>
      </c>
      <c r="H12" s="116" t="str">
        <f>HYPERLINK("http://www.mediafire.com/download/a3ldu7lpli1dfap/2010-06-17_-_The_Comcast_Theatre_-_Hartford%2C_CT.rar", "download link")</f>
        <v>download link</v>
      </c>
      <c r="I12" s="269" t="s">
        <v>2385</v>
      </c>
    </row>
    <row r="13">
      <c r="A13" s="103">
        <v>40347.0</v>
      </c>
      <c r="B13" s="104"/>
      <c r="C13" s="105" t="str">
        <f t="shared" si="2"/>
        <v>setlist</v>
      </c>
      <c r="D13" s="181" t="s">
        <v>2345</v>
      </c>
      <c r="E13" s="181" t="s">
        <v>323</v>
      </c>
      <c r="F13" s="107" t="s">
        <v>171</v>
      </c>
      <c r="G13" s="107" t="s">
        <v>36</v>
      </c>
      <c r="H13" s="105" t="str">
        <f>HYPERLINK("http://www.mediafire.com/download/aku23xgm9t37eoo/2010-06-18_-_The_Comcast_Theatre_-_Hartford%2C_CT.rar", "download link")</f>
        <v>download link</v>
      </c>
      <c r="I13" s="266" t="s">
        <v>2385</v>
      </c>
      <c r="J13" s="260"/>
    </row>
    <row r="14">
      <c r="A14" s="110">
        <v>40348.0</v>
      </c>
      <c r="B14" s="111"/>
      <c r="C14" s="135" t="str">
        <f t="shared" si="2"/>
        <v>setlist</v>
      </c>
      <c r="D14" s="183" t="s">
        <v>1015</v>
      </c>
      <c r="E14" s="183" t="s">
        <v>465</v>
      </c>
      <c r="F14" s="114" t="s">
        <v>129</v>
      </c>
      <c r="G14" s="114" t="s">
        <v>36</v>
      </c>
      <c r="H14" s="116" t="str">
        <f>HYPERLINK("http://www.mediafire.com/download/jd626wrojapoqz8/2010-06-19_-_Saratoga_Performing_Arts_Center_-_Saratoga_Springs%2C_NY.rar", "download link")</f>
        <v>download link</v>
      </c>
      <c r="I14" s="269" t="s">
        <v>2386</v>
      </c>
    </row>
    <row r="15">
      <c r="A15" s="103">
        <v>40349.0</v>
      </c>
      <c r="B15" s="104"/>
      <c r="C15" s="105" t="str">
        <f t="shared" si="2"/>
        <v>setlist</v>
      </c>
      <c r="D15" s="181" t="s">
        <v>1015</v>
      </c>
      <c r="E15" s="181" t="s">
        <v>465</v>
      </c>
      <c r="F15" s="107" t="s">
        <v>129</v>
      </c>
      <c r="G15" s="107" t="s">
        <v>36</v>
      </c>
      <c r="H15" s="105" t="str">
        <f>HYPERLINK("http://www.mediafire.com/download/qi5b07nou6ecota/2010-06-20_-_Saratoga_Performing_Arts_Center_-_Saratoga_Springs%2C_NY.rar", "download link")</f>
        <v>download link</v>
      </c>
      <c r="I15" s="266" t="s">
        <v>2387</v>
      </c>
      <c r="J15" s="260"/>
    </row>
    <row r="16">
      <c r="A16" s="110">
        <v>40351.0</v>
      </c>
      <c r="B16" s="111"/>
      <c r="C16" s="135" t="str">
        <f t="shared" si="2"/>
        <v>setlist</v>
      </c>
      <c r="D16" s="183" t="s">
        <v>2322</v>
      </c>
      <c r="E16" s="183" t="s">
        <v>1004</v>
      </c>
      <c r="F16" s="114" t="s">
        <v>95</v>
      </c>
      <c r="G16" s="114" t="s">
        <v>36</v>
      </c>
      <c r="H16" s="116" t="str">
        <f>HYPERLINK("http://www.mediafire.com/download/2dqb98lx766t8fb/2010-06-22_-_Comcast_Center_-_Mansfield%2C_MA.rar", "download link")</f>
        <v>download link</v>
      </c>
      <c r="I16" s="269" t="s">
        <v>2388</v>
      </c>
    </row>
    <row r="17">
      <c r="A17" s="103">
        <v>40353.0</v>
      </c>
      <c r="B17" s="104"/>
      <c r="C17" s="105" t="str">
        <f t="shared" si="2"/>
        <v>setlist</v>
      </c>
      <c r="D17" s="181" t="s">
        <v>2324</v>
      </c>
      <c r="E17" s="181" t="s">
        <v>2070</v>
      </c>
      <c r="F17" s="107" t="s">
        <v>43</v>
      </c>
      <c r="G17" s="107" t="s">
        <v>36</v>
      </c>
      <c r="H17" s="105" t="str">
        <f>HYPERLINK("http://www.mediafire.com/download/hwscu43lg4dp40z/2010-06-24_-_Susquehanna_Bank_Center_-_Camden%2C_NJ.rar", "download link")</f>
        <v>download link</v>
      </c>
      <c r="I17" s="266" t="s">
        <v>2382</v>
      </c>
      <c r="J17" s="260"/>
    </row>
    <row r="18">
      <c r="A18" s="110">
        <v>40354.0</v>
      </c>
      <c r="B18" s="111"/>
      <c r="C18" s="135" t="str">
        <f t="shared" si="2"/>
        <v>setlist</v>
      </c>
      <c r="D18" s="183" t="s">
        <v>2324</v>
      </c>
      <c r="E18" s="183" t="s">
        <v>2070</v>
      </c>
      <c r="F18" s="114" t="s">
        <v>43</v>
      </c>
      <c r="G18" s="114" t="s">
        <v>36</v>
      </c>
      <c r="H18" s="116" t="str">
        <f>HYPERLINK("http://www.mediafire.com/download/tsxgrmpegjiy936/2010-06-25_-_Susquehanna_Bank_Center_-_Camden%2C_NJ.rar", "download link")</f>
        <v>download link</v>
      </c>
      <c r="I18" s="269" t="s">
        <v>2382</v>
      </c>
    </row>
    <row r="19">
      <c r="A19" s="103">
        <v>40355.0</v>
      </c>
      <c r="B19" s="104"/>
      <c r="C19" s="105" t="str">
        <f t="shared" si="2"/>
        <v>setlist</v>
      </c>
      <c r="D19" s="181" t="s">
        <v>1000</v>
      </c>
      <c r="E19" s="181" t="s">
        <v>439</v>
      </c>
      <c r="F19" s="107" t="s">
        <v>397</v>
      </c>
      <c r="G19" s="107" t="s">
        <v>36</v>
      </c>
      <c r="H19" s="105" t="str">
        <f>HYPERLINK("http://www.mediafire.com/download/uv25xlneawc6jvf/2010-06-26_-_Merriweather_Post_Pavilion_-_Columbia%2C_MD.rar", "download link")</f>
        <v>download link</v>
      </c>
      <c r="I19" s="266" t="s">
        <v>2382</v>
      </c>
      <c r="J19" s="260"/>
    </row>
    <row r="20">
      <c r="A20" s="110">
        <v>40356.0</v>
      </c>
      <c r="B20" s="111"/>
      <c r="C20" s="135" t="str">
        <f t="shared" si="2"/>
        <v>setlist</v>
      </c>
      <c r="D20" s="183" t="s">
        <v>1000</v>
      </c>
      <c r="E20" s="183" t="s">
        <v>439</v>
      </c>
      <c r="F20" s="114" t="s">
        <v>397</v>
      </c>
      <c r="G20" s="114" t="s">
        <v>36</v>
      </c>
      <c r="H20" s="116" t="str">
        <f>HYPERLINK("http://www.mediafire.com/download/46k41tec4dgkktw/2010-06-27_-_Merriweather_Post_Pavilion_-_Columbia%2C_MD.rar", "download link")</f>
        <v>download link</v>
      </c>
      <c r="I20" s="269" t="s">
        <v>2380</v>
      </c>
    </row>
    <row r="21">
      <c r="A21" s="103">
        <v>40358.0</v>
      </c>
      <c r="B21" s="104"/>
      <c r="C21" s="105" t="str">
        <f t="shared" si="2"/>
        <v>setlist</v>
      </c>
      <c r="D21" s="181" t="s">
        <v>2389</v>
      </c>
      <c r="E21" s="181" t="s">
        <v>1019</v>
      </c>
      <c r="F21" s="107" t="s">
        <v>129</v>
      </c>
      <c r="G21" s="107" t="s">
        <v>36</v>
      </c>
      <c r="H21" s="105" t="str">
        <f>HYPERLINK("http://www.mediafire.com/download/9z54ec957vwr9bd/2010-06-29_-_CMAC_Performing_Arts_Center_-_Canandaigua%2C_NY.rar", "download link")</f>
        <v>download link</v>
      </c>
      <c r="I21" s="266" t="s">
        <v>2367</v>
      </c>
      <c r="J21" s="260"/>
    </row>
    <row r="22">
      <c r="A22" s="110">
        <v>40360.0</v>
      </c>
      <c r="B22" s="111"/>
      <c r="C22" s="135" t="str">
        <f t="shared" si="2"/>
        <v>setlist</v>
      </c>
      <c r="D22" s="183" t="s">
        <v>2390</v>
      </c>
      <c r="E22" s="183" t="s">
        <v>536</v>
      </c>
      <c r="F22" s="114" t="s">
        <v>443</v>
      </c>
      <c r="G22" s="114" t="s">
        <v>36</v>
      </c>
      <c r="H22" s="116" t="str">
        <f>HYPERLINK("http://www.mediafire.com/download/r0pt6mtlllr12vj/2010-07-01_-_Time_Warner_Cable_Music_Pavilion_at_Walnut_Creek_-_Raleigh%2C_NC.rar", "download link")</f>
        <v>download link</v>
      </c>
      <c r="I22" s="269" t="s">
        <v>2356</v>
      </c>
    </row>
    <row r="23">
      <c r="A23" s="103">
        <v>40361.0</v>
      </c>
      <c r="B23" s="104"/>
      <c r="C23" s="105" t="str">
        <f t="shared" si="2"/>
        <v>setlist</v>
      </c>
      <c r="D23" s="181" t="s">
        <v>2391</v>
      </c>
      <c r="E23" s="181" t="s">
        <v>541</v>
      </c>
      <c r="F23" s="107" t="s">
        <v>443</v>
      </c>
      <c r="G23" s="107" t="s">
        <v>36</v>
      </c>
      <c r="H23" s="105" t="str">
        <f>HYPERLINK("http://www.mediafire.com/download/54mvfzsb2ldb6f9/2010-07-02_-_Verizon_Wireless_Amphitheatre_-_Charlotte%2C_NC.rar", "download link")</f>
        <v>download link</v>
      </c>
      <c r="I23" s="266" t="s">
        <v>2392</v>
      </c>
      <c r="J23" s="260"/>
    </row>
    <row r="24">
      <c r="A24" s="110">
        <v>40362.0</v>
      </c>
      <c r="B24" s="111"/>
      <c r="C24" s="135" t="str">
        <f t="shared" si="2"/>
        <v>setlist</v>
      </c>
      <c r="D24" s="183" t="s">
        <v>2393</v>
      </c>
      <c r="E24" s="183" t="s">
        <v>2394</v>
      </c>
      <c r="F24" s="114" t="s">
        <v>433</v>
      </c>
      <c r="G24" s="114" t="s">
        <v>36</v>
      </c>
      <c r="H24" s="116" t="str">
        <f>HYPERLINK("http://www.mediafire.com/download/23u215wd2q4i641/2010-07-03_-_Verizon_Wireless_Amphitheatre_at_Encore_Park_-_Alpharetta%2C_GA.rar", "download link")</f>
        <v>download link</v>
      </c>
      <c r="I24" s="269" t="s">
        <v>2395</v>
      </c>
    </row>
    <row r="25">
      <c r="A25" s="103">
        <v>40363.0</v>
      </c>
      <c r="B25" s="104"/>
      <c r="C25" s="105" t="str">
        <f t="shared" si="2"/>
        <v>setlist</v>
      </c>
      <c r="D25" s="181" t="s">
        <v>2393</v>
      </c>
      <c r="E25" s="181" t="s">
        <v>2394</v>
      </c>
      <c r="F25" s="107" t="s">
        <v>433</v>
      </c>
      <c r="G25" s="107" t="s">
        <v>36</v>
      </c>
      <c r="H25" s="105" t="str">
        <f>HYPERLINK("http://www.mediafire.com/download/w6x2tbifj6rxuwk/2010-07-04_-_Verizon_Wireless_Amphitheatre_at_Encore_Park_-_Alpharetta%2C_GA.rar", "download link")</f>
        <v>download link</v>
      </c>
      <c r="I25" s="266" t="s">
        <v>2392</v>
      </c>
      <c r="J25" s="260"/>
    </row>
    <row r="26">
      <c r="A26" s="110">
        <v>40395.0</v>
      </c>
      <c r="B26" s="111"/>
      <c r="C26" s="135" t="str">
        <f t="shared" si="2"/>
        <v>setlist</v>
      </c>
      <c r="D26" s="269" t="s">
        <v>1309</v>
      </c>
      <c r="E26" s="183" t="s">
        <v>686</v>
      </c>
      <c r="F26" s="114" t="s">
        <v>679</v>
      </c>
      <c r="G26" s="114" t="s">
        <v>36</v>
      </c>
      <c r="H26" s="116" t="str">
        <f>HYPERLINK("http://www.mediafire.com/download/iwjwtzc32r17xv1/2010-08-05_-_William_Randolph_Hearst_Greek_Theatre_-_Berkeley%2C_CA.rar", "download link")</f>
        <v>download link</v>
      </c>
      <c r="I26" s="269" t="s">
        <v>2380</v>
      </c>
    </row>
    <row r="27">
      <c r="A27" s="103">
        <v>40396.0</v>
      </c>
      <c r="B27" s="104"/>
      <c r="C27" s="105" t="str">
        <f t="shared" si="2"/>
        <v>setlist</v>
      </c>
      <c r="D27" s="266" t="s">
        <v>1309</v>
      </c>
      <c r="E27" s="181" t="s">
        <v>686</v>
      </c>
      <c r="F27" s="107" t="s">
        <v>679</v>
      </c>
      <c r="G27" s="107" t="s">
        <v>36</v>
      </c>
      <c r="H27" s="105" t="str">
        <f>HYPERLINK("http://www.mediafire.com/download/hswnehtdxyae7ec/2010-08-06_-_William_Randolph_Hearst_Greek_Theatre_-_Berkeley%2C_CA.rar", "download link")</f>
        <v>download link</v>
      </c>
      <c r="I27" s="266" t="s">
        <v>2396</v>
      </c>
      <c r="J27" s="260"/>
    </row>
    <row r="28">
      <c r="A28" s="110">
        <v>40397.0</v>
      </c>
      <c r="B28" s="111"/>
      <c r="C28" s="135" t="str">
        <f t="shared" si="2"/>
        <v>setlist</v>
      </c>
      <c r="D28" s="269" t="s">
        <v>1309</v>
      </c>
      <c r="E28" s="183" t="s">
        <v>686</v>
      </c>
      <c r="F28" s="114" t="s">
        <v>679</v>
      </c>
      <c r="G28" s="114" t="s">
        <v>36</v>
      </c>
      <c r="H28" s="116" t="str">
        <f>HYPERLINK("http://www.mediafire.com/download/zy93eh1ig2eomc2/2010-08-07_-_William_Randolph_Hearst_Greek_Theatre_-_Berkeley%2C_CA.rar", "download link")</f>
        <v>download link</v>
      </c>
      <c r="I28" s="269" t="s">
        <v>2396</v>
      </c>
    </row>
    <row r="29">
      <c r="A29" s="103">
        <v>40399.0</v>
      </c>
      <c r="B29" s="104"/>
      <c r="C29" s="105" t="str">
        <f t="shared" si="2"/>
        <v>setlist</v>
      </c>
      <c r="D29" s="181" t="s">
        <v>2397</v>
      </c>
      <c r="E29" s="181" t="s">
        <v>202</v>
      </c>
      <c r="F29" s="107" t="s">
        <v>203</v>
      </c>
      <c r="G29" s="107" t="s">
        <v>36</v>
      </c>
      <c r="H29" s="105" t="str">
        <f>HYPERLINK("http://www.mediafire.com/download/q845sa63mmjww4e/2010-08-09_-_Telluride_Town_Park_-_Telluride%2C_CO.rar", "download link")</f>
        <v>download link</v>
      </c>
      <c r="I29" s="266" t="s">
        <v>2396</v>
      </c>
      <c r="J29" s="260"/>
    </row>
    <row r="30">
      <c r="A30" s="110">
        <v>40400.0</v>
      </c>
      <c r="B30" s="111"/>
      <c r="C30" s="135" t="str">
        <f t="shared" si="2"/>
        <v>setlist</v>
      </c>
      <c r="D30" s="183" t="s">
        <v>2397</v>
      </c>
      <c r="E30" s="183" t="s">
        <v>202</v>
      </c>
      <c r="F30" s="114" t="s">
        <v>203</v>
      </c>
      <c r="G30" s="114" t="s">
        <v>36</v>
      </c>
      <c r="H30" s="116" t="str">
        <f>HYPERLINK("http://www.mediafire.com/download/w8u9yd6cxpa4udy/2010-08-10_-_Telluride_Town_Park_-_Telluride%2C_CO.rar", "download link")</f>
        <v>download link</v>
      </c>
      <c r="I30" s="269" t="s">
        <v>2396</v>
      </c>
    </row>
    <row r="31">
      <c r="A31" s="103">
        <v>40402.0</v>
      </c>
      <c r="B31" s="104"/>
      <c r="C31" s="105" t="str">
        <f t="shared" si="2"/>
        <v>setlist</v>
      </c>
      <c r="D31" s="181" t="s">
        <v>2263</v>
      </c>
      <c r="E31" s="181" t="s">
        <v>1579</v>
      </c>
      <c r="F31" s="107" t="s">
        <v>508</v>
      </c>
      <c r="G31" s="107" t="s">
        <v>36</v>
      </c>
      <c r="H31" s="105" t="str">
        <f>HYPERLINK("http://www.mediafire.com/download/u42v9cmxxz6vdea/2010-08-12_-_Verizon_Wireless_Music_Center_-_Noblesville%2C_IN.rar", "download link")</f>
        <v>download link</v>
      </c>
      <c r="I31" s="266" t="s">
        <v>2398</v>
      </c>
      <c r="J31" s="260"/>
    </row>
    <row r="32">
      <c r="A32" s="110">
        <v>40403.0</v>
      </c>
      <c r="B32" s="111"/>
      <c r="C32" s="135" t="str">
        <f t="shared" si="2"/>
        <v>setlist</v>
      </c>
      <c r="D32" s="183" t="s">
        <v>2263</v>
      </c>
      <c r="E32" s="183" t="s">
        <v>1579</v>
      </c>
      <c r="F32" s="114" t="s">
        <v>508</v>
      </c>
      <c r="G32" s="114" t="s">
        <v>36</v>
      </c>
      <c r="H32" s="116" t="str">
        <f>HYPERLINK("http://www.mediafire.com/download/6picuwj54l3k67c/2010-08-13_-_Verizon_Wireless_Music_Center_-_Noblesville%2C_IN.rar", "download link")</f>
        <v>download link</v>
      </c>
      <c r="I32" s="269" t="s">
        <v>2399</v>
      </c>
    </row>
    <row r="33">
      <c r="A33" s="103">
        <v>40404.0</v>
      </c>
      <c r="B33" s="104"/>
      <c r="C33" s="105" t="str">
        <f t="shared" si="2"/>
        <v>setlist</v>
      </c>
      <c r="D33" s="181" t="s">
        <v>1737</v>
      </c>
      <c r="E33" s="181" t="s">
        <v>1738</v>
      </c>
      <c r="F33" s="107" t="s">
        <v>483</v>
      </c>
      <c r="G33" s="107" t="s">
        <v>36</v>
      </c>
      <c r="H33" s="105" t="str">
        <f>HYPERLINK("http://www.mediafire.com/download/r8w50r57xi51b19/2010-08-14_-_Alpine_Valley_Music_Theatre_-_East_Troy%2C_WI.rar", "download link")</f>
        <v>download link</v>
      </c>
      <c r="I33" s="266" t="s">
        <v>2400</v>
      </c>
      <c r="J33" s="260"/>
    </row>
    <row r="34">
      <c r="A34" s="110">
        <v>40405.0</v>
      </c>
      <c r="B34" s="111"/>
      <c r="C34" s="135" t="str">
        <f t="shared" si="2"/>
        <v>setlist</v>
      </c>
      <c r="D34" s="183" t="s">
        <v>1737</v>
      </c>
      <c r="E34" s="183" t="s">
        <v>1738</v>
      </c>
      <c r="F34" s="114" t="s">
        <v>483</v>
      </c>
      <c r="G34" s="114" t="s">
        <v>36</v>
      </c>
      <c r="H34" s="116" t="str">
        <f>HYPERLINK("http://www.mediafire.com/download/6brb2p3iz55q626/2010-08-15_-_Alpine_Valley_Music_Theatre_-_East_Troy%2C_WI.rar", "download link")</f>
        <v>download link</v>
      </c>
      <c r="I34" s="269" t="s">
        <v>2401</v>
      </c>
    </row>
    <row r="35">
      <c r="A35" s="130">
        <v>40407.0</v>
      </c>
      <c r="B35" s="131"/>
      <c r="C35" s="105" t="str">
        <f t="shared" si="2"/>
        <v>setlist</v>
      </c>
      <c r="D35" s="287" t="s">
        <v>2319</v>
      </c>
      <c r="E35" s="287" t="s">
        <v>994</v>
      </c>
      <c r="F35" s="133" t="s">
        <v>129</v>
      </c>
      <c r="G35" s="133" t="s">
        <v>36</v>
      </c>
      <c r="H35" s="105" t="str">
        <f>HYPERLINK("http://www.mediafire.com/download/82fa2tozpd5jxth/2010-08-17_-_Nikon_at_Jones_Beach_Theater_-_Wantagh%2C_NY.rar", "download link")</f>
        <v>download link</v>
      </c>
      <c r="I35" s="288" t="s">
        <v>2314</v>
      </c>
      <c r="J35" s="295"/>
    </row>
    <row r="36">
      <c r="A36" s="202">
        <v>40408.0</v>
      </c>
      <c r="B36" s="78"/>
      <c r="C36" s="166" t="str">
        <f t="shared" si="2"/>
        <v>setlist</v>
      </c>
      <c r="D36" s="257" t="s">
        <v>2319</v>
      </c>
      <c r="E36" s="257" t="s">
        <v>994</v>
      </c>
      <c r="F36" s="205" t="s">
        <v>129</v>
      </c>
      <c r="G36" s="205" t="s">
        <v>36</v>
      </c>
      <c r="H36" s="116" t="str">
        <f>HYPERLINK("http://www.mediafire.com/download/ge1b1esa59evbdu/2010-08-18_-_Nikon_at_Jones_Beach_Theater_-_Wantagh%2C_NY.rar", "download link")</f>
        <v>download link</v>
      </c>
      <c r="I36" s="267" t="s">
        <v>2402</v>
      </c>
      <c r="J36" s="237"/>
    </row>
    <row r="37">
      <c r="A37" s="92"/>
      <c r="B37" s="65"/>
      <c r="C37" s="94"/>
      <c r="D37" s="254" t="s">
        <v>2403</v>
      </c>
      <c r="E37" s="268"/>
      <c r="F37" s="65"/>
      <c r="G37" s="65"/>
      <c r="H37" s="94"/>
      <c r="I37" s="268"/>
      <c r="J37" s="268"/>
    </row>
    <row r="38">
      <c r="A38" s="125">
        <v>40459.0</v>
      </c>
      <c r="B38" s="126"/>
      <c r="C38" s="178" t="str">
        <f t="shared" ref="C38:C52" si="3">HYPERLINK("http://phish.net/setlists/?d="&amp;RIGHT(TEXT(A38,"mm/dd/yyyy"),4)&amp;"-"&amp;LEFT(TEXT(A38,"mm/dd/yyyy"),2)&amp;"-"&amp;MID(TEXT(A38,"mm/dd/yyyy"),4,2), "setlist")</f>
        <v>setlist</v>
      </c>
      <c r="D38" s="255" t="s">
        <v>2404</v>
      </c>
      <c r="E38" s="179" t="s">
        <v>591</v>
      </c>
      <c r="F38" s="127" t="s">
        <v>589</v>
      </c>
      <c r="G38" s="127" t="s">
        <v>36</v>
      </c>
      <c r="H38" s="98" t="str">
        <f>HYPERLINK("http://www.mediafire.com/download/3t1d3wzhylk8tjc/2010-10-08_-_Zilker_Park_-_Austin%2C_TX.rar", "download link")</f>
        <v>download link</v>
      </c>
      <c r="I38" s="255" t="s">
        <v>2405</v>
      </c>
      <c r="J38" s="265"/>
    </row>
    <row r="39">
      <c r="A39" s="103">
        <v>40461.0</v>
      </c>
      <c r="B39" s="104"/>
      <c r="C39" s="105" t="str">
        <f t="shared" si="3"/>
        <v>setlist</v>
      </c>
      <c r="D39" s="181" t="s">
        <v>2406</v>
      </c>
      <c r="E39" s="181" t="s">
        <v>2407</v>
      </c>
      <c r="F39" s="107" t="s">
        <v>203</v>
      </c>
      <c r="G39" s="107" t="s">
        <v>36</v>
      </c>
      <c r="H39" s="105" t="str">
        <f>HYPERLINK("http://www.mediafire.com/download/swae0bd7gedz7ww/2010-10-10_-_1stBank_Center_-_Broomfield%2C_CO.rar", "download link")</f>
        <v>download link</v>
      </c>
      <c r="I39" s="266" t="s">
        <v>2384</v>
      </c>
      <c r="J39" s="260"/>
    </row>
    <row r="40">
      <c r="A40" s="110">
        <v>40462.0</v>
      </c>
      <c r="B40" s="111"/>
      <c r="C40" s="116" t="str">
        <f t="shared" si="3"/>
        <v>setlist</v>
      </c>
      <c r="D40" s="183" t="s">
        <v>2406</v>
      </c>
      <c r="E40" s="183" t="s">
        <v>2407</v>
      </c>
      <c r="F40" s="114" t="s">
        <v>203</v>
      </c>
      <c r="G40" s="114" t="s">
        <v>36</v>
      </c>
      <c r="H40" s="116" t="str">
        <f>HYPERLINK("http://www.mediafire.com/download/w0qk6s6d6dqn60q/2010-10-11_-_1stBank_Center_-_Broomfield%2C_CO.rar", "download link")</f>
        <v>download link</v>
      </c>
      <c r="I40" s="269" t="s">
        <v>2384</v>
      </c>
    </row>
    <row r="41">
      <c r="A41" s="103">
        <v>40463.0</v>
      </c>
      <c r="B41" s="104"/>
      <c r="C41" s="105" t="str">
        <f t="shared" si="3"/>
        <v>setlist</v>
      </c>
      <c r="D41" s="181" t="s">
        <v>2406</v>
      </c>
      <c r="E41" s="181" t="s">
        <v>2407</v>
      </c>
      <c r="F41" s="107" t="s">
        <v>203</v>
      </c>
      <c r="G41" s="107" t="s">
        <v>36</v>
      </c>
      <c r="H41" s="105" t="str">
        <f>HYPERLINK("http://www.mediafire.com/download/rfdn5933uoc65ta/2010-10-12_-_1stBank_Center_-_Broomfield%2C_CO.rar", "download link")</f>
        <v>download link</v>
      </c>
      <c r="I41" s="266" t="s">
        <v>2408</v>
      </c>
      <c r="J41" s="260"/>
    </row>
    <row r="42">
      <c r="A42" s="110">
        <v>40466.0</v>
      </c>
      <c r="B42" s="111"/>
      <c r="C42" s="116" t="str">
        <f t="shared" si="3"/>
        <v>setlist</v>
      </c>
      <c r="D42" s="183" t="s">
        <v>1647</v>
      </c>
      <c r="E42" s="183" t="s">
        <v>429</v>
      </c>
      <c r="F42" s="114" t="s">
        <v>430</v>
      </c>
      <c r="G42" s="114" t="s">
        <v>36</v>
      </c>
      <c r="H42" s="116" t="str">
        <f>HYPERLINK("http://www.mediafire.com/download/sn7t0p983zo2ccu/2010-10-15_-_North_Charleston_Coliseum_-_North_Charleston%2C_SC.rar", "download link")</f>
        <v>download link</v>
      </c>
      <c r="I42" s="269" t="s">
        <v>2356</v>
      </c>
    </row>
    <row r="43">
      <c r="A43" s="103">
        <v>40467.0</v>
      </c>
      <c r="B43" s="104"/>
      <c r="C43" s="105" t="str">
        <f t="shared" si="3"/>
        <v>setlist</v>
      </c>
      <c r="D43" s="181" t="s">
        <v>1647</v>
      </c>
      <c r="E43" s="181" t="s">
        <v>429</v>
      </c>
      <c r="F43" s="107" t="s">
        <v>430</v>
      </c>
      <c r="G43" s="107" t="s">
        <v>36</v>
      </c>
      <c r="H43" s="105" t="str">
        <f>HYPERLINK("http://www.mediafire.com/download/k247n5hach766nx/2010-10-16_-_North_Charleston_Coliseum_-_North_Charleston%2C_SC.rar", "download link")</f>
        <v>download link</v>
      </c>
      <c r="I43" s="266" t="s">
        <v>2356</v>
      </c>
      <c r="J43" s="260"/>
    </row>
    <row r="44">
      <c r="A44" s="110">
        <v>40470.0</v>
      </c>
      <c r="B44" s="111"/>
      <c r="C44" s="116" t="str">
        <f t="shared" si="3"/>
        <v>setlist</v>
      </c>
      <c r="D44" s="183" t="s">
        <v>2409</v>
      </c>
      <c r="E44" s="183" t="s">
        <v>2410</v>
      </c>
      <c r="F44" s="114" t="s">
        <v>257</v>
      </c>
      <c r="G44" s="114" t="s">
        <v>36</v>
      </c>
      <c r="H44" s="116" t="str">
        <f>HYPERLINK("http://www.mediafire.com/download/tfta6z2xs7d0vs2/2010-10-19_-_Augusta_Civic_Center_-_Augusta%2C_ME.rar", "download link")</f>
        <v>download link</v>
      </c>
      <c r="I44" s="269" t="s">
        <v>2411</v>
      </c>
    </row>
    <row r="45">
      <c r="A45" s="103">
        <v>40471.0</v>
      </c>
      <c r="B45" s="104"/>
      <c r="C45" s="105" t="str">
        <f t="shared" si="3"/>
        <v>setlist</v>
      </c>
      <c r="D45" s="181" t="s">
        <v>2412</v>
      </c>
      <c r="E45" s="181" t="s">
        <v>2413</v>
      </c>
      <c r="F45" s="107" t="s">
        <v>129</v>
      </c>
      <c r="G45" s="107" t="s">
        <v>36</v>
      </c>
      <c r="H45" s="105" t="str">
        <f>HYPERLINK("http://www.mediafire.com/download/chx59y464weijk4/2010-10-20_-_Utica_Memorial_Auditorium_-_Utica%2C_NY.rar", "download link")</f>
        <v>download link</v>
      </c>
      <c r="I45" s="266" t="s">
        <v>2414</v>
      </c>
      <c r="J45" s="260"/>
    </row>
    <row r="46">
      <c r="A46" s="110">
        <v>40473.0</v>
      </c>
      <c r="B46" s="111"/>
      <c r="C46" s="116" t="str">
        <f t="shared" si="3"/>
        <v>setlist</v>
      </c>
      <c r="D46" s="183" t="s">
        <v>2415</v>
      </c>
      <c r="E46" s="183" t="s">
        <v>297</v>
      </c>
      <c r="F46" s="114" t="s">
        <v>298</v>
      </c>
      <c r="G46" s="114" t="s">
        <v>36</v>
      </c>
      <c r="H46" s="116" t="str">
        <f>HYPERLINK("http://www.mediafire.com/download/83zq3hhdise3zss/2010-10-22_-_Dunkin_Donuts_Center_-_Providence%2C_RI.rar", "download link")</f>
        <v>download link</v>
      </c>
      <c r="I46" s="269" t="s">
        <v>2416</v>
      </c>
    </row>
    <row r="47">
      <c r="A47" s="103">
        <v>40474.0</v>
      </c>
      <c r="B47" s="104"/>
      <c r="C47" s="105" t="str">
        <f t="shared" si="3"/>
        <v>setlist</v>
      </c>
      <c r="D47" s="181" t="s">
        <v>1333</v>
      </c>
      <c r="E47" s="181" t="s">
        <v>164</v>
      </c>
      <c r="F47" s="107" t="s">
        <v>95</v>
      </c>
      <c r="G47" s="107" t="s">
        <v>36</v>
      </c>
      <c r="H47" s="105" t="str">
        <f>HYPERLINK("http://www.mediafire.com/download/5b36p2c3cgbtl8q/2010-10-23_-_Mullins_Center%2C_University_of_Massachusetts_-_Amherst%2C_MA.rar", "download link")</f>
        <v>download link</v>
      </c>
      <c r="I47" s="266" t="s">
        <v>2392</v>
      </c>
      <c r="J47" s="260"/>
    </row>
    <row r="48">
      <c r="A48" s="110">
        <v>40475.0</v>
      </c>
      <c r="B48" s="111"/>
      <c r="C48" s="116" t="str">
        <f t="shared" si="3"/>
        <v>setlist</v>
      </c>
      <c r="D48" s="183" t="s">
        <v>1333</v>
      </c>
      <c r="E48" s="183" t="s">
        <v>164</v>
      </c>
      <c r="F48" s="114" t="s">
        <v>95</v>
      </c>
      <c r="G48" s="114" t="s">
        <v>36</v>
      </c>
      <c r="H48" s="116" t="str">
        <f>HYPERLINK("http://www.mediafire.com/download/12l24ajhodvhhsp/2010-10-24_-_Mullins_Center%2C_University_of_Massachusetts_-_Amherst%2C_MA.rar", "download link")</f>
        <v>download link</v>
      </c>
      <c r="I48" s="269" t="s">
        <v>2417</v>
      </c>
    </row>
    <row r="49">
      <c r="A49" s="103">
        <v>40477.0</v>
      </c>
      <c r="B49" s="104"/>
      <c r="C49" s="105" t="str">
        <f t="shared" si="3"/>
        <v>setlist</v>
      </c>
      <c r="D49" s="181" t="s">
        <v>2418</v>
      </c>
      <c r="E49" s="181" t="s">
        <v>2332</v>
      </c>
      <c r="F49" s="107" t="s">
        <v>182</v>
      </c>
      <c r="G49" s="107" t="s">
        <v>36</v>
      </c>
      <c r="H49" s="105" t="str">
        <f>HYPERLINK("http://www.mediafire.com/download/sm4u4uofv7g87kx/2010-10-26_-_Verizon_Wireless_Arena_-_Manchester%2C_NH.rar", "download link")</f>
        <v>download link</v>
      </c>
      <c r="I49" s="266" t="s">
        <v>2419</v>
      </c>
      <c r="J49" s="260"/>
    </row>
    <row r="50">
      <c r="A50" s="110">
        <v>40480.0</v>
      </c>
      <c r="B50" s="111"/>
      <c r="C50" s="116" t="str">
        <f t="shared" si="3"/>
        <v>setlist</v>
      </c>
      <c r="D50" s="269" t="s">
        <v>2420</v>
      </c>
      <c r="E50" s="183" t="s">
        <v>2421</v>
      </c>
      <c r="F50" s="114" t="s">
        <v>43</v>
      </c>
      <c r="G50" s="114" t="s">
        <v>36</v>
      </c>
      <c r="H50" s="116" t="str">
        <f>HYPERLINK("http://www.mediafire.com/download/h6h7xeie85z96th/2010-10-29_-_Boardwalk_Hall_-_Atlantic_City%2C_NJ.rar", "download link")</f>
        <v>download link</v>
      </c>
      <c r="I50" s="269" t="s">
        <v>2356</v>
      </c>
    </row>
    <row r="51">
      <c r="A51" s="103">
        <v>40481.0</v>
      </c>
      <c r="B51" s="104"/>
      <c r="C51" s="105" t="str">
        <f t="shared" si="3"/>
        <v>setlist</v>
      </c>
      <c r="D51" s="266" t="s">
        <v>2420</v>
      </c>
      <c r="E51" s="181" t="s">
        <v>2421</v>
      </c>
      <c r="F51" s="107" t="s">
        <v>43</v>
      </c>
      <c r="G51" s="107" t="s">
        <v>36</v>
      </c>
      <c r="H51" s="105" t="str">
        <f>HYPERLINK("http://www.mediafire.com/download/68ovxg21y70n1vg/2010-10-30_-_Boardwalk_Hall_-_Atlantic_City%2C_NJ.rar", "download link")</f>
        <v>download link</v>
      </c>
      <c r="I51" s="266" t="s">
        <v>2356</v>
      </c>
      <c r="J51" s="260"/>
    </row>
    <row r="52">
      <c r="A52" s="202">
        <v>40482.0</v>
      </c>
      <c r="B52" s="78"/>
      <c r="C52" s="166" t="str">
        <f t="shared" si="3"/>
        <v>setlist</v>
      </c>
      <c r="D52" s="267" t="s">
        <v>2420</v>
      </c>
      <c r="E52" s="257" t="s">
        <v>2421</v>
      </c>
      <c r="F52" s="205" t="s">
        <v>43</v>
      </c>
      <c r="G52" s="205" t="s">
        <v>36</v>
      </c>
      <c r="H52" s="116" t="str">
        <f>HYPERLINK("http://www.mediafire.com/download/yeasyy0sjrc0xj0/2010-10-31_-_Boardwalk_Hall_-_Atlantic_City%2C_NJ.rar", "download link")</f>
        <v>download link</v>
      </c>
      <c r="I52" s="267" t="s">
        <v>2356</v>
      </c>
      <c r="J52" s="237"/>
    </row>
    <row r="53">
      <c r="A53" s="92"/>
      <c r="B53" s="65"/>
      <c r="C53" s="296"/>
      <c r="D53" s="254" t="s">
        <v>2422</v>
      </c>
      <c r="E53" s="268"/>
      <c r="F53" s="65"/>
      <c r="G53" s="65"/>
      <c r="H53" s="94"/>
      <c r="I53" s="268"/>
      <c r="J53" s="268"/>
    </row>
    <row r="54">
      <c r="A54" s="125">
        <v>40539.0</v>
      </c>
      <c r="B54" s="126"/>
      <c r="C54" s="178" t="str">
        <f t="shared" ref="C54:C57" si="4">HYPERLINK("http://phish.net/setlists/?d="&amp;RIGHT(TEXT(A54,"mm/dd/yyyy"),4)&amp;"-"&amp;LEFT(TEXT(A54,"mm/dd/yyyy"),2)&amp;"-"&amp;MID(TEXT(A54,"mm/dd/yyyy"),4,2), "setlist")</f>
        <v>setlist</v>
      </c>
      <c r="D54" s="179" t="s">
        <v>2423</v>
      </c>
      <c r="E54" s="179" t="s">
        <v>417</v>
      </c>
      <c r="F54" s="127" t="s">
        <v>95</v>
      </c>
      <c r="G54" s="127" t="s">
        <v>36</v>
      </c>
      <c r="H54" s="98" t="str">
        <f>HYPERLINK("http://www.mediafire.com/download/64uqg20jjg52x7p/2010-12-27_-_DCU_Center_-_Worcester%2C_MA.rar", "download link")</f>
        <v>download link</v>
      </c>
      <c r="I54" s="255" t="s">
        <v>2416</v>
      </c>
      <c r="J54" s="265"/>
    </row>
    <row r="55">
      <c r="A55" s="103">
        <v>40540.0</v>
      </c>
      <c r="B55" s="104"/>
      <c r="C55" s="105" t="str">
        <f t="shared" si="4"/>
        <v>setlist</v>
      </c>
      <c r="D55" s="181" t="s">
        <v>2423</v>
      </c>
      <c r="E55" s="181" t="s">
        <v>417</v>
      </c>
      <c r="F55" s="107" t="s">
        <v>95</v>
      </c>
      <c r="G55" s="107" t="s">
        <v>36</v>
      </c>
      <c r="H55" s="105" t="str">
        <f>HYPERLINK("http://www.mediafire.com/download/q58mugdnbr18ute/2010-12-28_-_DCU_Center_-_Worcester%2C_MA.rar", "download link")</f>
        <v>download link</v>
      </c>
      <c r="I55" s="266" t="s">
        <v>2416</v>
      </c>
      <c r="J55" s="260"/>
    </row>
    <row r="56">
      <c r="A56" s="110">
        <v>40542.0</v>
      </c>
      <c r="B56" s="111"/>
      <c r="C56" s="116" t="str">
        <f t="shared" si="4"/>
        <v>setlist</v>
      </c>
      <c r="D56" s="183" t="s">
        <v>1553</v>
      </c>
      <c r="E56" s="183" t="s">
        <v>162</v>
      </c>
      <c r="F56" s="114" t="s">
        <v>129</v>
      </c>
      <c r="G56" s="114" t="s">
        <v>36</v>
      </c>
      <c r="H56" s="135" t="str">
        <f>HYPERLINK("http://www.mediafire.com/download/9kfwsbv2iicw8at/2010-12-30_-_Madison_Square_Garden_-_New_York%2C_NY.rar", "download link")</f>
        <v>download link</v>
      </c>
      <c r="I56" s="269" t="s">
        <v>2356</v>
      </c>
    </row>
    <row r="57">
      <c r="A57" s="103">
        <v>40543.0</v>
      </c>
      <c r="B57" s="104"/>
      <c r="C57" s="105" t="str">
        <f t="shared" si="4"/>
        <v>setlist</v>
      </c>
      <c r="D57" s="181" t="s">
        <v>1553</v>
      </c>
      <c r="E57" s="181" t="s">
        <v>162</v>
      </c>
      <c r="F57" s="107" t="s">
        <v>129</v>
      </c>
      <c r="G57" s="107" t="s">
        <v>36</v>
      </c>
      <c r="H57" s="105" t="str">
        <f>HYPERLINK("http://www.mediafire.com/download/1654mvk4ks3ilzw/2010-12-31_-_Madison_Square_Garden_-_New_York%2C_NY.rar", "download link")</f>
        <v>download link</v>
      </c>
      <c r="I57" s="266" t="s">
        <v>2356</v>
      </c>
      <c r="J57" s="26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77"/>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86"/>
      <c r="B3" s="87"/>
      <c r="C3" s="87"/>
      <c r="D3" s="3"/>
      <c r="E3" s="3"/>
      <c r="F3" s="87"/>
      <c r="G3" s="87"/>
      <c r="H3" s="294"/>
      <c r="I3" s="3"/>
      <c r="J3" s="3"/>
    </row>
    <row r="4">
      <c r="A4" s="92"/>
      <c r="B4" s="93"/>
      <c r="C4" s="93"/>
      <c r="D4" s="254" t="s">
        <v>2422</v>
      </c>
      <c r="E4" s="238"/>
      <c r="F4" s="93"/>
      <c r="G4" s="93"/>
      <c r="H4" s="164"/>
      <c r="I4" s="238"/>
      <c r="J4" s="238"/>
    </row>
    <row r="5">
      <c r="A5" s="297">
        <v>40544.0</v>
      </c>
      <c r="B5" s="87"/>
      <c r="C5" s="217" t="str">
        <f>HYPERLINK("http://phish.net/setlists/?d="&amp;RIGHT(TEXT(A5,"mm/dd/yyyy"),4)&amp;"-"&amp;LEFT(TEXT(A5,"mm/dd/yyyy"),2)&amp;"-"&amp;MID(TEXT(A5,"mm/dd/yyyy"),4,2), "setlist")</f>
        <v>setlist</v>
      </c>
      <c r="D5" s="298" t="s">
        <v>1553</v>
      </c>
      <c r="E5" s="298" t="s">
        <v>162</v>
      </c>
      <c r="F5" s="299" t="s">
        <v>129</v>
      </c>
      <c r="G5" s="299" t="s">
        <v>36</v>
      </c>
      <c r="H5" s="217" t="str">
        <f>HYPERLINK("http://www.mediafire.com/download/u0qg3pdmrxw59cd/2011-01-01_-_Madison_Square_Garden_-_New_York%2C_NY.rar", "download link")</f>
        <v>download link</v>
      </c>
      <c r="I5" s="300" t="s">
        <v>2356</v>
      </c>
      <c r="J5" s="3"/>
    </row>
    <row r="6">
      <c r="A6" s="92"/>
      <c r="B6" s="93"/>
      <c r="C6" s="94"/>
      <c r="D6" s="254" t="s">
        <v>2424</v>
      </c>
      <c r="E6" s="238"/>
      <c r="F6" s="93"/>
      <c r="G6" s="93"/>
      <c r="H6" s="65"/>
      <c r="I6" s="238"/>
      <c r="J6" s="238"/>
    </row>
    <row r="7">
      <c r="A7" s="125">
        <v>40689.0</v>
      </c>
      <c r="B7" s="127" t="s">
        <v>32</v>
      </c>
      <c r="C7" s="98" t="str">
        <f t="shared" ref="C7:C28" si="1">HYPERLINK("http://phish.net/setlists/?d="&amp;RIGHT(TEXT(A7,"mm/dd/yyyy"),4)&amp;"-"&amp;LEFT(TEXT(A7,"mm/dd/yyyy"),2)&amp;"-"&amp;MID(TEXT(A7,"mm/dd/yyyy"),4,2), "setlist")</f>
        <v>setlist</v>
      </c>
      <c r="D7" s="179" t="s">
        <v>2425</v>
      </c>
      <c r="E7" s="179" t="s">
        <v>2426</v>
      </c>
      <c r="F7" s="127" t="s">
        <v>129</v>
      </c>
      <c r="G7" s="127">
        <v>128.0</v>
      </c>
      <c r="H7" s="178" t="str">
        <f>HYPERLINK("http://www.mediafire.com/download/5cluep33t1i1s3t/2011-05-26_-_Bethel_Woods_Center_for_the_Arts_-_Bethel%2C_NY.rar", "download link")</f>
        <v>download link</v>
      </c>
      <c r="I7" s="255" t="s">
        <v>2427</v>
      </c>
      <c r="J7" s="179" t="s">
        <v>2428</v>
      </c>
    </row>
    <row r="8">
      <c r="A8" s="103">
        <v>40690.0</v>
      </c>
      <c r="B8" s="104"/>
      <c r="C8" s="105" t="str">
        <f t="shared" si="1"/>
        <v>setlist</v>
      </c>
      <c r="D8" s="181" t="s">
        <v>2425</v>
      </c>
      <c r="E8" s="181" t="s">
        <v>2426</v>
      </c>
      <c r="F8" s="107" t="s">
        <v>129</v>
      </c>
      <c r="G8" s="107" t="s">
        <v>36</v>
      </c>
      <c r="H8" s="105" t="str">
        <f>HYPERLINK("http://www.mediafire.com/download/r3ji3qfd7dw60kp/2011-05-27_-_Bethel_Woods_Center_for_the_Arts_-_Bethel%2C_NY.rar", "download link")</f>
        <v>download link</v>
      </c>
      <c r="I8" s="266" t="s">
        <v>2380</v>
      </c>
      <c r="J8" s="260"/>
    </row>
    <row r="9">
      <c r="A9" s="142">
        <v>40691.0</v>
      </c>
      <c r="B9" s="144"/>
      <c r="C9" s="116" t="str">
        <f t="shared" si="1"/>
        <v>setlist</v>
      </c>
      <c r="D9" s="272" t="s">
        <v>2425</v>
      </c>
      <c r="E9" s="272" t="s">
        <v>2426</v>
      </c>
      <c r="F9" s="115" t="s">
        <v>129</v>
      </c>
      <c r="G9" s="115" t="s">
        <v>36</v>
      </c>
      <c r="H9" s="116" t="str">
        <f>HYPERLINK("http://www.mediafire.com/download/561y3hm1q6q6kg6/2011-05-28_-_Bethel_Woods_Center_for_the_Arts_-_Bethel%2C_NY.rar", "download link")</f>
        <v>download link</v>
      </c>
      <c r="I9" s="271" t="s">
        <v>2380</v>
      </c>
      <c r="J9" s="273"/>
    </row>
    <row r="10">
      <c r="A10" s="103">
        <v>40692.0</v>
      </c>
      <c r="B10" s="104"/>
      <c r="C10" s="105" t="str">
        <f t="shared" si="1"/>
        <v>setlist</v>
      </c>
      <c r="D10" s="181" t="s">
        <v>2425</v>
      </c>
      <c r="E10" s="181" t="s">
        <v>2426</v>
      </c>
      <c r="F10" s="107" t="s">
        <v>129</v>
      </c>
      <c r="G10" s="107" t="s">
        <v>36</v>
      </c>
      <c r="H10" s="105" t="str">
        <f>HYPERLINK("http://www.mediafire.com/download/877ceyd0uzyd6d8/2011-05-29_-_Bethel_Woods_Center_for_the_Arts_-_Bethel%2C_NY.rar", "download link")</f>
        <v>download link</v>
      </c>
      <c r="I10" s="266" t="s">
        <v>2380</v>
      </c>
      <c r="J10" s="260"/>
    </row>
    <row r="11">
      <c r="A11" s="142">
        <v>40694.0</v>
      </c>
      <c r="B11" s="144"/>
      <c r="C11" s="116" t="str">
        <f t="shared" si="1"/>
        <v>setlist</v>
      </c>
      <c r="D11" s="272" t="s">
        <v>2072</v>
      </c>
      <c r="E11" s="272" t="s">
        <v>992</v>
      </c>
      <c r="F11" s="115" t="s">
        <v>43</v>
      </c>
      <c r="G11" s="115" t="s">
        <v>36</v>
      </c>
      <c r="H11" s="116" t="str">
        <f>HYPERLINK("http://www.mediafire.com/download/0p9xep16urhr83p/2011-05-31_-_PNC_Bank_Arts_Center_-_Holmdel%2C_NJ.rar", "download link")</f>
        <v>download link</v>
      </c>
      <c r="I11" s="271" t="s">
        <v>2429</v>
      </c>
      <c r="J11" s="273"/>
    </row>
    <row r="12">
      <c r="A12" s="103">
        <v>40695.0</v>
      </c>
      <c r="B12" s="104"/>
      <c r="C12" s="105" t="str">
        <f t="shared" si="1"/>
        <v>setlist</v>
      </c>
      <c r="D12" s="181" t="s">
        <v>2072</v>
      </c>
      <c r="E12" s="181" t="s">
        <v>992</v>
      </c>
      <c r="F12" s="107" t="s">
        <v>43</v>
      </c>
      <c r="G12" s="107" t="s">
        <v>36</v>
      </c>
      <c r="H12" s="105" t="str">
        <f>HYPERLINK("http://www.mediafire.com/download/jvf4me0qyj2t73h/2011-06-01_-_PNC_Bank_Arts_Center_-_Holmdel%2C_NJ.rar", "download link")</f>
        <v>download link</v>
      </c>
      <c r="I12" s="266" t="s">
        <v>2430</v>
      </c>
      <c r="J12" s="260"/>
    </row>
    <row r="13">
      <c r="A13" s="142">
        <v>40697.0</v>
      </c>
      <c r="B13" s="144"/>
      <c r="C13" s="116" t="str">
        <f t="shared" si="1"/>
        <v>setlist</v>
      </c>
      <c r="D13" s="272" t="s">
        <v>2431</v>
      </c>
      <c r="E13" s="272" t="s">
        <v>2432</v>
      </c>
      <c r="F13" s="115" t="s">
        <v>712</v>
      </c>
      <c r="G13" s="115" t="s">
        <v>36</v>
      </c>
      <c r="H13" s="116" t="str">
        <f>HYPERLINK("http://www.mediafire.com/download/3sblo6sr48spgz7/2011-06-03_-_DTE_Energy_Music_Theater_-_Clarkston%2C_MI.rar", "download link")</f>
        <v>download link</v>
      </c>
      <c r="I13" s="271" t="s">
        <v>2380</v>
      </c>
      <c r="J13" s="273"/>
    </row>
    <row r="14">
      <c r="A14" s="103">
        <v>40698.0</v>
      </c>
      <c r="B14" s="104"/>
      <c r="C14" s="105" t="str">
        <f t="shared" si="1"/>
        <v>setlist</v>
      </c>
      <c r="D14" s="181" t="s">
        <v>1023</v>
      </c>
      <c r="E14" s="181" t="s">
        <v>1024</v>
      </c>
      <c r="F14" s="107" t="s">
        <v>472</v>
      </c>
      <c r="G14" s="107" t="s">
        <v>36</v>
      </c>
      <c r="H14" s="105" t="str">
        <f>HYPERLINK("http://www.mediafire.com/download/aa0wxs22itr029i/2011-06-04_-_Blossom_Music_Center_-_Cuyahoga_Falls%2C_OH.rar", "download link")</f>
        <v>download link</v>
      </c>
      <c r="I14" s="266" t="s">
        <v>2380</v>
      </c>
      <c r="J14" s="260"/>
    </row>
    <row r="15">
      <c r="A15" s="142">
        <v>40699.0</v>
      </c>
      <c r="B15" s="144"/>
      <c r="C15" s="116" t="str">
        <f t="shared" si="1"/>
        <v>setlist</v>
      </c>
      <c r="D15" s="272" t="s">
        <v>2208</v>
      </c>
      <c r="E15" s="272" t="s">
        <v>943</v>
      </c>
      <c r="F15" s="115" t="s">
        <v>472</v>
      </c>
      <c r="G15" s="115" t="s">
        <v>36</v>
      </c>
      <c r="H15" s="116" t="str">
        <f>HYPERLINK("http://www.mediafire.com/download/3csv4yopav80bv2/2011-06-05_-_Riverbend_Music_Center_-_Cincinnati%2C_OH.rar", "download link")</f>
        <v>download link</v>
      </c>
      <c r="I15" s="271" t="s">
        <v>2380</v>
      </c>
      <c r="J15" s="273"/>
    </row>
    <row r="16">
      <c r="A16" s="103">
        <v>40701.0</v>
      </c>
      <c r="B16" s="104"/>
      <c r="C16" s="105" t="str">
        <f t="shared" si="1"/>
        <v>setlist</v>
      </c>
      <c r="D16" s="181" t="s">
        <v>2322</v>
      </c>
      <c r="E16" s="181" t="s">
        <v>1004</v>
      </c>
      <c r="F16" s="107" t="s">
        <v>95</v>
      </c>
      <c r="G16" s="107" t="s">
        <v>36</v>
      </c>
      <c r="H16" s="105" t="str">
        <f>HYPERLINK("http://www.mediafire.com/download/vkt56i21ulxolca/2011-06-07_-_Comcast_Center_-_Mansfield%2C_MA.rar", "download link")</f>
        <v>download link</v>
      </c>
      <c r="I16" s="266" t="s">
        <v>2433</v>
      </c>
      <c r="J16" s="260"/>
    </row>
    <row r="17">
      <c r="A17" s="142">
        <v>40702.0</v>
      </c>
      <c r="B17" s="144"/>
      <c r="C17" s="116" t="str">
        <f t="shared" si="1"/>
        <v>setlist</v>
      </c>
      <c r="D17" s="272" t="s">
        <v>1278</v>
      </c>
      <c r="E17" s="272" t="s">
        <v>1279</v>
      </c>
      <c r="F17" s="115" t="s">
        <v>129</v>
      </c>
      <c r="G17" s="115" t="s">
        <v>36</v>
      </c>
      <c r="H17" s="116" t="str">
        <f>HYPERLINK("http://www.mediafire.com/download/hsls7h2l6ov8h31/2011-06-08_-_Darien_Lake_Performing_Arts_Center_-_Darien_Center%2C_NY.rar", "download link")</f>
        <v>download link</v>
      </c>
      <c r="I17" s="271" t="s">
        <v>2385</v>
      </c>
      <c r="J17" s="271" t="s">
        <v>2434</v>
      </c>
    </row>
    <row r="18">
      <c r="A18" s="103">
        <v>40704.0</v>
      </c>
      <c r="B18" s="104"/>
      <c r="C18" s="105" t="str">
        <f t="shared" si="1"/>
        <v>setlist</v>
      </c>
      <c r="D18" s="181" t="s">
        <v>2324</v>
      </c>
      <c r="E18" s="181" t="s">
        <v>2070</v>
      </c>
      <c r="F18" s="107" t="s">
        <v>43</v>
      </c>
      <c r="G18" s="107" t="s">
        <v>36</v>
      </c>
      <c r="H18" s="105" t="str">
        <f>HYPERLINK("http://www.mediafire.com/download/pckk0crjpst0c87/2011-06-10_-_Susquehanna_Bank_Center_-_Camden%2C_NJ.rar", "download link")</f>
        <v>download link</v>
      </c>
      <c r="I18" s="266" t="s">
        <v>2435</v>
      </c>
      <c r="J18" s="260"/>
    </row>
    <row r="19">
      <c r="A19" s="142">
        <v>40705.0</v>
      </c>
      <c r="B19" s="144"/>
      <c r="C19" s="116" t="str">
        <f t="shared" si="1"/>
        <v>setlist</v>
      </c>
      <c r="D19" s="272" t="s">
        <v>1000</v>
      </c>
      <c r="E19" s="272" t="s">
        <v>439</v>
      </c>
      <c r="F19" s="115" t="s">
        <v>397</v>
      </c>
      <c r="G19" s="115" t="s">
        <v>36</v>
      </c>
      <c r="H19" s="116" t="str">
        <f>HYPERLINK("http://www.mediafire.com/download/x6i692nxgbq95z3/2011-06-11_-_Merriweather_Post_Pavillion_-_Columbia%2C_MD.rar", "download link")</f>
        <v>download link</v>
      </c>
      <c r="I19" s="271" t="s">
        <v>2436</v>
      </c>
      <c r="J19" s="273"/>
    </row>
    <row r="20">
      <c r="A20" s="103">
        <v>40706.0</v>
      </c>
      <c r="B20" s="104"/>
      <c r="C20" s="105" t="str">
        <f t="shared" si="1"/>
        <v>setlist</v>
      </c>
      <c r="D20" s="181" t="s">
        <v>1000</v>
      </c>
      <c r="E20" s="181" t="s">
        <v>439</v>
      </c>
      <c r="F20" s="107" t="s">
        <v>397</v>
      </c>
      <c r="G20" s="107" t="s">
        <v>36</v>
      </c>
      <c r="H20" s="105" t="str">
        <f>HYPERLINK("http://www.mediafire.com/download/sv8m0fdmh9k3tt8/2011-06-12_-_Merriweather_Post_Pavillion_-_Columbia%2C_MD.rar", "download link")</f>
        <v>download link</v>
      </c>
      <c r="I20" s="266" t="s">
        <v>2382</v>
      </c>
      <c r="J20" s="260"/>
    </row>
    <row r="21">
      <c r="A21" s="142">
        <v>40708.0</v>
      </c>
      <c r="B21" s="144"/>
      <c r="C21" s="116" t="str">
        <f t="shared" si="1"/>
        <v>setlist</v>
      </c>
      <c r="D21" s="272" t="s">
        <v>2393</v>
      </c>
      <c r="E21" s="272" t="s">
        <v>2394</v>
      </c>
      <c r="F21" s="115" t="s">
        <v>433</v>
      </c>
      <c r="G21" s="115" t="s">
        <v>36</v>
      </c>
      <c r="H21" s="116" t="str">
        <f>HYPERLINK("http://www.mediafire.com/download/onaa5j84ocgya4i/2011-06-14_-_Verizon_Wireless_Amphitheatre_at_Encore_Park_-_Alpharetta%2C_GA.rar", "download link")</f>
        <v>download link</v>
      </c>
      <c r="I21" s="271" t="s">
        <v>2437</v>
      </c>
      <c r="J21" s="273"/>
    </row>
    <row r="22">
      <c r="A22" s="103">
        <v>40709.0</v>
      </c>
      <c r="B22" s="104"/>
      <c r="C22" s="105" t="str">
        <f t="shared" si="1"/>
        <v>setlist</v>
      </c>
      <c r="D22" s="181" t="s">
        <v>2393</v>
      </c>
      <c r="E22" s="181" t="s">
        <v>2394</v>
      </c>
      <c r="F22" s="107" t="s">
        <v>433</v>
      </c>
      <c r="G22" s="107" t="s">
        <v>36</v>
      </c>
      <c r="H22" s="105" t="str">
        <f>HYPERLINK("http://www.mediafire.com/download/f534t8y0n402xbt/2011-06-15_-_Verizon_Wireless_Amphitheatre_at_Encore_Park_-_Alpharetta%2C_GA.rar", "download link")</f>
        <v>download link</v>
      </c>
      <c r="I22" s="266" t="s">
        <v>2380</v>
      </c>
      <c r="J22" s="260"/>
    </row>
    <row r="23">
      <c r="A23" s="142">
        <v>40711.0</v>
      </c>
      <c r="B23" s="144"/>
      <c r="C23" s="116" t="str">
        <f t="shared" si="1"/>
        <v>setlist</v>
      </c>
      <c r="D23" s="271" t="s">
        <v>2266</v>
      </c>
      <c r="E23" s="272" t="s">
        <v>541</v>
      </c>
      <c r="F23" s="115" t="s">
        <v>443</v>
      </c>
      <c r="G23" s="115" t="s">
        <v>36</v>
      </c>
      <c r="H23" s="116" t="str">
        <f>HYPERLINK("http://www.mediafire.com/download/ye2mvyc7dmdkbqy/2011-06-17_-_Verizon_Wireless_Amphitheatre_-_Charlotte_-_Charlotte%2C_NC.rar", "download link")</f>
        <v>download link</v>
      </c>
      <c r="I23" s="271" t="s">
        <v>2438</v>
      </c>
      <c r="J23" s="273"/>
    </row>
    <row r="24">
      <c r="A24" s="103">
        <v>40712.0</v>
      </c>
      <c r="B24" s="104"/>
      <c r="C24" s="105" t="str">
        <f t="shared" si="1"/>
        <v>setlist</v>
      </c>
      <c r="D24" s="181" t="s">
        <v>2390</v>
      </c>
      <c r="E24" s="181" t="s">
        <v>536</v>
      </c>
      <c r="F24" s="107" t="s">
        <v>443</v>
      </c>
      <c r="G24" s="107" t="s">
        <v>36</v>
      </c>
      <c r="H24" s="105" t="str">
        <f>HYPERLINK("http://www.mediafire.com/download/prbvabatk17qvtu/2011-06-18_-_Time_Warner_Cable_Music_Pavilion_at_Walnut_Creek_-_Raleigh%2C_NC.rar", "download link")</f>
        <v>download link</v>
      </c>
      <c r="I24" s="266" t="s">
        <v>2437</v>
      </c>
      <c r="J24" s="260"/>
    </row>
    <row r="25">
      <c r="A25" s="142">
        <v>40713.0</v>
      </c>
      <c r="B25" s="144"/>
      <c r="C25" s="116" t="str">
        <f t="shared" si="1"/>
        <v>setlist</v>
      </c>
      <c r="D25" s="272" t="s">
        <v>2383</v>
      </c>
      <c r="E25" s="272" t="s">
        <v>634</v>
      </c>
      <c r="F25" s="115" t="s">
        <v>446</v>
      </c>
      <c r="G25" s="115" t="s">
        <v>36</v>
      </c>
      <c r="H25" s="116" t="str">
        <f>HYPERLINK("http://www.mediafire.com/download/cl471323qdi9a84/2011-06-19_-_nTelos_Pavilion_-_Portsmouth%2C_VA.rar", "download link")</f>
        <v>download link</v>
      </c>
      <c r="I25" s="271" t="s">
        <v>2437</v>
      </c>
      <c r="J25" s="273"/>
    </row>
    <row r="26">
      <c r="A26" s="103">
        <v>40724.0</v>
      </c>
      <c r="B26" s="107" t="s">
        <v>32</v>
      </c>
      <c r="C26" s="105" t="str">
        <f t="shared" si="1"/>
        <v>setlist</v>
      </c>
      <c r="D26" s="181" t="s">
        <v>2439</v>
      </c>
      <c r="E26" s="181" t="s">
        <v>2440</v>
      </c>
      <c r="F26" s="107" t="s">
        <v>129</v>
      </c>
      <c r="G26" s="107" t="s">
        <v>36</v>
      </c>
      <c r="H26" s="105" t="str">
        <f>HYPERLINK("http://www.mediafire.com/download/qz7b3z7wp15rp3x/2011-06-30_-_Super_Ball_IX_-_Soundcheck_-_Watkins_Glen%2C_NY.rar", "download link")</f>
        <v>download link</v>
      </c>
      <c r="I26" s="266" t="s">
        <v>2441</v>
      </c>
      <c r="J26" s="260"/>
    </row>
    <row r="27">
      <c r="A27" s="142">
        <v>40725.0</v>
      </c>
      <c r="B27" s="144"/>
      <c r="C27" s="116" t="str">
        <f t="shared" si="1"/>
        <v>setlist</v>
      </c>
      <c r="D27" s="272" t="s">
        <v>2442</v>
      </c>
      <c r="E27" s="272" t="s">
        <v>2440</v>
      </c>
      <c r="F27" s="115" t="s">
        <v>129</v>
      </c>
      <c r="G27" s="115" t="s">
        <v>36</v>
      </c>
      <c r="H27" s="116" t="str">
        <f>HYPERLINK("http://www.mediafire.com/download/39kvtgx9n26n7yd/2011-07-01_-_Super_Ball_IX_-_Watkins_Glen_International_-_Watkins_Glen%2C_NY.rar", "download link")</f>
        <v>download link</v>
      </c>
      <c r="I27" s="271" t="s">
        <v>2443</v>
      </c>
      <c r="J27" s="273"/>
    </row>
    <row r="28">
      <c r="A28" s="103">
        <v>40726.0</v>
      </c>
      <c r="B28" s="104"/>
      <c r="C28" s="105" t="str">
        <f t="shared" si="1"/>
        <v>setlist</v>
      </c>
      <c r="D28" s="181" t="s">
        <v>2442</v>
      </c>
      <c r="E28" s="181" t="s">
        <v>2440</v>
      </c>
      <c r="F28" s="107" t="s">
        <v>129</v>
      </c>
      <c r="G28" s="107" t="s">
        <v>36</v>
      </c>
      <c r="H28" s="105" t="str">
        <f>HYPERLINK("http://www.mediafire.com/download/gk10h42x758z3ls/2011-07-02_-_Super_Ball_IX_-_Watkins_Glen_International_-_Watkins_Glen%2C_NY.rar", "download link")</f>
        <v>download link</v>
      </c>
      <c r="I28" s="266" t="s">
        <v>2444</v>
      </c>
      <c r="J28" s="260"/>
    </row>
    <row r="29">
      <c r="A29" s="110">
        <v>40727.0</v>
      </c>
      <c r="B29" s="111"/>
      <c r="C29" s="116" t="str">
        <f>HYPERLINK("http://phish.net/setlists/?d=2011-07-02", "setlist")</f>
        <v>setlist</v>
      </c>
      <c r="D29" s="183" t="s">
        <v>2445</v>
      </c>
      <c r="E29" s="183" t="s">
        <v>2440</v>
      </c>
      <c r="F29" s="114" t="s">
        <v>129</v>
      </c>
      <c r="G29" s="114" t="s">
        <v>36</v>
      </c>
      <c r="H29" s="116" t="str">
        <f>HYPERLINK("http://www.mediafire.com/download/ojb6hvlxzgf1341/2011-07-03_-_Super_Ball_IX_-_Storage_Jam_-_Watkins_Glen%2C_NY.rar", "download link")</f>
        <v>download link</v>
      </c>
      <c r="I29" s="269" t="s">
        <v>2446</v>
      </c>
    </row>
    <row r="30">
      <c r="A30" s="103">
        <v>40727.0</v>
      </c>
      <c r="B30" s="104"/>
      <c r="C30" s="105" t="str">
        <f t="shared" ref="C30:C42" si="2">HYPERLINK("http://phish.net/setlists/?d="&amp;RIGHT(TEXT(A30,"mm/dd/yyyy"),4)&amp;"-"&amp;LEFT(TEXT(A30,"mm/dd/yyyy"),2)&amp;"-"&amp;MID(TEXT(A30,"mm/dd/yyyy"),4,2), "setlist")</f>
        <v>setlist</v>
      </c>
      <c r="D30" s="181" t="s">
        <v>2442</v>
      </c>
      <c r="E30" s="181" t="s">
        <v>2440</v>
      </c>
      <c r="F30" s="107" t="s">
        <v>129</v>
      </c>
      <c r="G30" s="107" t="s">
        <v>36</v>
      </c>
      <c r="H30" s="105" t="str">
        <f>HYPERLINK("http://www.mediafire.com/download/89kq566co248t5p/2011-07-03_-_Super_Ball_IX_-_Watkins_Glen_International_-_Watkins_Glen%2C_NY.rar", "download link")</f>
        <v>download link</v>
      </c>
      <c r="I30" s="266" t="s">
        <v>2447</v>
      </c>
      <c r="J30" s="260"/>
    </row>
    <row r="31">
      <c r="A31" s="142">
        <v>40760.0</v>
      </c>
      <c r="B31" s="144"/>
      <c r="C31" s="116" t="str">
        <f t="shared" si="2"/>
        <v>setlist</v>
      </c>
      <c r="D31" s="272" t="s">
        <v>1918</v>
      </c>
      <c r="E31" s="272" t="s">
        <v>1919</v>
      </c>
      <c r="F31" s="115" t="s">
        <v>701</v>
      </c>
      <c r="G31" s="115" t="s">
        <v>36</v>
      </c>
      <c r="H31" s="116" t="str">
        <f>HYPERLINK("http://www.mediafire.com/download/wmja4xboaa2n7np/2011-08-05_-_Gorge_Amphitheatre_-_George%2C_WA.rar", "download link")</f>
        <v>download link</v>
      </c>
      <c r="I31" s="271" t="s">
        <v>2380</v>
      </c>
      <c r="J31" s="273"/>
    </row>
    <row r="32">
      <c r="A32" s="103">
        <v>40761.0</v>
      </c>
      <c r="B32" s="104"/>
      <c r="C32" s="105" t="str">
        <f t="shared" si="2"/>
        <v>setlist</v>
      </c>
      <c r="D32" s="181" t="s">
        <v>1918</v>
      </c>
      <c r="E32" s="181" t="s">
        <v>1919</v>
      </c>
      <c r="F32" s="107" t="s">
        <v>701</v>
      </c>
      <c r="G32" s="107" t="s">
        <v>36</v>
      </c>
      <c r="H32" s="105" t="str">
        <f>HYPERLINK("http://www.mediafire.com/download/htsb3jbl59pygwc/2011-08-06_-_Gorge_Amphitheatre_-_George%2C_WA.rar", "download link")</f>
        <v>download link</v>
      </c>
      <c r="I32" s="266" t="s">
        <v>2448</v>
      </c>
      <c r="J32" s="260"/>
    </row>
    <row r="33">
      <c r="A33" s="142">
        <v>40763.0</v>
      </c>
      <c r="B33" s="144"/>
      <c r="C33" s="116" t="str">
        <f t="shared" si="2"/>
        <v>setlist</v>
      </c>
      <c r="D33" s="272" t="s">
        <v>2449</v>
      </c>
      <c r="E33" s="272" t="s">
        <v>1163</v>
      </c>
      <c r="F33" s="115" t="s">
        <v>679</v>
      </c>
      <c r="G33" s="115" t="s">
        <v>36</v>
      </c>
      <c r="H33" s="116" t="str">
        <f>HYPERLINK("http://www.mediafire.com/download/u1enk4x6ri5s6y5/2011-08-08_-_Hollywood_Bowl_-_Hollywood%2C_CA.rar", "download link")</f>
        <v>download link</v>
      </c>
      <c r="I33" s="271" t="s">
        <v>2450</v>
      </c>
      <c r="J33" s="273"/>
    </row>
    <row r="34">
      <c r="A34" s="103">
        <v>40764.0</v>
      </c>
      <c r="B34" s="104"/>
      <c r="C34" s="105" t="str">
        <f t="shared" si="2"/>
        <v>setlist</v>
      </c>
      <c r="D34" s="181" t="s">
        <v>2451</v>
      </c>
      <c r="E34" s="181" t="s">
        <v>2452</v>
      </c>
      <c r="F34" s="107" t="s">
        <v>1805</v>
      </c>
      <c r="G34" s="107" t="s">
        <v>36</v>
      </c>
      <c r="H34" s="105" t="str">
        <f>HYPERLINK("http://www.mediafire.com/download/1501f7adcyuqv78/2011-08-09_-_Lake_Tahoe_Outdoor_Arena_at_Harveys_-_Stateline%2C_NV.rar", "download link")</f>
        <v>download link</v>
      </c>
      <c r="I34" s="266" t="s">
        <v>2380</v>
      </c>
      <c r="J34" s="260"/>
    </row>
    <row r="35">
      <c r="A35" s="142">
        <v>40765.0</v>
      </c>
      <c r="B35" s="144"/>
      <c r="C35" s="116" t="str">
        <f t="shared" si="2"/>
        <v>setlist</v>
      </c>
      <c r="D35" s="272" t="s">
        <v>2451</v>
      </c>
      <c r="E35" s="272" t="s">
        <v>2452</v>
      </c>
      <c r="F35" s="115" t="s">
        <v>1805</v>
      </c>
      <c r="G35" s="115" t="s">
        <v>36</v>
      </c>
      <c r="H35" s="116" t="str">
        <f>HYPERLINK("http://www.mediafire.com/download/ntvlakn3ya6xwh3/2011-08-10_-_Lake_Tahoe_Outdoor_Arena_at_Harveys_-_Stateline%2C_NV.rar", "download link")</f>
        <v>download link</v>
      </c>
      <c r="I35" s="271" t="s">
        <v>2380</v>
      </c>
      <c r="J35" s="273"/>
    </row>
    <row r="36">
      <c r="A36" s="103">
        <v>40767.0</v>
      </c>
      <c r="B36" s="104"/>
      <c r="C36" s="105" t="str">
        <f t="shared" si="2"/>
        <v>setlist</v>
      </c>
      <c r="D36" s="181" t="s">
        <v>2453</v>
      </c>
      <c r="E36" s="181" t="s">
        <v>683</v>
      </c>
      <c r="F36" s="107" t="s">
        <v>679</v>
      </c>
      <c r="G36" s="107" t="s">
        <v>36</v>
      </c>
      <c r="H36" s="105" t="str">
        <f>HYPERLINK("http://www.mediafire.com/download/1f21pu873nfbj66/2011-08-12_-_Polo_Fields%2C_Golden_Gate_Park_-_San_Francisco%2C_CA.rar", "download link")</f>
        <v>download link</v>
      </c>
      <c r="I36" s="266" t="s">
        <v>2454</v>
      </c>
      <c r="J36" s="260"/>
    </row>
    <row r="37">
      <c r="A37" s="142">
        <v>40770.0</v>
      </c>
      <c r="B37" s="144"/>
      <c r="C37" s="116" t="str">
        <f t="shared" si="2"/>
        <v>setlist</v>
      </c>
      <c r="D37" s="272" t="s">
        <v>1414</v>
      </c>
      <c r="E37" s="272" t="s">
        <v>479</v>
      </c>
      <c r="F37" s="115" t="s">
        <v>480</v>
      </c>
      <c r="G37" s="115" t="s">
        <v>36</v>
      </c>
      <c r="H37" s="116" t="str">
        <f>HYPERLINK("http://www.mediafire.com/download/f6f26ddpym6pi0v/2011-08-15_-_UIC_Pavilion%2C_University_of_Illinois_-_Chicago%2C_IL.rar", "download link")</f>
        <v>download link</v>
      </c>
      <c r="I37" s="271" t="s">
        <v>2455</v>
      </c>
      <c r="J37" s="273"/>
    </row>
    <row r="38">
      <c r="A38" s="103">
        <v>40771.0</v>
      </c>
      <c r="B38" s="104"/>
      <c r="C38" s="105" t="str">
        <f t="shared" si="2"/>
        <v>setlist</v>
      </c>
      <c r="D38" s="181" t="s">
        <v>1414</v>
      </c>
      <c r="E38" s="181" t="s">
        <v>479</v>
      </c>
      <c r="F38" s="107" t="s">
        <v>480</v>
      </c>
      <c r="G38" s="107" t="s">
        <v>36</v>
      </c>
      <c r="H38" s="105" t="str">
        <f>HYPERLINK("http://www.mediafire.com/download/2xhoh467p5ddozh/2011-08-16_-_UIC_Pavilion%2C_University_of_Illinois_-_Chicago%2C_IL.rar", "download link")</f>
        <v>download link</v>
      </c>
      <c r="I38" s="266" t="s">
        <v>2456</v>
      </c>
      <c r="J38" s="260"/>
    </row>
    <row r="39">
      <c r="A39" s="142">
        <v>40772.0</v>
      </c>
      <c r="B39" s="144"/>
      <c r="C39" s="116" t="str">
        <f t="shared" si="2"/>
        <v>setlist</v>
      </c>
      <c r="D39" s="272" t="s">
        <v>1414</v>
      </c>
      <c r="E39" s="272" t="s">
        <v>479</v>
      </c>
      <c r="F39" s="115" t="s">
        <v>480</v>
      </c>
      <c r="G39" s="115" t="s">
        <v>36</v>
      </c>
      <c r="H39" s="116" t="str">
        <f>HYPERLINK("http://www.mediafire.com/download/7e8b58ah8x5aroa/2011-08-17_-_UIC_Pavilion%2C_University_of_Illinois_-_Chicago%2C_IL.rar", "download link")</f>
        <v>download link</v>
      </c>
      <c r="I39" s="271" t="s">
        <v>2455</v>
      </c>
      <c r="J39" s="273"/>
    </row>
    <row r="40">
      <c r="A40" s="103">
        <v>40788.0</v>
      </c>
      <c r="B40" s="104"/>
      <c r="C40" s="105" t="str">
        <f t="shared" si="2"/>
        <v>setlist</v>
      </c>
      <c r="D40" s="181" t="s">
        <v>2457</v>
      </c>
      <c r="E40" s="181" t="s">
        <v>2458</v>
      </c>
      <c r="F40" s="107" t="s">
        <v>203</v>
      </c>
      <c r="G40" s="107" t="s">
        <v>36</v>
      </c>
      <c r="H40" s="105" t="str">
        <f>HYPERLINK("http://www.mediafire.com/download/nd9hvbr1y0dnluw/2011-09-02_-_Dick%27s_Sporting_Goods_Park_-_Commerce_City%2C_CO.rar", "download link")</f>
        <v>download link</v>
      </c>
      <c r="I40" s="266" t="s">
        <v>2459</v>
      </c>
      <c r="J40" s="260"/>
    </row>
    <row r="41">
      <c r="A41" s="142">
        <v>40789.0</v>
      </c>
      <c r="B41" s="144"/>
      <c r="C41" s="116" t="str">
        <f t="shared" si="2"/>
        <v>setlist</v>
      </c>
      <c r="D41" s="272" t="s">
        <v>2457</v>
      </c>
      <c r="E41" s="272" t="s">
        <v>2458</v>
      </c>
      <c r="F41" s="115" t="s">
        <v>203</v>
      </c>
      <c r="G41" s="115" t="s">
        <v>36</v>
      </c>
      <c r="H41" s="116" t="str">
        <f>HYPERLINK("http://www.mediafire.com/download/05gtlbb4y6tdzd4/2011-09-03_-_Dick%27s_Sporting_Goods_Park_-_Commerce_City%2C_CO.rar", "download link")</f>
        <v>download link</v>
      </c>
      <c r="I41" s="271" t="s">
        <v>2460</v>
      </c>
      <c r="J41" s="271" t="s">
        <v>287</v>
      </c>
    </row>
    <row r="42">
      <c r="A42" s="186">
        <v>40790.0</v>
      </c>
      <c r="B42" s="187"/>
      <c r="C42" s="123" t="str">
        <f t="shared" si="2"/>
        <v>setlist</v>
      </c>
      <c r="D42" s="274" t="s">
        <v>2457</v>
      </c>
      <c r="E42" s="274" t="s">
        <v>2458</v>
      </c>
      <c r="F42" s="120" t="s">
        <v>203</v>
      </c>
      <c r="G42" s="120" t="s">
        <v>36</v>
      </c>
      <c r="H42" s="105" t="str">
        <f>HYPERLINK("http://www.mediafire.com/download/ma817tb69mezek6/2011-09-04_-_Dick%27s_Sporting_Goods_Park_-_Commerce_City%2C_CO.rar", "download link")</f>
        <v>download link</v>
      </c>
      <c r="I42" s="282" t="s">
        <v>2460</v>
      </c>
      <c r="J42" s="282" t="s">
        <v>287</v>
      </c>
    </row>
    <row r="43">
      <c r="A43" s="92"/>
      <c r="B43" s="93"/>
      <c r="C43" s="94"/>
      <c r="D43" s="254" t="s">
        <v>2461</v>
      </c>
      <c r="E43" s="238"/>
      <c r="F43" s="93"/>
      <c r="G43" s="93"/>
      <c r="H43" s="65"/>
      <c r="I43" s="238"/>
      <c r="J43" s="238"/>
    </row>
    <row r="44">
      <c r="A44" s="301">
        <v>40800.0</v>
      </c>
      <c r="B44" s="161"/>
      <c r="C44" s="302" t="str">
        <f>HYPERLINK("http://phish.net/setlists/?d="&amp;RIGHT(TEXT(A44,"mm/dd/yyyy"),4)&amp;"-"&amp;LEFT(TEXT(A44,"mm/dd/yyyy"),2)&amp;"-"&amp;MID(TEXT(A44,"mm/dd/yyyy"),4,2), "setlist")</f>
        <v>setlist</v>
      </c>
      <c r="D44" s="303" t="s">
        <v>2462</v>
      </c>
      <c r="E44" s="303" t="s">
        <v>2463</v>
      </c>
      <c r="F44" s="304" t="s">
        <v>35</v>
      </c>
      <c r="G44" s="304" t="s">
        <v>36</v>
      </c>
      <c r="H44" s="116" t="str">
        <f>HYPERLINK("http://www.mediafire.com/download/3teqzs7gujo2gq9/2011-09-14_-_Champlain_Valley_Exposition_-_Essex_Junction%2C_VT.rar", "download link")</f>
        <v>download link</v>
      </c>
      <c r="I44" s="305" t="s">
        <v>2464</v>
      </c>
      <c r="J44" s="305" t="s">
        <v>287</v>
      </c>
    </row>
    <row r="45">
      <c r="A45" s="92"/>
      <c r="B45" s="93"/>
      <c r="C45" s="94"/>
      <c r="D45" s="254" t="s">
        <v>2465</v>
      </c>
      <c r="E45" s="238"/>
      <c r="F45" s="93"/>
      <c r="G45" s="93"/>
      <c r="H45" s="65"/>
      <c r="I45" s="238"/>
      <c r="J45" s="238"/>
    </row>
    <row r="46">
      <c r="A46" s="190">
        <v>40905.0</v>
      </c>
      <c r="B46" s="241"/>
      <c r="C46" s="178" t="str">
        <f t="shared" ref="C46:C49" si="3">HYPERLINK("http://phish.net/setlists/?d="&amp;RIGHT(TEXT(A46,"mm/dd/yyyy"),4)&amp;"-"&amp;LEFT(TEXT(A46,"mm/dd/yyyy"),2)&amp;"-"&amp;MID(TEXT(A46,"mm/dd/yyyy"),4,2), "setlist")</f>
        <v>setlist</v>
      </c>
      <c r="D46" s="306" t="s">
        <v>1553</v>
      </c>
      <c r="E46" s="306" t="s">
        <v>162</v>
      </c>
      <c r="F46" s="191" t="s">
        <v>129</v>
      </c>
      <c r="G46" s="191" t="s">
        <v>36</v>
      </c>
      <c r="H46" s="116" t="str">
        <f>HYPERLINK("http://www.mediafire.com/download/hl9mmna9dt5vfsw/2011-12-28_-_Madison_Square_Garden_-_New_York%2C_NY.rar", "download link")</f>
        <v>download link</v>
      </c>
      <c r="I46" s="307" t="s">
        <v>2314</v>
      </c>
      <c r="J46" s="308"/>
    </row>
    <row r="47">
      <c r="A47" s="103">
        <v>40906.0</v>
      </c>
      <c r="B47" s="104"/>
      <c r="C47" s="105" t="str">
        <f t="shared" si="3"/>
        <v>setlist</v>
      </c>
      <c r="D47" s="181" t="s">
        <v>1553</v>
      </c>
      <c r="E47" s="181" t="s">
        <v>162</v>
      </c>
      <c r="F47" s="107" t="s">
        <v>129</v>
      </c>
      <c r="G47" s="107" t="s">
        <v>36</v>
      </c>
      <c r="H47" s="105" t="str">
        <f>HYPERLINK("http://www.mediafire.com/download/rbx5c7nf855lbd3/2011-12-29_-_Madison_Square_Garden_-_New_York%2C_NY.rar", "download link")</f>
        <v>download link</v>
      </c>
      <c r="I47" s="266" t="s">
        <v>2314</v>
      </c>
      <c r="J47" s="260"/>
    </row>
    <row r="48">
      <c r="A48" s="142">
        <v>40907.0</v>
      </c>
      <c r="B48" s="144"/>
      <c r="C48" s="116" t="str">
        <f t="shared" si="3"/>
        <v>setlist</v>
      </c>
      <c r="D48" s="272" t="s">
        <v>1553</v>
      </c>
      <c r="E48" s="272" t="s">
        <v>162</v>
      </c>
      <c r="F48" s="115" t="s">
        <v>129</v>
      </c>
      <c r="G48" s="115" t="s">
        <v>36</v>
      </c>
      <c r="H48" s="116" t="str">
        <f>HYPERLINK("http://www.mediafire.com/download/b0dwcuvc410rpgs/2011-12-30_-_Madison_Square_Garden_-_New_York%2C_NY.rar", "download link")</f>
        <v>download link</v>
      </c>
      <c r="I48" s="271" t="s">
        <v>2466</v>
      </c>
      <c r="J48" s="273"/>
    </row>
    <row r="49">
      <c r="A49" s="103">
        <v>40908.0</v>
      </c>
      <c r="B49" s="104"/>
      <c r="C49" s="105" t="str">
        <f t="shared" si="3"/>
        <v>setlist</v>
      </c>
      <c r="D49" s="181" t="s">
        <v>1553</v>
      </c>
      <c r="E49" s="181" t="s">
        <v>162</v>
      </c>
      <c r="F49" s="107" t="s">
        <v>129</v>
      </c>
      <c r="G49" s="107" t="s">
        <v>36</v>
      </c>
      <c r="H49" s="105" t="str">
        <f>HYPERLINK("http://www.mediafire.com/download/f2cupn7wr7kb9op/2011-12-31_-_Madison_Square_Garden_-_New_York%2C_NY.rar", "download link")</f>
        <v>download link</v>
      </c>
      <c r="I49" s="266" t="s">
        <v>2314</v>
      </c>
      <c r="J49" s="26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54" t="s">
        <v>2145</v>
      </c>
    </row>
    <row r="3">
      <c r="A3" s="86"/>
      <c r="B3" s="87"/>
      <c r="C3" s="87"/>
      <c r="D3" s="3"/>
      <c r="E3" s="3"/>
      <c r="F3" s="87"/>
      <c r="G3" s="87"/>
      <c r="H3" s="294"/>
      <c r="I3" s="3"/>
      <c r="J3" s="3"/>
    </row>
    <row r="4">
      <c r="A4" s="92"/>
      <c r="B4" s="93"/>
      <c r="C4" s="93"/>
      <c r="D4" s="254" t="s">
        <v>2468</v>
      </c>
      <c r="E4" s="238"/>
      <c r="F4" s="93"/>
      <c r="G4" s="93"/>
      <c r="H4" s="164"/>
      <c r="I4" s="238"/>
      <c r="J4" s="238"/>
    </row>
    <row r="5">
      <c r="A5" s="190">
        <v>41067.0</v>
      </c>
      <c r="B5" s="241"/>
      <c r="C5" s="98" t="str">
        <f t="shared" ref="C5:C37" si="1">HYPERLINK("http://phish.net/setlists/?d="&amp;RIGHT(TEXT(A5,"mm/dd/yyyy"),4)&amp;"-"&amp;LEFT(TEXT(A5,"mm/dd/yyyy"),2)&amp;"-"&amp;MID(TEXT(A5,"mm/dd/yyyy"),4,2), "setlist")</f>
        <v>setlist</v>
      </c>
      <c r="D5" s="306" t="s">
        <v>2423</v>
      </c>
      <c r="E5" s="306" t="s">
        <v>417</v>
      </c>
      <c r="F5" s="191" t="s">
        <v>95</v>
      </c>
      <c r="G5" s="191" t="s">
        <v>36</v>
      </c>
      <c r="H5" s="178" t="str">
        <f>HYPERLINK("http://www.mediafire.com/download/6a7fehmf68ziz70/2012-06-07_-_DCU_Center_-_Worcester%2C_MA.rar", "download link")</f>
        <v>download link</v>
      </c>
      <c r="I5" s="307" t="s">
        <v>2314</v>
      </c>
      <c r="J5" s="307"/>
    </row>
    <row r="6">
      <c r="A6" s="130">
        <v>41068.0</v>
      </c>
      <c r="B6" s="310"/>
      <c r="C6" s="105" t="str">
        <f t="shared" si="1"/>
        <v>setlist</v>
      </c>
      <c r="D6" s="181" t="s">
        <v>2423</v>
      </c>
      <c r="E6" s="181" t="s">
        <v>417</v>
      </c>
      <c r="F6" s="107" t="s">
        <v>95</v>
      </c>
      <c r="G6" s="133" t="s">
        <v>36</v>
      </c>
      <c r="H6" s="105" t="str">
        <f>HYPERLINK("http://www.mediafire.com/download/bq1brh14406djgx/2012-06-08_-_DCU_Center_-_Worcester%2C_MA.rar", "download link")</f>
        <v>download link</v>
      </c>
      <c r="I6" s="288" t="s">
        <v>2314</v>
      </c>
      <c r="J6" s="288"/>
    </row>
    <row r="7">
      <c r="A7" s="142">
        <v>41070.0</v>
      </c>
      <c r="B7" s="144"/>
      <c r="C7" s="135" t="str">
        <f t="shared" si="1"/>
        <v>setlist</v>
      </c>
      <c r="D7" s="272" t="s">
        <v>2333</v>
      </c>
      <c r="E7" s="272" t="s">
        <v>2332</v>
      </c>
      <c r="F7" s="115" t="s">
        <v>650</v>
      </c>
      <c r="G7" s="115" t="s">
        <v>36</v>
      </c>
      <c r="H7" s="116" t="str">
        <f>HYPERLINK("http://www.mediafire.com/download/f8f8nb08jfz8w6g/2012-06-10_-_Bonnaroo_Music_%26_Arts_Festival_-_Manchester%2C_TN.rar", "download link")</f>
        <v>download link</v>
      </c>
      <c r="I7" s="311" t="s">
        <v>2469</v>
      </c>
      <c r="J7" s="311"/>
    </row>
    <row r="8">
      <c r="A8" s="103">
        <v>41075.0</v>
      </c>
      <c r="B8" s="104"/>
      <c r="C8" s="105" t="str">
        <f t="shared" si="1"/>
        <v>setlist</v>
      </c>
      <c r="D8" s="181" t="s">
        <v>2470</v>
      </c>
      <c r="E8" s="181" t="s">
        <v>2421</v>
      </c>
      <c r="F8" s="107" t="s">
        <v>43</v>
      </c>
      <c r="G8" s="107" t="s">
        <v>36</v>
      </c>
      <c r="H8" s="105" t="str">
        <f>HYPERLINK("http://www.mediafire.com/download/5f975iv8jmv3kbt/2012-06-15_-_Bader_Field_-_Atlantic_City%2C_NJ.rar", "download link")</f>
        <v>download link</v>
      </c>
      <c r="I8" s="312" t="s">
        <v>2471</v>
      </c>
      <c r="J8" s="312"/>
    </row>
    <row r="9">
      <c r="A9" s="142">
        <v>41076.0</v>
      </c>
      <c r="B9" s="144"/>
      <c r="C9" s="135" t="str">
        <f t="shared" si="1"/>
        <v>setlist</v>
      </c>
      <c r="D9" s="272" t="s">
        <v>2470</v>
      </c>
      <c r="E9" s="272" t="s">
        <v>2421</v>
      </c>
      <c r="F9" s="115" t="s">
        <v>43</v>
      </c>
      <c r="G9" s="115" t="s">
        <v>36</v>
      </c>
      <c r="H9" s="116" t="str">
        <f>HYPERLINK("http://www.mediafire.com/download/xvraymjrbw1uep9/2012-06-16_-_Bader_Field_-_Atlantic_City%2C_NJ.rar", "download link")</f>
        <v>download link</v>
      </c>
      <c r="I9" s="311" t="s">
        <v>2471</v>
      </c>
      <c r="J9" s="313"/>
    </row>
    <row r="10">
      <c r="A10" s="103">
        <v>41077.0</v>
      </c>
      <c r="B10" s="104"/>
      <c r="C10" s="105" t="str">
        <f t="shared" si="1"/>
        <v>setlist</v>
      </c>
      <c r="D10" s="181" t="s">
        <v>2470</v>
      </c>
      <c r="E10" s="181" t="s">
        <v>2421</v>
      </c>
      <c r="F10" s="107" t="s">
        <v>43</v>
      </c>
      <c r="G10" s="107" t="s">
        <v>36</v>
      </c>
      <c r="H10" s="105" t="str">
        <f>HYPERLINK("http://www.mediafire.com/download/xnycmaxooyv6um7/2012-06-17_-_Bader_Field_-_Atlantic_City%2C_NJ.rar", "download link")</f>
        <v>download link</v>
      </c>
      <c r="I10" s="312" t="s">
        <v>2472</v>
      </c>
      <c r="J10" s="312" t="s">
        <v>287</v>
      </c>
    </row>
    <row r="11">
      <c r="A11" s="142">
        <v>41079.0</v>
      </c>
      <c r="B11" s="144"/>
      <c r="C11" s="135" t="str">
        <f t="shared" si="1"/>
        <v>setlist</v>
      </c>
      <c r="D11" s="272" t="s">
        <v>2383</v>
      </c>
      <c r="E11" s="272" t="s">
        <v>634</v>
      </c>
      <c r="F11" s="115" t="s">
        <v>446</v>
      </c>
      <c r="G11" s="115" t="s">
        <v>36</v>
      </c>
      <c r="H11" s="116" t="str">
        <f>HYPERLINK("http://www.mediafire.com/download/c5pbhf0bqyvetsx/2012-06-19_-_nTelos_Pavilion_-_Portsmouth%2C_VA.rar", "download link")</f>
        <v>download link</v>
      </c>
      <c r="I11" s="311" t="s">
        <v>2471</v>
      </c>
      <c r="J11" s="313"/>
    </row>
    <row r="12">
      <c r="A12" s="103">
        <v>41080.0</v>
      </c>
      <c r="B12" s="104"/>
      <c r="C12" s="105" t="str">
        <f t="shared" si="1"/>
        <v>setlist</v>
      </c>
      <c r="D12" s="181" t="s">
        <v>2383</v>
      </c>
      <c r="E12" s="181" t="s">
        <v>634</v>
      </c>
      <c r="F12" s="107" t="s">
        <v>446</v>
      </c>
      <c r="G12" s="107" t="s">
        <v>36</v>
      </c>
      <c r="H12" s="105" t="str">
        <f>HYPERLINK("http://www.mediafire.com/download/tkx1d3py4j6902y/2012-06-20_-_nTelos_Pavilion_-_Portsmouth%2C_VA.rar", "download link")</f>
        <v>download link</v>
      </c>
      <c r="I12" s="312" t="s">
        <v>2471</v>
      </c>
      <c r="J12" s="314"/>
    </row>
    <row r="13">
      <c r="A13" s="142">
        <v>41082.0</v>
      </c>
      <c r="B13" s="144"/>
      <c r="C13" s="135" t="str">
        <f t="shared" si="1"/>
        <v>setlist</v>
      </c>
      <c r="D13" s="272" t="s">
        <v>2208</v>
      </c>
      <c r="E13" s="272" t="s">
        <v>943</v>
      </c>
      <c r="F13" s="115" t="s">
        <v>472</v>
      </c>
      <c r="G13" s="115" t="s">
        <v>36</v>
      </c>
      <c r="H13" s="116" t="str">
        <f>HYPERLINK("http://www.mediafire.com/download/g6pvbqw9f48r96w/2012-06-22_-_Riverbend_Music_Center_-_Cincinnati%2C_OH.rar", "download link")</f>
        <v>download link</v>
      </c>
      <c r="I13" s="311" t="s">
        <v>2473</v>
      </c>
      <c r="J13" s="313"/>
    </row>
    <row r="14">
      <c r="A14" s="103">
        <v>41083.0</v>
      </c>
      <c r="B14" s="104"/>
      <c r="C14" s="105" t="str">
        <f t="shared" si="1"/>
        <v>setlist</v>
      </c>
      <c r="D14" s="181" t="s">
        <v>2474</v>
      </c>
      <c r="E14" s="181" t="s">
        <v>1926</v>
      </c>
      <c r="F14" s="107" t="s">
        <v>212</v>
      </c>
      <c r="G14" s="107" t="s">
        <v>36</v>
      </c>
      <c r="H14" s="105" t="str">
        <f>HYPERLINK("http://www.mediafire.com/download/yh33ychixlfwqy4/2012-06-23_-_First_Niagra_Pavilion_-_Burgettstown%2C_PA.rar", "download link")</f>
        <v>download link</v>
      </c>
      <c r="I14" s="312" t="s">
        <v>2475</v>
      </c>
      <c r="J14" s="314"/>
    </row>
    <row r="15">
      <c r="A15" s="142">
        <v>41084.0</v>
      </c>
      <c r="B15" s="144"/>
      <c r="C15" s="135" t="str">
        <f t="shared" si="1"/>
        <v>setlist</v>
      </c>
      <c r="D15" s="272" t="s">
        <v>1023</v>
      </c>
      <c r="E15" s="272" t="s">
        <v>1024</v>
      </c>
      <c r="F15" s="115" t="s">
        <v>472</v>
      </c>
      <c r="G15" s="115" t="s">
        <v>36</v>
      </c>
      <c r="H15" s="116" t="str">
        <f>HYPERLINK("http://www.mediafire.com/download/oc3f8rvt8a9q91e/2012-06-24_-_Blossom_Music_Center_-_Cuyahoga_Falls%2C_OH.rar", "download link")</f>
        <v>download link</v>
      </c>
      <c r="I15" s="311" t="s">
        <v>2475</v>
      </c>
      <c r="J15" s="313"/>
    </row>
    <row r="16">
      <c r="A16" s="103">
        <v>41088.0</v>
      </c>
      <c r="B16" s="104"/>
      <c r="C16" s="105" t="str">
        <f t="shared" si="1"/>
        <v>setlist</v>
      </c>
      <c r="D16" s="181" t="s">
        <v>2476</v>
      </c>
      <c r="E16" s="181" t="s">
        <v>1579</v>
      </c>
      <c r="F16" s="107" t="s">
        <v>508</v>
      </c>
      <c r="G16" s="107" t="s">
        <v>36</v>
      </c>
      <c r="H16" s="105" t="str">
        <f>HYPERLINK("http://www.mediafire.com/download/o91pxoa719gfuwj/2012-06-28_-_Klipsch_Music_Center_-_Noblesville%2C_IN.rar", "download link")</f>
        <v>download link</v>
      </c>
      <c r="I16" s="312" t="s">
        <v>2477</v>
      </c>
      <c r="J16" s="314"/>
    </row>
    <row r="17">
      <c r="A17" s="142">
        <v>41089.0</v>
      </c>
      <c r="B17" s="144"/>
      <c r="C17" s="135" t="str">
        <f t="shared" si="1"/>
        <v>setlist</v>
      </c>
      <c r="D17" s="272" t="s">
        <v>2476</v>
      </c>
      <c r="E17" s="272" t="s">
        <v>1579</v>
      </c>
      <c r="F17" s="115" t="s">
        <v>508</v>
      </c>
      <c r="G17" s="115" t="s">
        <v>36</v>
      </c>
      <c r="H17" s="116" t="str">
        <f>HYPERLINK("http://www.mediafire.com/download/lpffyt66pb2m77f/2012-06-29_-_Klipsch_Music_Center_-_Noblesville%2C_IN.rar", "download link")</f>
        <v>download link</v>
      </c>
      <c r="I17" s="311" t="s">
        <v>2477</v>
      </c>
      <c r="J17" s="313"/>
    </row>
    <row r="18">
      <c r="A18" s="103">
        <v>41090.0</v>
      </c>
      <c r="B18" s="104"/>
      <c r="C18" s="105" t="str">
        <f t="shared" si="1"/>
        <v>setlist</v>
      </c>
      <c r="D18" s="181" t="s">
        <v>1737</v>
      </c>
      <c r="E18" s="181" t="s">
        <v>1738</v>
      </c>
      <c r="F18" s="107" t="s">
        <v>483</v>
      </c>
      <c r="G18" s="107" t="s">
        <v>36</v>
      </c>
      <c r="H18" s="105" t="str">
        <f>HYPERLINK("http://www.mediafire.com/download/kaux0qc6e4c8dm5/2012-06-30_-_Alpine_Valley_Music_Theatre_-_East_Troy%2C_WI.rar", "download link")</f>
        <v>download link</v>
      </c>
      <c r="I18" s="312" t="s">
        <v>2477</v>
      </c>
      <c r="J18" s="314"/>
    </row>
    <row r="19">
      <c r="A19" s="142">
        <v>41091.0</v>
      </c>
      <c r="B19" s="144"/>
      <c r="C19" s="135" t="str">
        <f t="shared" si="1"/>
        <v>setlist</v>
      </c>
      <c r="D19" s="272" t="s">
        <v>1737</v>
      </c>
      <c r="E19" s="272" t="s">
        <v>1738</v>
      </c>
      <c r="F19" s="115" t="s">
        <v>483</v>
      </c>
      <c r="G19" s="115" t="s">
        <v>36</v>
      </c>
      <c r="H19" s="116" t="str">
        <f>HYPERLINK("http://www.mediafire.com/download/tv6uhg6o71pbh7m/2012-07-01_-_Alpine_Valley_Music_Theatre_-_East_Troy%2C_WI.rar", "download link")</f>
        <v>download link</v>
      </c>
      <c r="I19" s="311" t="s">
        <v>2477</v>
      </c>
      <c r="J19" s="313"/>
    </row>
    <row r="20">
      <c r="A20" s="103">
        <v>41093.0</v>
      </c>
      <c r="B20" s="104"/>
      <c r="C20" s="105" t="str">
        <f t="shared" si="1"/>
        <v>setlist</v>
      </c>
      <c r="D20" s="181" t="s">
        <v>2319</v>
      </c>
      <c r="E20" s="181" t="s">
        <v>994</v>
      </c>
      <c r="F20" s="107" t="s">
        <v>129</v>
      </c>
      <c r="G20" s="107" t="s">
        <v>36</v>
      </c>
      <c r="H20" s="105" t="str">
        <f>HYPERLINK("http://www.mediafire.com/download/zbhd5fh0wag3fw8/2012-07-03_-_Nikon_at_Jones_Beach_Theater_-_Wantagh%2C_NY.rar", "download link")</f>
        <v>download link</v>
      </c>
      <c r="I20" s="312" t="s">
        <v>2367</v>
      </c>
      <c r="J20" s="314"/>
    </row>
    <row r="21">
      <c r="A21" s="142">
        <v>41094.0</v>
      </c>
      <c r="B21" s="144"/>
      <c r="C21" s="135" t="str">
        <f t="shared" si="1"/>
        <v>setlist</v>
      </c>
      <c r="D21" s="272" t="s">
        <v>2319</v>
      </c>
      <c r="E21" s="272" t="s">
        <v>994</v>
      </c>
      <c r="F21" s="115" t="s">
        <v>129</v>
      </c>
      <c r="G21" s="115" t="s">
        <v>36</v>
      </c>
      <c r="H21" s="116" t="str">
        <f>HYPERLINK("http://www.mediafire.com/download/whwdwb86c2spc2j/2012-07-04_-_Nikon_at_Jones_Beach_Theater_-_Wantagh%2C_NY.rar", "download link")</f>
        <v>download link</v>
      </c>
      <c r="I21" s="311" t="s">
        <v>2478</v>
      </c>
      <c r="J21" s="313"/>
    </row>
    <row r="22">
      <c r="A22" s="103">
        <v>41096.0</v>
      </c>
      <c r="B22" s="104"/>
      <c r="C22" s="105" t="str">
        <f t="shared" si="1"/>
        <v>setlist</v>
      </c>
      <c r="D22" s="181" t="s">
        <v>1015</v>
      </c>
      <c r="E22" s="181" t="s">
        <v>465</v>
      </c>
      <c r="F22" s="107" t="s">
        <v>129</v>
      </c>
      <c r="G22" s="107" t="s">
        <v>36</v>
      </c>
      <c r="H22" s="105" t="str">
        <f>HYPERLINK("http://www.mediafire.com/download/b9s241jy2056oxi/2012-07-06_-_Saratoga_Performing_Arts_Center_-_Saratoga_Springs%2C_NY.rar", "download link")</f>
        <v>download link</v>
      </c>
      <c r="I22" s="312" t="s">
        <v>2367</v>
      </c>
      <c r="J22" s="314"/>
    </row>
    <row r="23">
      <c r="A23" s="142">
        <v>41097.0</v>
      </c>
      <c r="B23" s="144"/>
      <c r="C23" s="135" t="str">
        <f t="shared" si="1"/>
        <v>setlist</v>
      </c>
      <c r="D23" s="272" t="s">
        <v>1015</v>
      </c>
      <c r="E23" s="272" t="s">
        <v>465</v>
      </c>
      <c r="F23" s="115" t="s">
        <v>129</v>
      </c>
      <c r="G23" s="115" t="s">
        <v>36</v>
      </c>
      <c r="H23" s="116" t="str">
        <f>HYPERLINK("http://www.mediafire.com/download/aapkuivszt5du53/2012-07-07_-_Saratoga_Performing_Arts_Center_-_Saratoga_Springs%2C_NY.rar", "download link")</f>
        <v>download link</v>
      </c>
      <c r="I23" s="311" t="s">
        <v>2367</v>
      </c>
      <c r="J23" s="313"/>
    </row>
    <row r="24">
      <c r="A24" s="103">
        <v>41098.0</v>
      </c>
      <c r="B24" s="104"/>
      <c r="C24" s="105" t="str">
        <f t="shared" si="1"/>
        <v>setlist</v>
      </c>
      <c r="D24" s="181" t="s">
        <v>1015</v>
      </c>
      <c r="E24" s="181" t="s">
        <v>465</v>
      </c>
      <c r="F24" s="107" t="s">
        <v>129</v>
      </c>
      <c r="G24" s="107" t="s">
        <v>36</v>
      </c>
      <c r="H24" s="105" t="str">
        <f>HYPERLINK("http://www.mediafire.com/download/dxrs8tjthg04cr7/2012-07-08_-_Saratoga_Performing_Arts_Center_-_Saratoga_Springs%2C_NY.rar", "download link")</f>
        <v>download link</v>
      </c>
      <c r="I24" s="312" t="s">
        <v>2478</v>
      </c>
      <c r="J24" s="314"/>
    </row>
    <row r="25">
      <c r="A25" s="142">
        <v>41136.0</v>
      </c>
      <c r="B25" s="144"/>
      <c r="C25" s="135" t="str">
        <f t="shared" si="1"/>
        <v>setlist</v>
      </c>
      <c r="D25" s="272" t="s">
        <v>2479</v>
      </c>
      <c r="E25" s="272" t="s">
        <v>2480</v>
      </c>
      <c r="F25" s="115" t="s">
        <v>679</v>
      </c>
      <c r="G25" s="115" t="s">
        <v>36</v>
      </c>
      <c r="H25" s="116" t="str">
        <f>HYPERLINK("http://www.mediafire.com/download/q07zuyks3tmgtto/2012-08-15_-_Long_Beach_Arena_-_Long_Beach%2C_CA.rar", "download link")</f>
        <v>download link</v>
      </c>
      <c r="I25" s="311" t="s">
        <v>2471</v>
      </c>
      <c r="J25" s="313"/>
    </row>
    <row r="26">
      <c r="A26" s="103">
        <v>41138.0</v>
      </c>
      <c r="B26" s="104"/>
      <c r="C26" s="105" t="str">
        <f t="shared" si="1"/>
        <v>setlist</v>
      </c>
      <c r="D26" s="181" t="s">
        <v>2481</v>
      </c>
      <c r="E26" s="181" t="s">
        <v>2482</v>
      </c>
      <c r="F26" s="107" t="s">
        <v>679</v>
      </c>
      <c r="G26" s="107" t="s">
        <v>36</v>
      </c>
      <c r="H26" s="105" t="str">
        <f>HYPERLINK("http://www.mediafire.com/download/wkt1fvqte364ye8/2012-08-17_-_Bill_Graham_Civic_Auditorium_-_San_Francisco%2C_CA.rar", "download link")</f>
        <v>download link</v>
      </c>
      <c r="I26" s="312" t="s">
        <v>2483</v>
      </c>
      <c r="J26" s="314"/>
    </row>
    <row r="27">
      <c r="A27" s="142">
        <v>41139.0</v>
      </c>
      <c r="B27" s="144"/>
      <c r="C27" s="135" t="str">
        <f t="shared" si="1"/>
        <v>setlist</v>
      </c>
      <c r="D27" s="272" t="s">
        <v>2481</v>
      </c>
      <c r="E27" s="272" t="s">
        <v>2482</v>
      </c>
      <c r="F27" s="115" t="s">
        <v>679</v>
      </c>
      <c r="G27" s="115" t="s">
        <v>36</v>
      </c>
      <c r="H27" s="116" t="str">
        <f>HYPERLINK("http://www.mediafire.com/download/e1fylgkctrox44r/2012-08-18_-_Bill_Graham_Civic_Auditorium_-_San_Francisco%2C_CA.rar", "download link")</f>
        <v>download link</v>
      </c>
      <c r="I27" s="311" t="s">
        <v>2471</v>
      </c>
      <c r="J27" s="313"/>
    </row>
    <row r="28">
      <c r="A28" s="103">
        <v>41140.0</v>
      </c>
      <c r="B28" s="104"/>
      <c r="C28" s="105" t="str">
        <f t="shared" si="1"/>
        <v>setlist</v>
      </c>
      <c r="D28" s="181" t="s">
        <v>2481</v>
      </c>
      <c r="E28" s="181" t="s">
        <v>2482</v>
      </c>
      <c r="F28" s="107" t="s">
        <v>679</v>
      </c>
      <c r="G28" s="107" t="s">
        <v>36</v>
      </c>
      <c r="H28" s="105" t="str">
        <f>HYPERLINK("http://www.mediafire.com/download/h288kms85vhbi90/2012-08-19_-_Bill_Graham_Civic_Auditorium_-_San_Francisco%2C_CA.rar", "download link")</f>
        <v>download link</v>
      </c>
      <c r="I28" s="312" t="s">
        <v>2471</v>
      </c>
      <c r="J28" s="314"/>
    </row>
    <row r="29">
      <c r="A29" s="142">
        <v>41143.0</v>
      </c>
      <c r="B29" s="144"/>
      <c r="C29" s="135" t="str">
        <f t="shared" si="1"/>
        <v>setlist</v>
      </c>
      <c r="D29" s="272" t="s">
        <v>2484</v>
      </c>
      <c r="E29" s="272" t="s">
        <v>1204</v>
      </c>
      <c r="F29" s="115" t="s">
        <v>886</v>
      </c>
      <c r="G29" s="115" t="s">
        <v>36</v>
      </c>
      <c r="H29" s="116" t="str">
        <f>HYPERLINK("http://www.mediafire.com/download/o2cpg4361omcroo/2012-08-22_-_Starlight_Theatre_-_Kansas_City%2C_MO.rar", "download link")</f>
        <v>download link</v>
      </c>
      <c r="I29" s="311" t="s">
        <v>2485</v>
      </c>
      <c r="J29" s="313"/>
    </row>
    <row r="30">
      <c r="A30" s="103">
        <v>41145.0</v>
      </c>
      <c r="B30" s="104"/>
      <c r="C30" s="105" t="str">
        <f t="shared" si="1"/>
        <v>setlist</v>
      </c>
      <c r="D30" s="181" t="s">
        <v>1460</v>
      </c>
      <c r="E30" s="181" t="s">
        <v>1461</v>
      </c>
      <c r="F30" s="107" t="s">
        <v>583</v>
      </c>
      <c r="G30" s="107" t="s">
        <v>36</v>
      </c>
      <c r="H30" s="105" t="str">
        <f>HYPERLINK("http://www.mediafire.com/download/99en9o4d510p850/2012-08-24_-_Oak_Mountain_Amphitheatre_-_Pelham%2C_AL.rar", "download link")</f>
        <v>download link</v>
      </c>
      <c r="I30" s="312" t="s">
        <v>2486</v>
      </c>
      <c r="J30" s="314"/>
    </row>
    <row r="31">
      <c r="A31" s="142">
        <v>41146.0</v>
      </c>
      <c r="B31" s="144"/>
      <c r="C31" s="135" t="str">
        <f t="shared" si="1"/>
        <v>setlist</v>
      </c>
      <c r="D31" s="272" t="s">
        <v>2487</v>
      </c>
      <c r="E31" s="272" t="s">
        <v>437</v>
      </c>
      <c r="F31" s="115" t="s">
        <v>433</v>
      </c>
      <c r="G31" s="115" t="s">
        <v>36</v>
      </c>
      <c r="H31" s="116" t="str">
        <f>HYPERLINK("http://www.mediafire.com/download/4im44214sx042m0/2012-08-25_-_Aaron%27s_Amphitheatre_at_Lakewood_-_Atlanta%2C_GA.rar", "download link")</f>
        <v>download link</v>
      </c>
      <c r="I31" s="311" t="s">
        <v>2471</v>
      </c>
      <c r="J31" s="313"/>
    </row>
    <row r="32">
      <c r="A32" s="103">
        <v>41147.0</v>
      </c>
      <c r="B32" s="104"/>
      <c r="C32" s="105" t="str">
        <f t="shared" si="1"/>
        <v>setlist</v>
      </c>
      <c r="D32" s="266" t="s">
        <v>2266</v>
      </c>
      <c r="E32" s="181" t="s">
        <v>541</v>
      </c>
      <c r="F32" s="107" t="s">
        <v>443</v>
      </c>
      <c r="G32" s="107" t="s">
        <v>36</v>
      </c>
      <c r="H32" s="105" t="str">
        <f>HYPERLINK("http://www.mediafire.com/download/fxft9fqz0slp5xt/2012-08-26_-_Verizon_Wireless_Amphitheatre_-_Charlotte_-_Charlotte%2C_NC.rar", "download link")</f>
        <v>download link</v>
      </c>
      <c r="I32" s="312" t="s">
        <v>2488</v>
      </c>
      <c r="J32" s="314"/>
    </row>
    <row r="33">
      <c r="A33" s="142">
        <v>41149.0</v>
      </c>
      <c r="B33" s="144"/>
      <c r="C33" s="135" t="str">
        <f t="shared" si="1"/>
        <v>setlist</v>
      </c>
      <c r="D33" s="271" t="s">
        <v>2489</v>
      </c>
      <c r="E33" s="272" t="s">
        <v>885</v>
      </c>
      <c r="F33" s="115" t="s">
        <v>886</v>
      </c>
      <c r="G33" s="115" t="s">
        <v>36</v>
      </c>
      <c r="H33" s="116" t="str">
        <f>HYPERLINK("http://www.mediafire.com/download/a6bm4j60eom64es/2012-08-28_-_Chaifetz_Arena%2C_Saint_Louis_University_-_St._Louis%2C_MO.rar", "download link")</f>
        <v>download link</v>
      </c>
      <c r="I33" s="311" t="s">
        <v>2490</v>
      </c>
      <c r="J33" s="313"/>
    </row>
    <row r="34">
      <c r="A34" s="103">
        <v>41150.0</v>
      </c>
      <c r="B34" s="104"/>
      <c r="C34" s="105" t="str">
        <f t="shared" si="1"/>
        <v>setlist</v>
      </c>
      <c r="D34" s="181" t="s">
        <v>2491</v>
      </c>
      <c r="E34" s="181" t="s">
        <v>2492</v>
      </c>
      <c r="F34" s="107" t="s">
        <v>2493</v>
      </c>
      <c r="G34" s="107" t="s">
        <v>36</v>
      </c>
      <c r="H34" s="105" t="str">
        <f>HYPERLINK("http://www.mediafire.com/download/bzh38172vo1pe34/2012-08-29_-_Oklahoma_City_Zoo_Amphitheatre_-_Oklahoma_City%2C_OK.rar", "download link")</f>
        <v>download link</v>
      </c>
      <c r="I34" s="312" t="s">
        <v>2494</v>
      </c>
      <c r="J34" s="314"/>
    </row>
    <row r="35">
      <c r="A35" s="142">
        <v>41152.0</v>
      </c>
      <c r="B35" s="144"/>
      <c r="C35" s="135" t="str">
        <f t="shared" si="1"/>
        <v>setlist</v>
      </c>
      <c r="D35" s="272" t="s">
        <v>2495</v>
      </c>
      <c r="E35" s="272" t="s">
        <v>2458</v>
      </c>
      <c r="F35" s="115" t="s">
        <v>203</v>
      </c>
      <c r="G35" s="115" t="s">
        <v>36</v>
      </c>
      <c r="H35" s="116" t="str">
        <f>HYPERLINK("http://www.mediafire.com/download/nbgdn0b2xiak9da/2012-08-31_-_Dick%27s_Sporting_Goods_Park_-_Denver%2C_CO.rar", "download link")</f>
        <v>download link</v>
      </c>
      <c r="I35" s="311" t="s">
        <v>2485</v>
      </c>
      <c r="J35" s="313"/>
    </row>
    <row r="36">
      <c r="A36" s="103">
        <v>41153.0</v>
      </c>
      <c r="B36" s="104"/>
      <c r="C36" s="105" t="str">
        <f t="shared" si="1"/>
        <v>setlist</v>
      </c>
      <c r="D36" s="181" t="s">
        <v>2495</v>
      </c>
      <c r="E36" s="181" t="s">
        <v>2458</v>
      </c>
      <c r="F36" s="107" t="s">
        <v>203</v>
      </c>
      <c r="G36" s="107" t="s">
        <v>36</v>
      </c>
      <c r="H36" s="105" t="str">
        <f>HYPERLINK("http://www.mediafire.com/download/hux7wxv2mbjma03/2012-09-01_-_Dick%27s_Sporting_Goods_Park_-_Denver%2C_CO.rar", "download link")</f>
        <v>download link</v>
      </c>
      <c r="I36" s="312" t="s">
        <v>2485</v>
      </c>
      <c r="J36" s="314"/>
    </row>
    <row r="37">
      <c r="A37" s="167">
        <v>41154.0</v>
      </c>
      <c r="B37" s="175"/>
      <c r="C37" s="203" t="str">
        <f t="shared" si="1"/>
        <v>setlist</v>
      </c>
      <c r="D37" s="315" t="s">
        <v>2495</v>
      </c>
      <c r="E37" s="315" t="s">
        <v>2458</v>
      </c>
      <c r="F37" s="168" t="s">
        <v>203</v>
      </c>
      <c r="G37" s="168" t="s">
        <v>36</v>
      </c>
      <c r="H37" s="116" t="str">
        <f>HYPERLINK("http://www.mediafire.com/download/iv18b4440dkhy64/2012-09-02_-_Dick%27s_Sporting_Goods_Park_-_Denver%2C_CO.rar", "download link")</f>
        <v>download link</v>
      </c>
      <c r="I37" s="316" t="s">
        <v>2314</v>
      </c>
      <c r="J37" s="317"/>
    </row>
    <row r="38">
      <c r="A38" s="92"/>
      <c r="B38" s="93"/>
      <c r="C38" s="94"/>
      <c r="D38" s="254" t="s">
        <v>2496</v>
      </c>
      <c r="E38" s="238"/>
      <c r="F38" s="93"/>
      <c r="G38" s="93"/>
      <c r="H38" s="65"/>
      <c r="I38" s="318"/>
      <c r="J38" s="318"/>
    </row>
    <row r="39">
      <c r="A39" s="190">
        <v>41271.0</v>
      </c>
      <c r="B39" s="241"/>
      <c r="C39" s="98" t="str">
        <f t="shared" ref="C39:C42" si="2">HYPERLINK("http://www.phish.net/setlists/?d="&amp;RIGHT(TEXT(A39,"mm/dd/yyyy"),4)&amp;"-"&amp;LEFT(TEXT(A39,"mm/dd/yyyy"),2)&amp;"-"&amp;MID(TEXT(A39,"mm/dd/yyyy"),4,2), "setlist")</f>
        <v>setlist</v>
      </c>
      <c r="D39" s="306" t="s">
        <v>1553</v>
      </c>
      <c r="E39" s="306" t="s">
        <v>162</v>
      </c>
      <c r="F39" s="191" t="s">
        <v>129</v>
      </c>
      <c r="G39" s="191" t="s">
        <v>36</v>
      </c>
      <c r="H39" s="116" t="str">
        <f>HYPERLINK("http://www.mediafire.com/download/vuxa2sc5xz0e27l/2012-12-28_-_Madison_Square_Garden_-_New_York%2C_NY.rar", "download link")</f>
        <v>download link</v>
      </c>
      <c r="I39" s="319" t="s">
        <v>2497</v>
      </c>
      <c r="J39" s="320"/>
    </row>
    <row r="40">
      <c r="A40" s="103">
        <v>41272.0</v>
      </c>
      <c r="B40" s="104"/>
      <c r="C40" s="105" t="str">
        <f t="shared" si="2"/>
        <v>setlist</v>
      </c>
      <c r="D40" s="181" t="s">
        <v>1553</v>
      </c>
      <c r="E40" s="181" t="s">
        <v>162</v>
      </c>
      <c r="F40" s="107" t="s">
        <v>129</v>
      </c>
      <c r="G40" s="107" t="s">
        <v>36</v>
      </c>
      <c r="H40" s="105" t="str">
        <f>HYPERLINK("http://www.mediafire.com/download/6bsiw32ilvvzbvv/2012-12-29_-_Madison_Square_Garden_-_New_York%2C_NY.rar", "download link")</f>
        <v>download link</v>
      </c>
      <c r="I40" s="312" t="s">
        <v>2498</v>
      </c>
      <c r="J40" s="314"/>
    </row>
    <row r="41">
      <c r="A41" s="142">
        <v>41273.0</v>
      </c>
      <c r="B41" s="144"/>
      <c r="C41" s="135" t="str">
        <f t="shared" si="2"/>
        <v>setlist</v>
      </c>
      <c r="D41" s="272" t="s">
        <v>1553</v>
      </c>
      <c r="E41" s="272" t="s">
        <v>162</v>
      </c>
      <c r="F41" s="115" t="s">
        <v>129</v>
      </c>
      <c r="G41" s="115" t="s">
        <v>36</v>
      </c>
      <c r="H41" s="116" t="str">
        <f>HYPERLINK("http://www.mediafire.com/download/unuis0wr8avj4fp/2012-12-30_-_Madison_Square_Garden_-_New_York%2C_NY.rar", "download link")</f>
        <v>download link</v>
      </c>
      <c r="I41" s="311" t="s">
        <v>2497</v>
      </c>
      <c r="J41" s="313"/>
    </row>
    <row r="42">
      <c r="A42" s="103">
        <v>41274.0</v>
      </c>
      <c r="B42" s="104"/>
      <c r="C42" s="105" t="str">
        <f t="shared" si="2"/>
        <v>setlist</v>
      </c>
      <c r="D42" s="181" t="s">
        <v>1553</v>
      </c>
      <c r="E42" s="181" t="s">
        <v>162</v>
      </c>
      <c r="F42" s="107" t="s">
        <v>129</v>
      </c>
      <c r="G42" s="107" t="s">
        <v>36</v>
      </c>
      <c r="H42" s="105" t="str">
        <f>HYPERLINK("http://www.mediafire.com/download/oub4f48n9vmkfe1/2012-12-31_-_Madison_Square_Garden_-_New_York%2C_NY.rar", "download link")</f>
        <v>download link</v>
      </c>
      <c r="I42" s="312" t="s">
        <v>2497</v>
      </c>
      <c r="J42" s="314"/>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54" t="s">
        <v>2145</v>
      </c>
    </row>
    <row r="3">
      <c r="A3" s="86"/>
      <c r="B3" s="87"/>
      <c r="C3" s="87"/>
      <c r="D3" s="3"/>
      <c r="E3" s="3"/>
      <c r="F3" s="87"/>
      <c r="G3" s="87"/>
      <c r="H3" s="294"/>
      <c r="I3" s="3"/>
      <c r="J3" s="3"/>
    </row>
    <row r="4">
      <c r="A4" s="92"/>
      <c r="B4" s="93"/>
      <c r="C4" s="93"/>
      <c r="D4" s="254" t="s">
        <v>2499</v>
      </c>
      <c r="E4" s="238"/>
      <c r="F4" s="93"/>
      <c r="G4" s="93"/>
      <c r="H4" s="164"/>
      <c r="I4" s="318"/>
      <c r="J4" s="238"/>
    </row>
    <row r="5">
      <c r="A5" s="190">
        <v>41458.0</v>
      </c>
      <c r="B5" s="241"/>
      <c r="C5" s="98" t="str">
        <f t="shared" ref="C5:C29" si="1">HYPERLINK("http://phish.net/setlists/?d="&amp;RIGHT(TEXT(A5,"mm/dd/yyyy"),4)&amp;"-"&amp;LEFT(TEXT(A5,"mm/dd/yyyy"),2)&amp;"-"&amp;MID(TEXT(A5,"mm/dd/yyyy"),4,2), "setlist")</f>
        <v>setlist</v>
      </c>
      <c r="D5" s="306" t="s">
        <v>2500</v>
      </c>
      <c r="E5" s="306" t="s">
        <v>1236</v>
      </c>
      <c r="F5" s="191" t="s">
        <v>257</v>
      </c>
      <c r="G5" s="191" t="s">
        <v>36</v>
      </c>
      <c r="H5" s="178" t="str">
        <f>HYPERLINK("http://www.mediafire.com/download/8pgvcw650b86gqa/2013-07-03_-_Darling%27s_Waterfront_Pavilion_-_Bangor%2C_ME.rar", "download link")</f>
        <v>download link</v>
      </c>
      <c r="I5" s="319" t="s">
        <v>2501</v>
      </c>
      <c r="J5" s="306" t="s">
        <v>2502</v>
      </c>
    </row>
    <row r="6">
      <c r="A6" s="130">
        <v>41460.0</v>
      </c>
      <c r="B6" s="310"/>
      <c r="C6" s="105" t="str">
        <f t="shared" si="1"/>
        <v>setlist</v>
      </c>
      <c r="D6" s="181" t="s">
        <v>1015</v>
      </c>
      <c r="E6" s="181" t="s">
        <v>465</v>
      </c>
      <c r="F6" s="107" t="s">
        <v>129</v>
      </c>
      <c r="G6" s="133" t="s">
        <v>36</v>
      </c>
      <c r="H6" s="105" t="str">
        <f>HYPERLINK("http://www.mediafire.com/download/1gm193erqrjwckt/2013-07-05_-_Saratoga_Performing_Arts_Center_-_Saratoga_Springs%2C_NY.rar", "download link")</f>
        <v>download link</v>
      </c>
      <c r="I6" s="288" t="s">
        <v>2503</v>
      </c>
      <c r="J6" s="295"/>
    </row>
    <row r="7">
      <c r="A7" s="142">
        <v>41461.0</v>
      </c>
      <c r="B7" s="144"/>
      <c r="C7" s="135" t="str">
        <f t="shared" si="1"/>
        <v>setlist</v>
      </c>
      <c r="D7" s="272" t="s">
        <v>1015</v>
      </c>
      <c r="E7" s="272" t="s">
        <v>465</v>
      </c>
      <c r="F7" s="115" t="s">
        <v>129</v>
      </c>
      <c r="G7" s="115" t="s">
        <v>36</v>
      </c>
      <c r="H7" s="116" t="str">
        <f>HYPERLINK("http://www.mediafire.com/download/xh764sjcut82rz7/2013-07-06_-_Saratoga_Performing_Arts_Center_-_Saratoga_Springs%2C_NY.rar", "download link")</f>
        <v>download link</v>
      </c>
      <c r="I7" s="311" t="s">
        <v>2503</v>
      </c>
      <c r="J7" s="273"/>
    </row>
    <row r="8">
      <c r="A8" s="103">
        <v>41462.0</v>
      </c>
      <c r="B8" s="104"/>
      <c r="C8" s="105" t="str">
        <f t="shared" si="1"/>
        <v>setlist</v>
      </c>
      <c r="D8" s="181" t="s">
        <v>1015</v>
      </c>
      <c r="E8" s="181" t="s">
        <v>465</v>
      </c>
      <c r="F8" s="107" t="s">
        <v>129</v>
      </c>
      <c r="G8" s="107" t="s">
        <v>36</v>
      </c>
      <c r="H8" s="105" t="str">
        <f>HYPERLINK("http://www.mediafire.com/download/tjbn3f1x9ah3mk2/2013-07-07_-_Saratoga_Performing_Arts_Center_-_Saratoga_Springs%2C_NY.rar", "download link")</f>
        <v>download link</v>
      </c>
      <c r="I8" s="312" t="s">
        <v>2504</v>
      </c>
      <c r="J8" s="260"/>
    </row>
    <row r="9">
      <c r="A9" s="142">
        <v>41465.0</v>
      </c>
      <c r="B9" s="144"/>
      <c r="C9" s="116" t="str">
        <f t="shared" si="1"/>
        <v>setlist</v>
      </c>
      <c r="D9" s="272" t="s">
        <v>2072</v>
      </c>
      <c r="E9" s="272" t="s">
        <v>992</v>
      </c>
      <c r="F9" s="115" t="s">
        <v>43</v>
      </c>
      <c r="G9" s="115" t="s">
        <v>36</v>
      </c>
      <c r="H9" s="116" t="str">
        <f>HYPERLINK("http://www.mediafire.com/download/2srqth1twtkkems/2013-07-10_-_PNC_Bank_Arts_Center_-_Holmdel%2C_NJ.rar", "download link")</f>
        <v>download link</v>
      </c>
      <c r="I9" s="311" t="s">
        <v>2505</v>
      </c>
      <c r="J9" s="272" t="s">
        <v>2502</v>
      </c>
    </row>
    <row r="10">
      <c r="A10" s="103">
        <v>41467.0</v>
      </c>
      <c r="B10" s="104"/>
      <c r="C10" s="105" t="str">
        <f t="shared" si="1"/>
        <v>setlist</v>
      </c>
      <c r="D10" s="181" t="s">
        <v>2319</v>
      </c>
      <c r="E10" s="181" t="s">
        <v>994</v>
      </c>
      <c r="F10" s="107" t="s">
        <v>129</v>
      </c>
      <c r="G10" s="107" t="s">
        <v>36</v>
      </c>
      <c r="H10" s="105" t="str">
        <f>HYPERLINK("http://www.mediafire.com/download/asbkwtczzcxnsxd/2013-07-12_-_Nikon_at_Jones_Beach_Theater_-_Wantagh%2C_NY.rar", "download link")</f>
        <v>download link</v>
      </c>
      <c r="I10" s="312" t="s">
        <v>2506</v>
      </c>
      <c r="J10" s="260"/>
    </row>
    <row r="11">
      <c r="A11" s="142">
        <v>41468.0</v>
      </c>
      <c r="B11" s="144"/>
      <c r="C11" s="116" t="str">
        <f t="shared" si="1"/>
        <v>setlist</v>
      </c>
      <c r="D11" s="272" t="s">
        <v>1000</v>
      </c>
      <c r="E11" s="272" t="s">
        <v>439</v>
      </c>
      <c r="F11" s="115" t="s">
        <v>397</v>
      </c>
      <c r="G11" s="115" t="s">
        <v>36</v>
      </c>
      <c r="H11" s="116" t="str">
        <f>HYPERLINK("http://www.mediafire.com/download/6a48d80sdxmk7z2/2013-07-13_-_Merriweather_Post_Pavilion_-_Columbia%2C_MD.rar", "download link")</f>
        <v>download link</v>
      </c>
      <c r="I11" s="311" t="s">
        <v>2507</v>
      </c>
      <c r="J11" s="273"/>
    </row>
    <row r="12">
      <c r="A12" s="103">
        <v>41469.0</v>
      </c>
      <c r="B12" s="104"/>
      <c r="C12" s="105" t="str">
        <f t="shared" si="1"/>
        <v>setlist</v>
      </c>
      <c r="D12" s="181" t="s">
        <v>1000</v>
      </c>
      <c r="E12" s="181" t="s">
        <v>439</v>
      </c>
      <c r="F12" s="107" t="s">
        <v>397</v>
      </c>
      <c r="G12" s="107" t="s">
        <v>36</v>
      </c>
      <c r="H12" s="105" t="str">
        <f>HYPERLINK("http://www.mediafire.com/download/jy5wisg5iwuohpd/2013-07-14_-_Merriweather_Post_Pavilion_-_Columbia%2C_MD.rar", "download link")</f>
        <v>download link</v>
      </c>
      <c r="I12" s="312" t="s">
        <v>2508</v>
      </c>
      <c r="J12" s="181" t="s">
        <v>2502</v>
      </c>
    </row>
    <row r="13">
      <c r="A13" s="142">
        <v>41471.0</v>
      </c>
      <c r="B13" s="144"/>
      <c r="C13" s="116" t="str">
        <f t="shared" si="1"/>
        <v>setlist</v>
      </c>
      <c r="D13" s="272" t="s">
        <v>2393</v>
      </c>
      <c r="E13" s="272" t="s">
        <v>2394</v>
      </c>
      <c r="F13" s="115" t="s">
        <v>433</v>
      </c>
      <c r="G13" s="115" t="s">
        <v>36</v>
      </c>
      <c r="H13" s="116" t="str">
        <f>HYPERLINK("http://www.mediafire.com/download/6gp7jv4wfcslmlm/2013-07-16_-_Verizon_Wireless_Amphitheatre_at_Encore_Park_-_Alpharetta%2C_GA.rar", "download link")</f>
        <v>download link</v>
      </c>
      <c r="I13" s="311" t="s">
        <v>2509</v>
      </c>
      <c r="J13" s="273"/>
    </row>
    <row r="14">
      <c r="A14" s="103">
        <v>41472.0</v>
      </c>
      <c r="B14" s="104"/>
      <c r="C14" s="105" t="str">
        <f t="shared" si="1"/>
        <v>setlist</v>
      </c>
      <c r="D14" s="181" t="s">
        <v>2393</v>
      </c>
      <c r="E14" s="181" t="s">
        <v>2394</v>
      </c>
      <c r="F14" s="107" t="s">
        <v>433</v>
      </c>
      <c r="G14" s="107" t="s">
        <v>36</v>
      </c>
      <c r="H14" s="105" t="str">
        <f>HYPERLINK("http://www.mediafire.com/download/rx7emkam9mxn8s5/2013-07-17_-_Verizon_Wireless_Amphitheatre_at_Encore_Park_-_Alpharetta%2C_GA.rar", "download link")</f>
        <v>download link</v>
      </c>
      <c r="I14" s="312" t="s">
        <v>2509</v>
      </c>
      <c r="J14" s="181" t="s">
        <v>2502</v>
      </c>
    </row>
    <row r="15">
      <c r="A15" s="142">
        <v>41474.0</v>
      </c>
      <c r="B15" s="144"/>
      <c r="C15" s="116" t="str">
        <f t="shared" si="1"/>
        <v>setlist</v>
      </c>
      <c r="D15" s="272" t="s">
        <v>2510</v>
      </c>
      <c r="E15" s="272" t="s">
        <v>479</v>
      </c>
      <c r="F15" s="115" t="s">
        <v>480</v>
      </c>
      <c r="G15" s="115" t="s">
        <v>36</v>
      </c>
      <c r="H15" s="116" t="str">
        <f>HYPERLINK("http://www.mediafire.com/download/4fh5lsma56ilm6t/2013-07-19_-_FirstMerit_Bank_Pavilion_at_Northerly_Island_-_Chicago%2C_IL.rar", "download link")</f>
        <v>download link</v>
      </c>
      <c r="I15" s="311" t="s">
        <v>2511</v>
      </c>
      <c r="J15" s="273"/>
    </row>
    <row r="16">
      <c r="A16" s="103">
        <v>41475.0</v>
      </c>
      <c r="B16" s="104"/>
      <c r="C16" s="105" t="str">
        <f t="shared" si="1"/>
        <v>setlist</v>
      </c>
      <c r="D16" s="181" t="s">
        <v>2510</v>
      </c>
      <c r="E16" s="181" t="s">
        <v>479</v>
      </c>
      <c r="F16" s="107" t="s">
        <v>480</v>
      </c>
      <c r="G16" s="107" t="s">
        <v>36</v>
      </c>
      <c r="H16" s="105" t="str">
        <f>HYPERLINK("http://www.mediafire.com/download/adxmkkzp7dy2ttb/2013-07-20_-_FirstMerit_Bank_Pavilion_at_Northerly_Island_-_Chicago%2C_IL.rar", "download link")</f>
        <v>download link</v>
      </c>
      <c r="I16" s="312" t="s">
        <v>2443</v>
      </c>
      <c r="J16" s="260"/>
    </row>
    <row r="17">
      <c r="A17" s="142">
        <v>41476.0</v>
      </c>
      <c r="B17" s="144"/>
      <c r="C17" s="116" t="str">
        <f t="shared" si="1"/>
        <v>setlist</v>
      </c>
      <c r="D17" s="272" t="s">
        <v>2510</v>
      </c>
      <c r="E17" s="272" t="s">
        <v>479</v>
      </c>
      <c r="F17" s="115" t="s">
        <v>480</v>
      </c>
      <c r="G17" s="115" t="s">
        <v>36</v>
      </c>
      <c r="H17" s="116" t="str">
        <f>HYPERLINK("http://www.mediafire.com/download/m4w915ajenj9gi7/2013-07-21_-_FirstMerit_Bank_Pavilion_at_Northerly_Island_-_Chicago%2C_IL.rar", "download link")</f>
        <v>download link</v>
      </c>
      <c r="I17" s="311" t="s">
        <v>2469</v>
      </c>
      <c r="J17" s="273"/>
    </row>
    <row r="18">
      <c r="A18" s="103">
        <v>41477.0</v>
      </c>
      <c r="B18" s="104"/>
      <c r="C18" s="105" t="str">
        <f t="shared" si="1"/>
        <v>setlist</v>
      </c>
      <c r="D18" s="181" t="s">
        <v>2512</v>
      </c>
      <c r="E18" s="181" t="s">
        <v>1090</v>
      </c>
      <c r="F18" s="107" t="s">
        <v>1091</v>
      </c>
      <c r="G18" s="107" t="s">
        <v>36</v>
      </c>
      <c r="H18" s="105" t="str">
        <f>HYPERLINK("http://www.mediafire.com/download/67mc3ueu6kjq15b/2013-07-22_-_Molson_Canadian_Amphitheatre_-_Toronto%2C_Ontario%2C_Canada.rar", "download link")</f>
        <v>download link</v>
      </c>
      <c r="I18" s="312" t="s">
        <v>2513</v>
      </c>
      <c r="J18" s="260"/>
    </row>
    <row r="19">
      <c r="A19" s="142">
        <v>41481.0</v>
      </c>
      <c r="B19" s="144"/>
      <c r="C19" s="135" t="str">
        <f t="shared" si="1"/>
        <v>setlist</v>
      </c>
      <c r="D19" s="272" t="s">
        <v>1918</v>
      </c>
      <c r="E19" s="272" t="s">
        <v>1919</v>
      </c>
      <c r="F19" s="115" t="s">
        <v>701</v>
      </c>
      <c r="G19" s="115" t="s">
        <v>36</v>
      </c>
      <c r="H19" s="116" t="str">
        <f>HYPERLINK("http://www.mediafire.com/download/j7suuxtrmpt5ygb/2013-07-26_-_Gorge_Amphitheatre_-_George%2C_WA.rar", "download link")</f>
        <v>download link</v>
      </c>
      <c r="I19" s="311" t="s">
        <v>2514</v>
      </c>
      <c r="J19" s="273"/>
    </row>
    <row r="20">
      <c r="A20" s="103">
        <v>41482.0</v>
      </c>
      <c r="B20" s="104"/>
      <c r="C20" s="105" t="str">
        <f t="shared" si="1"/>
        <v>setlist</v>
      </c>
      <c r="D20" s="181" t="s">
        <v>1918</v>
      </c>
      <c r="E20" s="181" t="s">
        <v>1919</v>
      </c>
      <c r="F20" s="107" t="s">
        <v>701</v>
      </c>
      <c r="G20" s="107" t="s">
        <v>36</v>
      </c>
      <c r="H20" s="105" t="str">
        <f>HYPERLINK("http://www.mediafire.com/download/n7ska5ri292jmp4/2013-07-27_-_Gorge_Amphitheatre_-_George%2C_WA.rar", "download link")</f>
        <v>download link</v>
      </c>
      <c r="I20" s="312" t="s">
        <v>2514</v>
      </c>
      <c r="J20" s="181" t="s">
        <v>2515</v>
      </c>
    </row>
    <row r="21">
      <c r="A21" s="142">
        <v>41485.0</v>
      </c>
      <c r="B21" s="144"/>
      <c r="C21" s="135" t="str">
        <f t="shared" si="1"/>
        <v>setlist</v>
      </c>
      <c r="D21" s="271" t="s">
        <v>2451</v>
      </c>
      <c r="E21" s="272" t="s">
        <v>2452</v>
      </c>
      <c r="F21" s="115" t="s">
        <v>1805</v>
      </c>
      <c r="G21" s="115" t="s">
        <v>36</v>
      </c>
      <c r="H21" s="116" t="str">
        <f>HYPERLINK("http://www.mediafire.com/download/6i5e5ody5dh4vld/2013-07-30_-_Lake_Tahoe_Outdoor_Arena_at_Harveys_-_Stateline%2C_NV.rar", "download link")</f>
        <v>download link</v>
      </c>
      <c r="I21" s="311" t="s">
        <v>2511</v>
      </c>
      <c r="J21" s="272" t="s">
        <v>2515</v>
      </c>
    </row>
    <row r="22">
      <c r="A22" s="103">
        <v>41486.0</v>
      </c>
      <c r="B22" s="104"/>
      <c r="C22" s="105" t="str">
        <f t="shared" si="1"/>
        <v>setlist</v>
      </c>
      <c r="D22" s="266" t="s">
        <v>2451</v>
      </c>
      <c r="E22" s="181" t="s">
        <v>2452</v>
      </c>
      <c r="F22" s="107" t="s">
        <v>1805</v>
      </c>
      <c r="G22" s="107" t="s">
        <v>36</v>
      </c>
      <c r="H22" s="105" t="str">
        <f>HYPERLINK("http://www.mediafire.com/download/74kxk8rtfddlfk7/2013-07-31_-_Lake_Tahoe_Outdoor_Arena_at_Harveys_-_Stateline%2C_NV.rar", "download link")</f>
        <v>download link</v>
      </c>
      <c r="I22" s="312" t="s">
        <v>2511</v>
      </c>
      <c r="J22" s="181" t="s">
        <v>2515</v>
      </c>
    </row>
    <row r="23">
      <c r="A23" s="142">
        <v>41488.0</v>
      </c>
      <c r="B23" s="144"/>
      <c r="C23" s="135" t="str">
        <f t="shared" si="1"/>
        <v>setlist</v>
      </c>
      <c r="D23" s="272" t="s">
        <v>2481</v>
      </c>
      <c r="E23" s="272" t="s">
        <v>683</v>
      </c>
      <c r="F23" s="115" t="s">
        <v>679</v>
      </c>
      <c r="G23" s="115" t="s">
        <v>36</v>
      </c>
      <c r="H23" s="116" t="str">
        <f>HYPERLINK("http://www.mediafire.com/download/hu3lt0hws21xedt/2013-08-02_-_Bill_Graham_Civic_Auditorium_-_San_Francisco%2C_CA.rar", "download link")</f>
        <v>download link</v>
      </c>
      <c r="I23" s="311" t="s">
        <v>2516</v>
      </c>
      <c r="J23" s="273"/>
    </row>
    <row r="24">
      <c r="A24" s="103">
        <v>41489.0</v>
      </c>
      <c r="B24" s="104"/>
      <c r="C24" s="105" t="str">
        <f t="shared" si="1"/>
        <v>setlist</v>
      </c>
      <c r="D24" s="181" t="s">
        <v>2481</v>
      </c>
      <c r="E24" s="181" t="s">
        <v>683</v>
      </c>
      <c r="F24" s="107" t="s">
        <v>679</v>
      </c>
      <c r="G24" s="107" t="s">
        <v>36</v>
      </c>
      <c r="H24" s="105" t="str">
        <f>HYPERLINK("http://www.mediafire.com/download/2gnazx30fmz539q/2013-08-03_-_Bill_Graham_Civic_Auditorium_-_San_Francisco%2C_CA.rar", "download link")</f>
        <v>download link</v>
      </c>
      <c r="I24" s="312" t="s">
        <v>2517</v>
      </c>
      <c r="J24" s="260"/>
    </row>
    <row r="25">
      <c r="A25" s="142">
        <v>41490.0</v>
      </c>
      <c r="B25" s="144"/>
      <c r="C25" s="135" t="str">
        <f t="shared" si="1"/>
        <v>setlist</v>
      </c>
      <c r="D25" s="272" t="s">
        <v>2481</v>
      </c>
      <c r="E25" s="272" t="s">
        <v>683</v>
      </c>
      <c r="F25" s="115" t="s">
        <v>679</v>
      </c>
      <c r="G25" s="115" t="s">
        <v>36</v>
      </c>
      <c r="H25" s="116" t="str">
        <f>HYPERLINK("http://www.mediafire.com/download/l3f08g0l4d0yd28/2013-08-04_-_Bill_Graham_Civic_Auditorium_-_San_Francisco%2C_CA.rar", "download link")</f>
        <v>download link</v>
      </c>
      <c r="I25" s="311" t="s">
        <v>2380</v>
      </c>
      <c r="J25" s="273"/>
    </row>
    <row r="26">
      <c r="A26" s="103">
        <v>41491.0</v>
      </c>
      <c r="B26" s="104"/>
      <c r="C26" s="105" t="str">
        <f t="shared" si="1"/>
        <v>setlist</v>
      </c>
      <c r="D26" s="181" t="s">
        <v>2449</v>
      </c>
      <c r="E26" s="181" t="s">
        <v>1163</v>
      </c>
      <c r="F26" s="107" t="s">
        <v>679</v>
      </c>
      <c r="G26" s="107" t="s">
        <v>36</v>
      </c>
      <c r="H26" s="105" t="str">
        <f>HYPERLINK("http://www.mediafire.com/download/7w39czwhz29xbpk/2013-08-05_-_Hollywood_Bowl_-_Hollywood%2C_CA.rar", "download link")</f>
        <v>download link</v>
      </c>
      <c r="I26" s="312" t="s">
        <v>2437</v>
      </c>
      <c r="J26" s="260"/>
    </row>
    <row r="27">
      <c r="A27" s="142">
        <v>41516.0</v>
      </c>
      <c r="B27" s="144"/>
      <c r="C27" s="135" t="str">
        <f t="shared" si="1"/>
        <v>setlist</v>
      </c>
      <c r="D27" s="272" t="s">
        <v>2457</v>
      </c>
      <c r="E27" s="272" t="s">
        <v>2458</v>
      </c>
      <c r="F27" s="115" t="s">
        <v>2518</v>
      </c>
      <c r="G27" s="115" t="s">
        <v>36</v>
      </c>
      <c r="H27" s="116" t="str">
        <f>HYPERLINK("http://www.mediafire.com/download/4cctup6w4i9cpcx/2013-08-30_-_Dick%27s_Sporting_Goods_Park_-_Commerce_City%2C_CO.rar", "download link")</f>
        <v>download link</v>
      </c>
      <c r="I27" s="311" t="s">
        <v>2314</v>
      </c>
      <c r="J27" s="271" t="s">
        <v>2519</v>
      </c>
    </row>
    <row r="28">
      <c r="A28" s="103">
        <v>41517.0</v>
      </c>
      <c r="B28" s="104"/>
      <c r="C28" s="105" t="str">
        <f t="shared" si="1"/>
        <v>setlist</v>
      </c>
      <c r="D28" s="181" t="s">
        <v>2457</v>
      </c>
      <c r="E28" s="181" t="s">
        <v>2458</v>
      </c>
      <c r="F28" s="107" t="s">
        <v>2518</v>
      </c>
      <c r="G28" s="107" t="s">
        <v>36</v>
      </c>
      <c r="H28" s="105" t="str">
        <f>HYPERLINK("http://www.mediafire.com/download/ti4a8rqu6b0h0gj/2013-08-31_-_Dick%27s_Sporting_Goods_Park_-_Commerce_City%2C_CO.rar", "download link")</f>
        <v>download link</v>
      </c>
      <c r="I28" s="312" t="s">
        <v>2314</v>
      </c>
      <c r="J28" s="266" t="s">
        <v>2519</v>
      </c>
    </row>
    <row r="29">
      <c r="A29" s="167">
        <v>41518.0</v>
      </c>
      <c r="B29" s="175"/>
      <c r="C29" s="203" t="str">
        <f t="shared" si="1"/>
        <v>setlist</v>
      </c>
      <c r="D29" s="315" t="s">
        <v>2457</v>
      </c>
      <c r="E29" s="315" t="s">
        <v>2458</v>
      </c>
      <c r="F29" s="168" t="s">
        <v>2518</v>
      </c>
      <c r="G29" s="168" t="s">
        <v>36</v>
      </c>
      <c r="H29" s="116" t="str">
        <f>HYPERLINK("http://www.mediafire.com/download/vr83t8ca7d1utbn/2013-09-01_-_Dick%27s_Sporting_Goods_Park_-_Commerce_City%2C_CO.rar", "download link")</f>
        <v>download link</v>
      </c>
      <c r="I29" s="316" t="s">
        <v>2314</v>
      </c>
      <c r="J29" s="321" t="s">
        <v>2519</v>
      </c>
    </row>
    <row r="30">
      <c r="A30" s="92"/>
      <c r="B30" s="93"/>
      <c r="C30" s="93"/>
      <c r="D30" s="254" t="s">
        <v>2520</v>
      </c>
      <c r="E30" s="238"/>
      <c r="F30" s="93"/>
      <c r="G30" s="93"/>
      <c r="H30" s="164"/>
      <c r="I30" s="318"/>
      <c r="J30" s="238"/>
    </row>
    <row r="31">
      <c r="A31" s="190">
        <v>41565.0</v>
      </c>
      <c r="B31" s="241"/>
      <c r="C31" s="98" t="str">
        <f t="shared" ref="C31:C42" si="2">HYPERLINK("http://phish.net/setlists/?d="&amp;RIGHT(TEXT(A31,"mm/dd/yyyy"),4)&amp;"-"&amp;LEFT(TEXT(A31,"mm/dd/yyyy"),2)&amp;"-"&amp;MID(TEXT(A31,"mm/dd/yyyy"),4,2), "setlist")</f>
        <v>setlist</v>
      </c>
      <c r="D31" s="306" t="s">
        <v>1659</v>
      </c>
      <c r="E31" s="306" t="s">
        <v>1660</v>
      </c>
      <c r="F31" s="191" t="s">
        <v>446</v>
      </c>
      <c r="G31" s="191" t="s">
        <v>36</v>
      </c>
      <c r="H31" s="116" t="str">
        <f>HYPERLINK("http://www.mediafire.com/download/0fdsxk7j4b0uib6/2013-10-18_-_Hampton_Coliseum_-_Hampton%2C_VA.rar", "download link")</f>
        <v>download link</v>
      </c>
      <c r="I31" s="311" t="s">
        <v>2437</v>
      </c>
      <c r="J31" s="308"/>
    </row>
    <row r="32">
      <c r="A32" s="103">
        <v>41566.0</v>
      </c>
      <c r="B32" s="104"/>
      <c r="C32" s="105" t="str">
        <f t="shared" si="2"/>
        <v>setlist</v>
      </c>
      <c r="D32" s="181" t="s">
        <v>1659</v>
      </c>
      <c r="E32" s="181" t="s">
        <v>1660</v>
      </c>
      <c r="F32" s="107" t="s">
        <v>446</v>
      </c>
      <c r="G32" s="107" t="s">
        <v>36</v>
      </c>
      <c r="H32" s="105" t="str">
        <f>HYPERLINK("http://www.mediafire.com/download/u21hz79cczxcv6o/2013-10-19_-_Hampton_Coliseum_-_Hampton%2C_VA.rar", "download link")</f>
        <v>download link</v>
      </c>
      <c r="I32" s="312" t="s">
        <v>2437</v>
      </c>
      <c r="J32" s="260"/>
    </row>
    <row r="33">
      <c r="A33" s="142">
        <v>41567.0</v>
      </c>
      <c r="B33" s="144"/>
      <c r="C33" s="135" t="str">
        <f t="shared" si="2"/>
        <v>setlist</v>
      </c>
      <c r="D33" s="272" t="s">
        <v>1659</v>
      </c>
      <c r="E33" s="272" t="s">
        <v>1660</v>
      </c>
      <c r="F33" s="115" t="s">
        <v>446</v>
      </c>
      <c r="G33" s="115" t="s">
        <v>36</v>
      </c>
      <c r="H33" s="116" t="str">
        <f>HYPERLINK("http://www.mediafire.com/download/5383z4d8u8bz817/2013-10-20_-_Hampton_Coliseum_-_Hampton%2C_VA.rar", "download link")</f>
        <v>download link</v>
      </c>
      <c r="I33" s="311" t="s">
        <v>2521</v>
      </c>
      <c r="J33" s="273"/>
    </row>
    <row r="34">
      <c r="A34" s="103">
        <v>41569.0</v>
      </c>
      <c r="B34" s="104"/>
      <c r="C34" s="105" t="str">
        <f t="shared" si="2"/>
        <v>setlist</v>
      </c>
      <c r="D34" s="181" t="s">
        <v>2127</v>
      </c>
      <c r="E34" s="181" t="s">
        <v>718</v>
      </c>
      <c r="F34" s="107" t="s">
        <v>129</v>
      </c>
      <c r="G34" s="107" t="s">
        <v>36</v>
      </c>
      <c r="H34" s="105" t="str">
        <f>HYPERLINK("http://www.mediafire.com/download/x8xa6w70wid8gkn/2013-10-22_-_BlueCross_Arena_-_Rochester%2C_NY.rar", "download link")</f>
        <v>download link</v>
      </c>
      <c r="I34" s="312" t="s">
        <v>2522</v>
      </c>
      <c r="J34" s="260"/>
    </row>
    <row r="35">
      <c r="A35" s="142">
        <v>41570.0</v>
      </c>
      <c r="B35" s="144"/>
      <c r="C35" s="135" t="str">
        <f t="shared" si="2"/>
        <v>setlist</v>
      </c>
      <c r="D35" s="272" t="s">
        <v>1489</v>
      </c>
      <c r="E35" s="272" t="s">
        <v>1490</v>
      </c>
      <c r="F35" s="115" t="s">
        <v>129</v>
      </c>
      <c r="G35" s="115" t="s">
        <v>36</v>
      </c>
      <c r="H35" s="116" t="str">
        <f>HYPERLINK("http://www.mediafire.com/download/df74r7bppb9dmn8/2013-10-23_-_Glens_Falls_Civic_Center_-_Glens_Falls%2C_NY.rar", "download link")</f>
        <v>download link</v>
      </c>
      <c r="I35" s="311" t="s">
        <v>2521</v>
      </c>
      <c r="J35" s="273"/>
    </row>
    <row r="36">
      <c r="A36" s="103">
        <v>41572.0</v>
      </c>
      <c r="B36" s="104"/>
      <c r="C36" s="105" t="str">
        <f t="shared" si="2"/>
        <v>setlist</v>
      </c>
      <c r="D36" s="181" t="s">
        <v>2423</v>
      </c>
      <c r="E36" s="181" t="s">
        <v>417</v>
      </c>
      <c r="F36" s="107" t="s">
        <v>95</v>
      </c>
      <c r="G36" s="107" t="s">
        <v>36</v>
      </c>
      <c r="H36" s="105" t="str">
        <f>HYPERLINK("http://www.mediafire.com/download/xvwa5r9nunvvfva/2013-10-25_-_DCU_Center_-_Worcester%2C_MA.rar", "download link")</f>
        <v>download link</v>
      </c>
      <c r="I36" s="312" t="s">
        <v>2521</v>
      </c>
      <c r="J36" s="260"/>
    </row>
    <row r="37">
      <c r="A37" s="142">
        <v>41573.0</v>
      </c>
      <c r="B37" s="144"/>
      <c r="C37" s="135" t="str">
        <f t="shared" si="2"/>
        <v>setlist</v>
      </c>
      <c r="D37" s="272" t="s">
        <v>2423</v>
      </c>
      <c r="E37" s="272" t="s">
        <v>417</v>
      </c>
      <c r="F37" s="115" t="s">
        <v>95</v>
      </c>
      <c r="G37" s="115" t="s">
        <v>36</v>
      </c>
      <c r="H37" s="116" t="str">
        <f>HYPERLINK("http://www.mediafire.com/download/za6rxv9w0wve0lb/2013-10-26_-_DCU_Center_-_Worcester%2C_MA.rar", "download link")</f>
        <v>download link</v>
      </c>
      <c r="I37" s="311" t="s">
        <v>2521</v>
      </c>
      <c r="J37" s="273"/>
    </row>
    <row r="38">
      <c r="A38" s="103">
        <v>41574.0</v>
      </c>
      <c r="B38" s="104"/>
      <c r="C38" s="105" t="str">
        <f t="shared" si="2"/>
        <v>setlist</v>
      </c>
      <c r="D38" s="181" t="s">
        <v>2523</v>
      </c>
      <c r="E38" s="181" t="s">
        <v>323</v>
      </c>
      <c r="F38" s="107" t="s">
        <v>171</v>
      </c>
      <c r="G38" s="107" t="s">
        <v>36</v>
      </c>
      <c r="H38" s="105" t="str">
        <f>HYPERLINK("http://www.mediafire.com/download/tb5bn3fhm2n557c/2013-10-27_-_XL_Center_-_Hartford%2C_CT.rar", "download link")</f>
        <v>download link</v>
      </c>
      <c r="I38" s="312" t="s">
        <v>2521</v>
      </c>
      <c r="J38" s="260"/>
    </row>
    <row r="39">
      <c r="A39" s="142">
        <v>41576.0</v>
      </c>
      <c r="B39" s="144"/>
      <c r="C39" s="135" t="str">
        <f t="shared" si="2"/>
        <v>setlist</v>
      </c>
      <c r="D39" s="170" t="s">
        <v>2524</v>
      </c>
      <c r="E39" s="272" t="s">
        <v>2525</v>
      </c>
      <c r="F39" s="115" t="s">
        <v>212</v>
      </c>
      <c r="G39" s="115" t="s">
        <v>36</v>
      </c>
      <c r="H39" s="116" t="str">
        <f>HYPERLINK("http://www.mediafire.com/download/z38fiu4141zaiv8/2013-10-29_-_The_Santander_Arena_-_Reading%2C_PA.rar", "download link")</f>
        <v>download link</v>
      </c>
      <c r="I39" s="311" t="s">
        <v>2521</v>
      </c>
      <c r="J39" s="273"/>
    </row>
    <row r="40">
      <c r="A40" s="103">
        <v>41578.0</v>
      </c>
      <c r="B40" s="104"/>
      <c r="C40" s="105" t="str">
        <f t="shared" si="2"/>
        <v>setlist</v>
      </c>
      <c r="D40" s="181" t="s">
        <v>2420</v>
      </c>
      <c r="E40" s="181" t="s">
        <v>2421</v>
      </c>
      <c r="F40" s="107" t="s">
        <v>43</v>
      </c>
      <c r="G40" s="107" t="s">
        <v>36</v>
      </c>
      <c r="H40" s="105" t="str">
        <f>HYPERLINK("http://www.mediafire.com/download/t9gbbbl3cuafkkk/2013-10-31_-_Boardwalk_Hall_-_Atlantic_City%2C_NJ.rar", "download link")</f>
        <v>download link</v>
      </c>
      <c r="I40" s="312" t="s">
        <v>2526</v>
      </c>
      <c r="J40" s="260"/>
    </row>
    <row r="41">
      <c r="A41" s="142">
        <v>41579.0</v>
      </c>
      <c r="B41" s="144"/>
      <c r="C41" s="135" t="str">
        <f t="shared" si="2"/>
        <v>setlist</v>
      </c>
      <c r="D41" s="272" t="s">
        <v>2420</v>
      </c>
      <c r="E41" s="272" t="s">
        <v>2421</v>
      </c>
      <c r="F41" s="115" t="s">
        <v>43</v>
      </c>
      <c r="G41" s="115" t="s">
        <v>36</v>
      </c>
      <c r="H41" s="116" t="str">
        <f>HYPERLINK("http://www.mediafire.com/download/tehec9th7836hbp/2013-11-01_-_Boardwalk_Hall_-_Atlantic_City%2C_NJ.rar", "download link")</f>
        <v>download link</v>
      </c>
      <c r="I41" s="311" t="s">
        <v>2527</v>
      </c>
      <c r="J41" s="273"/>
    </row>
    <row r="42">
      <c r="A42" s="186">
        <v>41580.0</v>
      </c>
      <c r="B42" s="187"/>
      <c r="C42" s="123" t="str">
        <f t="shared" si="2"/>
        <v>setlist</v>
      </c>
      <c r="D42" s="274" t="s">
        <v>2420</v>
      </c>
      <c r="E42" s="274" t="s">
        <v>2421</v>
      </c>
      <c r="F42" s="120" t="s">
        <v>43</v>
      </c>
      <c r="G42" s="120" t="s">
        <v>36</v>
      </c>
      <c r="H42" s="105" t="str">
        <f>HYPERLINK("http://www.mediafire.com/download/qnasgh84wh70b4s/2013-11-02_-_Boardwalk_Hall_-_Atlantic_City%2C_NJ.rar", "download link")</f>
        <v>download link</v>
      </c>
      <c r="I42" s="322" t="s">
        <v>2528</v>
      </c>
      <c r="J42" s="275"/>
    </row>
    <row r="43">
      <c r="A43" s="92"/>
      <c r="B43" s="93"/>
      <c r="C43" s="94"/>
      <c r="D43" s="254" t="s">
        <v>2529</v>
      </c>
      <c r="E43" s="238"/>
      <c r="F43" s="93"/>
      <c r="G43" s="93"/>
      <c r="H43" s="164"/>
      <c r="I43" s="318"/>
      <c r="J43" s="238"/>
    </row>
    <row r="44">
      <c r="A44" s="190">
        <v>41636.0</v>
      </c>
      <c r="B44" s="241"/>
      <c r="C44" s="178" t="str">
        <f t="shared" ref="C44:C47" si="3">HYPERLINK("http://phish.net/setlists/?d="&amp;RIGHT(TEXT(A44,"mm/dd/yyyy"),4)&amp;"-"&amp;LEFT(TEXT(A44,"mm/dd/yyyy"),2)&amp;"-"&amp;MID(TEXT(A44,"mm/dd/yyyy"),4,2), "setlist")</f>
        <v>setlist</v>
      </c>
      <c r="D44" s="306" t="s">
        <v>1553</v>
      </c>
      <c r="E44" s="306" t="s">
        <v>162</v>
      </c>
      <c r="F44" s="191" t="s">
        <v>129</v>
      </c>
      <c r="G44" s="191" t="s">
        <v>36</v>
      </c>
      <c r="H44" s="116" t="str">
        <f>HYPERLINK("http://www.mediafire.com/download/2vl879g77e2f85p/2013-12-28_-_Madison_Square_Garden_-_New_York%2C_NY.rar", "download link")</f>
        <v>download link</v>
      </c>
      <c r="I44" s="319" t="s">
        <v>2497</v>
      </c>
      <c r="J44" s="308"/>
    </row>
    <row r="45">
      <c r="A45" s="103">
        <v>41637.0</v>
      </c>
      <c r="B45" s="104"/>
      <c r="C45" s="105" t="str">
        <f t="shared" si="3"/>
        <v>setlist</v>
      </c>
      <c r="D45" s="181" t="s">
        <v>1553</v>
      </c>
      <c r="E45" s="181" t="s">
        <v>162</v>
      </c>
      <c r="F45" s="107" t="s">
        <v>129</v>
      </c>
      <c r="G45" s="107" t="s">
        <v>36</v>
      </c>
      <c r="H45" s="105" t="str">
        <f>HYPERLINK("http://www.mediafire.com/download/3tdl9cvlowx8t9h/2013-12-29_-_Madison_Square_Garden_-_New_York%2C_NY.rar", "download link")</f>
        <v>download link</v>
      </c>
      <c r="I45" s="312" t="s">
        <v>2497</v>
      </c>
      <c r="J45" s="260"/>
    </row>
    <row r="46">
      <c r="A46" s="142">
        <v>41638.0</v>
      </c>
      <c r="B46" s="144"/>
      <c r="C46" s="116" t="str">
        <f t="shared" si="3"/>
        <v>setlist</v>
      </c>
      <c r="D46" s="272" t="s">
        <v>1553</v>
      </c>
      <c r="E46" s="272" t="s">
        <v>162</v>
      </c>
      <c r="F46" s="115" t="s">
        <v>129</v>
      </c>
      <c r="G46" s="115" t="s">
        <v>36</v>
      </c>
      <c r="H46" s="116" t="str">
        <f>HYPERLINK("http://www.mediafire.com/download/eykgvmfka36reqa/2013-12-30_-_Madison_Square_Garden_-_New_York%2C_NY.rar", "download link")</f>
        <v>download link</v>
      </c>
      <c r="I46" s="311" t="s">
        <v>2497</v>
      </c>
      <c r="J46" s="273"/>
    </row>
    <row r="47">
      <c r="A47" s="103">
        <v>41639.0</v>
      </c>
      <c r="B47" s="104"/>
      <c r="C47" s="105" t="str">
        <f t="shared" si="3"/>
        <v>setlist</v>
      </c>
      <c r="D47" s="181" t="s">
        <v>1553</v>
      </c>
      <c r="E47" s="181" t="s">
        <v>162</v>
      </c>
      <c r="F47" s="107" t="s">
        <v>129</v>
      </c>
      <c r="G47" s="107" t="s">
        <v>36</v>
      </c>
      <c r="H47" s="105" t="str">
        <f>HYPERLINK("http://www.mediafire.com/download/d7t27umtsf2btn3/2013-12-31_-_Madison_Square_Garden_-_New_York%2C_NY.rar", "download link")</f>
        <v>download link</v>
      </c>
      <c r="I47" s="312" t="s">
        <v>2497</v>
      </c>
      <c r="J47" s="260"/>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86"/>
      <c r="B3" s="87"/>
      <c r="C3" s="87"/>
      <c r="D3" s="3"/>
      <c r="E3" s="3"/>
      <c r="F3" s="87"/>
      <c r="G3" s="87"/>
      <c r="H3" s="294"/>
      <c r="I3" s="3"/>
      <c r="J3" s="3"/>
    </row>
    <row r="4">
      <c r="A4" s="92"/>
      <c r="B4" s="93"/>
      <c r="C4" s="93"/>
      <c r="D4" s="254" t="s">
        <v>2530</v>
      </c>
      <c r="E4" s="238"/>
      <c r="F4" s="93"/>
      <c r="G4" s="93"/>
      <c r="H4" s="164"/>
      <c r="I4" s="238"/>
      <c r="J4" s="238"/>
    </row>
    <row r="5">
      <c r="A5" s="301">
        <v>41755.0</v>
      </c>
      <c r="B5" s="161"/>
      <c r="C5" s="217" t="str">
        <f>HYPERLINK("http://phish.net/setlists/?d="&amp;RIGHT(TEXT(A5,"mm/dd/yyyy"),4)&amp;"-"&amp;LEFT(TEXT(A5,"mm/dd/yyyy"),2)&amp;"-"&amp;MID(TEXT(A5,"mm/dd/yyyy"),4,2), "setlist")</f>
        <v>setlist</v>
      </c>
      <c r="D5" s="303" t="s">
        <v>1686</v>
      </c>
      <c r="E5" s="303" t="s">
        <v>585</v>
      </c>
      <c r="F5" s="304" t="s">
        <v>586</v>
      </c>
      <c r="G5" s="304" t="s">
        <v>36</v>
      </c>
      <c r="H5" s="302" t="str">
        <f>HYPERLINK("http://www.mediafire.com/download/crzopyw0tagkcg7/2014-04-26_-_New_Orleans_Fairgrounds_-_New_Orleans%2C_LA.rar", "download link")</f>
        <v>download link</v>
      </c>
      <c r="I5" s="305" t="s">
        <v>2531</v>
      </c>
      <c r="J5" s="323"/>
    </row>
    <row r="6">
      <c r="A6" s="92"/>
      <c r="B6" s="93"/>
      <c r="C6" s="93"/>
      <c r="D6" s="254" t="s">
        <v>2532</v>
      </c>
      <c r="E6" s="238"/>
      <c r="F6" s="93"/>
      <c r="G6" s="93"/>
      <c r="H6" s="164"/>
      <c r="I6" s="238"/>
      <c r="J6" s="238"/>
    </row>
    <row r="7">
      <c r="A7" s="190">
        <v>41814.0</v>
      </c>
      <c r="B7" s="191" t="s">
        <v>32</v>
      </c>
      <c r="C7" s="98" t="str">
        <f t="shared" ref="C7:C8" si="1">HYPERLINK("http://phish.net/setlists/?d="&amp;RIGHT(TEXT(A7,"mm/dd/yyyy"),4)&amp;"-"&amp;LEFT(TEXT(A7,"mm/dd/yyyy"),2)&amp;"-"&amp;MID(TEXT(A7,"mm/dd/yyyy"),4,2), "setlist")</f>
        <v>setlist</v>
      </c>
      <c r="D7" s="306" t="s">
        <v>1551</v>
      </c>
      <c r="E7" s="306" t="s">
        <v>162</v>
      </c>
      <c r="F7" s="191" t="s">
        <v>129</v>
      </c>
      <c r="G7" s="191" t="s">
        <v>36</v>
      </c>
      <c r="H7" s="178" t="str">
        <f>HYPERLINK("http://www.mediafire.com/download/ue9dp8ld2n852gf/2014-06-24_-_Ed_Sullivan_Theater_-_New_York%2C_NY_%28a%29.rar", "download link")</f>
        <v>download link</v>
      </c>
      <c r="I7" s="307" t="s">
        <v>2533</v>
      </c>
      <c r="J7" s="306" t="s">
        <v>2534</v>
      </c>
    </row>
    <row r="8">
      <c r="A8" s="186">
        <v>41814.0</v>
      </c>
      <c r="B8" s="120" t="s">
        <v>32</v>
      </c>
      <c r="C8" s="123" t="str">
        <f t="shared" si="1"/>
        <v>setlist</v>
      </c>
      <c r="D8" s="274" t="s">
        <v>1551</v>
      </c>
      <c r="E8" s="274" t="s">
        <v>162</v>
      </c>
      <c r="F8" s="120" t="s">
        <v>129</v>
      </c>
      <c r="G8" s="120" t="s">
        <v>36</v>
      </c>
      <c r="H8" s="123" t="str">
        <f>HYPERLINK("http://www.mediafire.com/download/a2h29zuum289t3k/2014-06-24_-_Ed_Sullivan_Theater_-_New_York%2C_NY_%28b%29.rar", "download link")</f>
        <v>download link</v>
      </c>
      <c r="I8" s="282" t="s">
        <v>2533</v>
      </c>
      <c r="J8" s="274" t="s">
        <v>2535</v>
      </c>
    </row>
    <row r="9">
      <c r="A9" s="92"/>
      <c r="B9" s="93"/>
      <c r="C9" s="93"/>
      <c r="D9" s="254" t="s">
        <v>2536</v>
      </c>
      <c r="E9" s="238"/>
      <c r="F9" s="93"/>
      <c r="G9" s="93"/>
      <c r="H9" s="164"/>
      <c r="I9" s="238"/>
      <c r="J9" s="238"/>
    </row>
    <row r="10">
      <c r="A10" s="190">
        <v>41821.0</v>
      </c>
      <c r="B10" s="241"/>
      <c r="C10" s="98" t="str">
        <f t="shared" ref="C10:C35" si="2">HYPERLINK("http://phish.net/setlists/?d="&amp;RIGHT(TEXT(A10,"mm/dd/yyyy"),4)&amp;"-"&amp;LEFT(TEXT(A10,"mm/dd/yyyy"),2)&amp;"-"&amp;MID(TEXT(A10,"mm/dd/yyyy"),4,2), "setlist")</f>
        <v>setlist</v>
      </c>
      <c r="D10" s="306" t="s">
        <v>2537</v>
      </c>
      <c r="E10" s="306" t="s">
        <v>1004</v>
      </c>
      <c r="F10" s="191" t="s">
        <v>95</v>
      </c>
      <c r="G10" s="191" t="s">
        <v>36</v>
      </c>
      <c r="H10" s="178" t="str">
        <f>HYPERLINK("http://www.mediafire.com/download/09ab4zdeogrrb3r/2014-07-01_-_Xfinity_Center_-_Mansfield%2C_MA.rar", "download link")</f>
        <v>download link</v>
      </c>
      <c r="I10" s="307" t="s">
        <v>2538</v>
      </c>
      <c r="J10" s="308"/>
    </row>
    <row r="11">
      <c r="A11" s="103">
        <v>41823.0</v>
      </c>
      <c r="B11" s="104"/>
      <c r="C11" s="105" t="str">
        <f t="shared" si="2"/>
        <v>setlist</v>
      </c>
      <c r="D11" s="181" t="s">
        <v>1015</v>
      </c>
      <c r="E11" s="181" t="s">
        <v>465</v>
      </c>
      <c r="F11" s="107" t="s">
        <v>129</v>
      </c>
      <c r="G11" s="107" t="s">
        <v>36</v>
      </c>
      <c r="H11" s="105" t="str">
        <f>HYPERLINK("http://www.mediafire.com/download/n4zo7ay6pxlliop/2014-07-03_-_Saratoga_Performing_Arts_Center_-_Saratoga_Springs%2C_NY.rar", "download link")</f>
        <v>download link</v>
      </c>
      <c r="I11" s="266" t="s">
        <v>2521</v>
      </c>
      <c r="J11" s="260"/>
    </row>
    <row r="12">
      <c r="A12" s="142">
        <v>41824.0</v>
      </c>
      <c r="B12" s="144"/>
      <c r="C12" s="135" t="str">
        <f t="shared" si="2"/>
        <v>setlist</v>
      </c>
      <c r="D12" s="272" t="s">
        <v>1015</v>
      </c>
      <c r="E12" s="272" t="s">
        <v>465</v>
      </c>
      <c r="F12" s="115" t="s">
        <v>129</v>
      </c>
      <c r="G12" s="115" t="s">
        <v>36</v>
      </c>
      <c r="H12" s="116" t="str">
        <f>HYPERLINK("http://www.mediafire.com/download/9q0r7p02xrsoxnv/2014-07-04_-_Saratoga_Performing_Arts_Center_-_Saratoga_Springs%2C_NY.rar", "download link")</f>
        <v>download link</v>
      </c>
      <c r="I12" s="271" t="s">
        <v>2539</v>
      </c>
      <c r="J12" s="273"/>
    </row>
    <row r="13">
      <c r="A13" s="103">
        <v>41825.0</v>
      </c>
      <c r="B13" s="104"/>
      <c r="C13" s="105" t="str">
        <f t="shared" si="2"/>
        <v>setlist</v>
      </c>
      <c r="D13" s="181" t="s">
        <v>1015</v>
      </c>
      <c r="E13" s="181" t="s">
        <v>465</v>
      </c>
      <c r="F13" s="107" t="s">
        <v>129</v>
      </c>
      <c r="G13" s="107" t="s">
        <v>36</v>
      </c>
      <c r="H13" s="105" t="str">
        <f>HYPERLINK("http://www.mediafire.com/download/if7xbd8f2dqaxms/2014-07-05_-_Saratoga_Performing_Arts_Center_-_Saratoga_Springs%2C_NY.rar", "download link")</f>
        <v>download link</v>
      </c>
      <c r="I13" s="266" t="s">
        <v>2521</v>
      </c>
      <c r="J13" s="260"/>
    </row>
    <row r="14">
      <c r="A14" s="142">
        <v>41828.0</v>
      </c>
      <c r="B14" s="144"/>
      <c r="C14" s="135" t="str">
        <f t="shared" si="2"/>
        <v>setlist</v>
      </c>
      <c r="D14" s="272" t="s">
        <v>1001</v>
      </c>
      <c r="E14" s="272" t="s">
        <v>871</v>
      </c>
      <c r="F14" s="115" t="s">
        <v>212</v>
      </c>
      <c r="G14" s="115" t="s">
        <v>36</v>
      </c>
      <c r="H14" s="116" t="str">
        <f>HYPERLINK("http://www.mediafire.com/download/smpov2iw6yk4wwq/2014-07-08_-_The_Mann_Center_for_the_Performing_Arts_-_Philadelphia%2C_PA.rar", "download link")</f>
        <v>download link</v>
      </c>
      <c r="I14" s="271" t="s">
        <v>2540</v>
      </c>
      <c r="J14" s="273"/>
    </row>
    <row r="15">
      <c r="A15" s="103">
        <v>41829.0</v>
      </c>
      <c r="B15" s="104"/>
      <c r="C15" s="105" t="str">
        <f t="shared" si="2"/>
        <v>setlist</v>
      </c>
      <c r="D15" s="181" t="s">
        <v>1001</v>
      </c>
      <c r="E15" s="181" t="s">
        <v>871</v>
      </c>
      <c r="F15" s="107" t="s">
        <v>212</v>
      </c>
      <c r="G15" s="107" t="s">
        <v>36</v>
      </c>
      <c r="H15" s="105" t="str">
        <f>HYPERLINK("http://www.mediafire.com/download/1pdcqb4vyjup59h/2014-07-09_-_The_Mann_Center_for_the_Performing_Arts_-_Philadelphia%2C_PA.rar", "download link")</f>
        <v>download link</v>
      </c>
      <c r="I15" s="266" t="s">
        <v>2539</v>
      </c>
      <c r="J15" s="260"/>
    </row>
    <row r="16">
      <c r="A16" s="142">
        <v>41831.0</v>
      </c>
      <c r="B16" s="144"/>
      <c r="C16" s="135" t="str">
        <f t="shared" si="2"/>
        <v>setlist</v>
      </c>
      <c r="D16" s="272" t="s">
        <v>2541</v>
      </c>
      <c r="E16" s="272" t="s">
        <v>162</v>
      </c>
      <c r="F16" s="115" t="s">
        <v>129</v>
      </c>
      <c r="G16" s="115" t="s">
        <v>36</v>
      </c>
      <c r="H16" s="116" t="str">
        <f>HYPERLINK("http://www.mediafire.com/download/6dolhi7bz7edwrc/2014-07-11_-_Randall%27s_Island_-_New_York%2C_NY.rar", "download link")</f>
        <v>download link</v>
      </c>
      <c r="I16" s="271" t="s">
        <v>2485</v>
      </c>
      <c r="J16" s="273"/>
    </row>
    <row r="17">
      <c r="A17" s="103">
        <v>41832.0</v>
      </c>
      <c r="B17" s="104"/>
      <c r="C17" s="105" t="str">
        <f t="shared" si="2"/>
        <v>setlist</v>
      </c>
      <c r="D17" s="181" t="s">
        <v>2541</v>
      </c>
      <c r="E17" s="181" t="s">
        <v>162</v>
      </c>
      <c r="F17" s="107" t="s">
        <v>129</v>
      </c>
      <c r="G17" s="107" t="s">
        <v>36</v>
      </c>
      <c r="H17" s="105" t="str">
        <f>HYPERLINK("http://www.mediafire.com/download/0fhm69lqaf03kb3/2014-07-12_-_Randall%27s_Island_-_New_York%2C_NY.rar", "download link")</f>
        <v>download link</v>
      </c>
      <c r="I17" s="266" t="s">
        <v>2542</v>
      </c>
      <c r="J17" s="181" t="s">
        <v>2515</v>
      </c>
    </row>
    <row r="18">
      <c r="A18" s="142">
        <v>41833.0</v>
      </c>
      <c r="B18" s="144"/>
      <c r="C18" s="135" t="str">
        <f t="shared" si="2"/>
        <v>setlist</v>
      </c>
      <c r="D18" s="272" t="s">
        <v>2541</v>
      </c>
      <c r="E18" s="272" t="s">
        <v>162</v>
      </c>
      <c r="F18" s="115" t="s">
        <v>129</v>
      </c>
      <c r="G18" s="115" t="s">
        <v>36</v>
      </c>
      <c r="H18" s="116" t="str">
        <f>HYPERLINK("http://www.mediafire.com/download/vkzoelq8pk9b4b2/2014-07-13_-_Randall%27s_Island_-_New_York%2C_NY.rar", "download link")</f>
        <v>download link</v>
      </c>
      <c r="I18" s="271" t="s">
        <v>2314</v>
      </c>
      <c r="J18" s="272" t="s">
        <v>2515</v>
      </c>
    </row>
    <row r="19">
      <c r="A19" s="103">
        <v>41834.0</v>
      </c>
      <c r="B19" s="107" t="s">
        <v>32</v>
      </c>
      <c r="C19" s="105" t="str">
        <f t="shared" si="2"/>
        <v>setlist</v>
      </c>
      <c r="D19" s="181" t="s">
        <v>1936</v>
      </c>
      <c r="E19" s="181" t="s">
        <v>162</v>
      </c>
      <c r="F19" s="107" t="s">
        <v>129</v>
      </c>
      <c r="G19" s="107" t="s">
        <v>36</v>
      </c>
      <c r="H19" s="105" t="str">
        <f>HYPERLINK("http://www.mediafire.com/download/87j71qpgvijyihq/2014-07-14_-_NBC_Studios_-_New_York%2C_NY.rar", "download link")</f>
        <v>download link</v>
      </c>
      <c r="I19" s="266" t="s">
        <v>2533</v>
      </c>
      <c r="J19" s="260"/>
    </row>
    <row r="20">
      <c r="A20" s="142">
        <v>41835.0</v>
      </c>
      <c r="B20" s="144"/>
      <c r="C20" s="135" t="str">
        <f t="shared" si="2"/>
        <v>setlist</v>
      </c>
      <c r="D20" s="272" t="s">
        <v>2389</v>
      </c>
      <c r="E20" s="272" t="s">
        <v>1019</v>
      </c>
      <c r="F20" s="115" t="s">
        <v>129</v>
      </c>
      <c r="G20" s="115" t="s">
        <v>36</v>
      </c>
      <c r="H20" s="116" t="str">
        <f>HYPERLINK("http://www.mediafire.com/download/ah8s648svpnybpl/2014-07-15_-_CMAC_Performing_Arts_Center_-_Canandaigua%2C_NY.rar", "download link")</f>
        <v>download link</v>
      </c>
      <c r="I20" s="271" t="s">
        <v>2485</v>
      </c>
      <c r="J20" s="273"/>
    </row>
    <row r="21">
      <c r="A21" s="103">
        <v>41836.0</v>
      </c>
      <c r="B21" s="104"/>
      <c r="C21" s="105" t="str">
        <f t="shared" si="2"/>
        <v>setlist</v>
      </c>
      <c r="D21" s="181" t="s">
        <v>2431</v>
      </c>
      <c r="E21" s="181" t="s">
        <v>2432</v>
      </c>
      <c r="F21" s="107" t="s">
        <v>712</v>
      </c>
      <c r="G21" s="107" t="s">
        <v>36</v>
      </c>
      <c r="H21" s="105" t="str">
        <f>HYPERLINK("http://www.mediafire.com/download/avetkpvt9b79vmg/2014-07-16_-_DTE_Energy_Music_Theater_-_Clarkston%2C_MI.rar", "download link")</f>
        <v>download link</v>
      </c>
      <c r="I21" s="266" t="s">
        <v>2543</v>
      </c>
      <c r="J21" s="260"/>
    </row>
    <row r="22">
      <c r="A22" s="142">
        <v>41838.0</v>
      </c>
      <c r="B22" s="144"/>
      <c r="C22" s="135" t="str">
        <f t="shared" si="2"/>
        <v>setlist</v>
      </c>
      <c r="D22" s="272" t="s">
        <v>2510</v>
      </c>
      <c r="E22" s="272" t="s">
        <v>479</v>
      </c>
      <c r="F22" s="115" t="s">
        <v>480</v>
      </c>
      <c r="G22" s="115" t="s">
        <v>36</v>
      </c>
      <c r="H22" s="116" t="str">
        <f>HYPERLINK("http://www.mediafire.com/download/pdcxifmk5yh50ot/2014-07-18_-_FirstMerit_Bank_Pavilion_at_Northerly_Island_-_Chicago%2C_IL.rar", "download link")</f>
        <v>download link</v>
      </c>
      <c r="I22" s="271" t="s">
        <v>2543</v>
      </c>
      <c r="J22" s="273"/>
    </row>
    <row r="23">
      <c r="A23" s="103">
        <v>41839.0</v>
      </c>
      <c r="B23" s="104"/>
      <c r="C23" s="105" t="str">
        <f t="shared" si="2"/>
        <v>setlist</v>
      </c>
      <c r="D23" s="181" t="s">
        <v>2510</v>
      </c>
      <c r="E23" s="181" t="s">
        <v>479</v>
      </c>
      <c r="F23" s="107" t="s">
        <v>480</v>
      </c>
      <c r="G23" s="107" t="s">
        <v>36</v>
      </c>
      <c r="H23" s="105" t="str">
        <f>HYPERLINK("http://www.mediafire.com/download/rex70i3ugx5wskq/2014-07-19_-_FirstMerit_Bank_Pavilion_at_Northerly_Island_-_Chicago%2C_IL.rar", "download link")</f>
        <v>download link</v>
      </c>
      <c r="I23" s="266" t="s">
        <v>2543</v>
      </c>
      <c r="J23" s="260"/>
    </row>
    <row r="24">
      <c r="A24" s="142">
        <v>41840.0</v>
      </c>
      <c r="B24" s="144"/>
      <c r="C24" s="135" t="str">
        <f t="shared" si="2"/>
        <v>setlist</v>
      </c>
      <c r="D24" s="272" t="s">
        <v>2510</v>
      </c>
      <c r="E24" s="272" t="s">
        <v>479</v>
      </c>
      <c r="F24" s="115" t="s">
        <v>480</v>
      </c>
      <c r="G24" s="115" t="s">
        <v>36</v>
      </c>
      <c r="H24" s="116" t="str">
        <f>HYPERLINK("http://www.mediafire.com/download/omrkntxk8gs0jcg/2014-07-20_-_FirstMerit_Bank_Pavilion_at_Northerly_Island_-_Chicago%2C_IL.rar", "download link")</f>
        <v>download link</v>
      </c>
      <c r="I24" s="271" t="s">
        <v>2543</v>
      </c>
      <c r="J24" s="273"/>
    </row>
    <row r="25">
      <c r="A25" s="103">
        <v>41845.0</v>
      </c>
      <c r="B25" s="104"/>
      <c r="C25" s="105" t="str">
        <f t="shared" si="2"/>
        <v>setlist</v>
      </c>
      <c r="D25" s="181" t="s">
        <v>2544</v>
      </c>
      <c r="E25" s="181" t="s">
        <v>541</v>
      </c>
      <c r="F25" s="107" t="s">
        <v>443</v>
      </c>
      <c r="G25" s="107" t="s">
        <v>36</v>
      </c>
      <c r="H25" s="105" t="str">
        <f>HYPERLINK("http://www.mediafire.com/download/wxdayrx01kd76im/2014-07-25_-_PNC_Music_Pavilion_-_Charlotte%2C_NC.rar", "download link")</f>
        <v>download link</v>
      </c>
      <c r="I25" s="266" t="s">
        <v>2314</v>
      </c>
      <c r="J25" s="260"/>
    </row>
    <row r="26">
      <c r="A26" s="142">
        <v>41846.0</v>
      </c>
      <c r="B26" s="144"/>
      <c r="C26" s="135" t="str">
        <f t="shared" si="2"/>
        <v>setlist</v>
      </c>
      <c r="D26" s="272" t="s">
        <v>1000</v>
      </c>
      <c r="E26" s="272" t="s">
        <v>439</v>
      </c>
      <c r="F26" s="115" t="s">
        <v>397</v>
      </c>
      <c r="G26" s="115" t="s">
        <v>36</v>
      </c>
      <c r="H26" s="116" t="str">
        <f>HYPERLINK("http://www.mediafire.com/download/huz30cbhgg9tddc/2014-07-26_-_Merriweather_Post_Pavilion_-_Columbia%2C_MD.rar", "download link")</f>
        <v>download link</v>
      </c>
      <c r="I26" s="271" t="s">
        <v>2545</v>
      </c>
      <c r="J26" s="272" t="s">
        <v>2502</v>
      </c>
    </row>
    <row r="27">
      <c r="A27" s="103">
        <v>41847.0</v>
      </c>
      <c r="B27" s="104"/>
      <c r="C27" s="105" t="str">
        <f t="shared" si="2"/>
        <v>setlist</v>
      </c>
      <c r="D27" s="181" t="s">
        <v>1000</v>
      </c>
      <c r="E27" s="181" t="s">
        <v>439</v>
      </c>
      <c r="F27" s="107" t="s">
        <v>397</v>
      </c>
      <c r="G27" s="107" t="s">
        <v>36</v>
      </c>
      <c r="H27" s="105" t="str">
        <f>HYPERLINK("http://www.mediafire.com/download/n69avt6oau492gg/2014-07-27_-_Merriweather_Post_Pavilion_-_Columbia%2C_MD.rar", "download link")</f>
        <v>download link</v>
      </c>
      <c r="I27" s="266" t="s">
        <v>2546</v>
      </c>
      <c r="J27" s="181" t="s">
        <v>2502</v>
      </c>
    </row>
    <row r="28">
      <c r="A28" s="142">
        <v>41849.0</v>
      </c>
      <c r="B28" s="144"/>
      <c r="C28" s="135" t="str">
        <f t="shared" si="2"/>
        <v>setlist</v>
      </c>
      <c r="D28" s="272" t="s">
        <v>2383</v>
      </c>
      <c r="E28" s="272" t="s">
        <v>634</v>
      </c>
      <c r="F28" s="115" t="s">
        <v>446</v>
      </c>
      <c r="G28" s="115" t="s">
        <v>36</v>
      </c>
      <c r="H28" s="116" t="str">
        <f>HYPERLINK("http://www.mediafire.com/download/i04qyssncth1ei9/2014-07-29_-_nTelos_Pavilion_-_Portsmouth%2C_VA.rar", "download link")</f>
        <v>download link</v>
      </c>
      <c r="I28" s="271" t="s">
        <v>2547</v>
      </c>
      <c r="J28" s="273"/>
    </row>
    <row r="29">
      <c r="A29" s="103">
        <v>41850.0</v>
      </c>
      <c r="B29" s="104"/>
      <c r="C29" s="105" t="str">
        <f t="shared" si="2"/>
        <v>setlist</v>
      </c>
      <c r="D29" s="181" t="s">
        <v>2383</v>
      </c>
      <c r="E29" s="181" t="s">
        <v>634</v>
      </c>
      <c r="F29" s="107" t="s">
        <v>446</v>
      </c>
      <c r="G29" s="107" t="s">
        <v>36</v>
      </c>
      <c r="H29" s="105" t="str">
        <f>HYPERLINK("http://www.mediafire.com/download/b3p18nbusi26pmm/2014-07-30_-_nTelos_Pavilion_-_Portsmouth%2C_VA.rar", "download link")</f>
        <v>download link</v>
      </c>
      <c r="I29" s="266" t="s">
        <v>2547</v>
      </c>
      <c r="J29" s="181" t="s">
        <v>2515</v>
      </c>
    </row>
    <row r="30">
      <c r="A30" s="142">
        <v>41852.0</v>
      </c>
      <c r="B30" s="144"/>
      <c r="C30" s="135" t="str">
        <f t="shared" si="2"/>
        <v>setlist</v>
      </c>
      <c r="D30" s="272" t="s">
        <v>2548</v>
      </c>
      <c r="E30" s="272" t="s">
        <v>2549</v>
      </c>
      <c r="F30" s="115" t="s">
        <v>583</v>
      </c>
      <c r="G30" s="115" t="s">
        <v>36</v>
      </c>
      <c r="H30" s="116" t="str">
        <f>HYPERLINK("http://www.mediafire.com/download/k01g106b0k7l3du/2014-08-01_-_Aphitheater_at_the_Wharf_-_Orange_Beach%2C_AL.rar", "download link")</f>
        <v>download link</v>
      </c>
      <c r="I30" s="271" t="s">
        <v>2550</v>
      </c>
      <c r="J30" s="273"/>
    </row>
    <row r="31">
      <c r="A31" s="103">
        <v>41853.0</v>
      </c>
      <c r="B31" s="104"/>
      <c r="C31" s="105" t="str">
        <f t="shared" si="2"/>
        <v>setlist</v>
      </c>
      <c r="D31" s="181" t="s">
        <v>1460</v>
      </c>
      <c r="E31" s="181" t="s">
        <v>1461</v>
      </c>
      <c r="F31" s="107" t="s">
        <v>583</v>
      </c>
      <c r="G31" s="107" t="s">
        <v>36</v>
      </c>
      <c r="H31" s="105" t="str">
        <f>HYPERLINK("http://www.mediafire.com/download/o363plwg2iru7hb/2014-08-02_-_Oak_Mountain_Amphitheatre_-_Pelham%2C_AL.rar", "download link")</f>
        <v>download link</v>
      </c>
      <c r="I31" s="266" t="s">
        <v>2551</v>
      </c>
      <c r="J31" s="260"/>
    </row>
    <row r="32">
      <c r="A32" s="142">
        <v>41854.0</v>
      </c>
      <c r="B32" s="144"/>
      <c r="C32" s="135" t="str">
        <f t="shared" si="2"/>
        <v>setlist</v>
      </c>
      <c r="D32" s="272" t="s">
        <v>2393</v>
      </c>
      <c r="E32" s="272" t="s">
        <v>2394</v>
      </c>
      <c r="F32" s="115" t="s">
        <v>433</v>
      </c>
      <c r="G32" s="115" t="s">
        <v>36</v>
      </c>
      <c r="H32" s="116" t="str">
        <f>HYPERLINK("http://www.mediafire.com/download/b4dbzoab1a8h66q/2014-08-03_-_Verizon_Wireless_Amphitheatre_at_Encore_Park_-_Alpharetta%2C_GA.rar", "download link")</f>
        <v>download link</v>
      </c>
      <c r="I32" s="271" t="s">
        <v>2552</v>
      </c>
      <c r="J32" s="273"/>
    </row>
    <row r="33">
      <c r="A33" s="103">
        <v>41880.0</v>
      </c>
      <c r="B33" s="104"/>
      <c r="C33" s="105" t="str">
        <f t="shared" si="2"/>
        <v>setlist</v>
      </c>
      <c r="D33" s="181" t="s">
        <v>2457</v>
      </c>
      <c r="E33" s="181" t="s">
        <v>2458</v>
      </c>
      <c r="F33" s="107" t="s">
        <v>203</v>
      </c>
      <c r="G33" s="107" t="s">
        <v>36</v>
      </c>
      <c r="H33" s="105" t="str">
        <f>HYPERLINK("http://www.mediafire.com/download/vydha2hto60lz3g/2014-08-29_-_Dick%27s_Sporting_Goods_Park_-_Commerce_City%2C_CO.rar", "download link")</f>
        <v>download link</v>
      </c>
      <c r="I33" s="266" t="s">
        <v>2553</v>
      </c>
      <c r="J33" s="181" t="s">
        <v>2515</v>
      </c>
    </row>
    <row r="34">
      <c r="A34" s="142">
        <v>41881.0</v>
      </c>
      <c r="B34" s="144"/>
      <c r="C34" s="135" t="str">
        <f t="shared" si="2"/>
        <v>setlist</v>
      </c>
      <c r="D34" s="272" t="s">
        <v>2457</v>
      </c>
      <c r="E34" s="272" t="s">
        <v>2458</v>
      </c>
      <c r="F34" s="115" t="s">
        <v>203</v>
      </c>
      <c r="G34" s="115" t="s">
        <v>36</v>
      </c>
      <c r="H34" s="116" t="str">
        <f>HYPERLINK("http://www.mediafire.com/download/usm0ybpart8qtt1/2014-08-30_-_Dick%27s_Sporting_Goods_Park_-_Commerce_City%2C_CO.rar", "download link")</f>
        <v>download link</v>
      </c>
      <c r="I34" s="271" t="s">
        <v>2554</v>
      </c>
      <c r="J34" s="272" t="s">
        <v>2515</v>
      </c>
    </row>
    <row r="35">
      <c r="A35" s="186">
        <v>41882.0</v>
      </c>
      <c r="B35" s="187"/>
      <c r="C35" s="123" t="str">
        <f t="shared" si="2"/>
        <v>setlist</v>
      </c>
      <c r="D35" s="274" t="s">
        <v>2457</v>
      </c>
      <c r="E35" s="274" t="s">
        <v>2458</v>
      </c>
      <c r="F35" s="120" t="s">
        <v>203</v>
      </c>
      <c r="G35" s="120" t="s">
        <v>36</v>
      </c>
      <c r="H35" s="105" t="str">
        <f>HYPERLINK("http://www.mediafire.com/download/4g56u6m7kdggo73/2014-08-31_-_Dick%27s_Sporting_Goods_Park_-_Commerce_City%2C_CO.rar", "download link")</f>
        <v>download link</v>
      </c>
      <c r="I35" s="282" t="s">
        <v>2554</v>
      </c>
      <c r="J35" s="274" t="s">
        <v>2515</v>
      </c>
    </row>
    <row r="36">
      <c r="A36" s="92"/>
      <c r="B36" s="93"/>
      <c r="C36" s="94"/>
      <c r="D36" s="254" t="s">
        <v>2555</v>
      </c>
      <c r="E36" s="238"/>
      <c r="F36" s="93"/>
      <c r="G36" s="93"/>
      <c r="H36" s="164"/>
      <c r="I36" s="238"/>
      <c r="J36" s="238"/>
    </row>
    <row r="37">
      <c r="A37" s="190">
        <v>41929.0</v>
      </c>
      <c r="B37" s="241"/>
      <c r="C37" s="178" t="str">
        <f t="shared" ref="C37:C48" si="3">HYPERLINK("http://phish.net/setlists/?d="&amp;RIGHT(TEXT(A37,"mm/dd/yyyy"),4)&amp;"-"&amp;LEFT(TEXT(A37,"mm/dd/yyyy"),2)&amp;"-"&amp;MID(TEXT(A37,"mm/dd/yyyy"),4,2), "setlist")</f>
        <v>setlist</v>
      </c>
      <c r="D37" s="306" t="s">
        <v>2556</v>
      </c>
      <c r="E37" s="306" t="s">
        <v>695</v>
      </c>
      <c r="F37" s="191" t="s">
        <v>692</v>
      </c>
      <c r="G37" s="191" t="s">
        <v>36</v>
      </c>
      <c r="H37" s="116" t="str">
        <f>HYPERLINK("http://www.mediafire.com/download/698215s2g26dlh3/2014-10-17_-_Matthew_Knight_Arena_-_Eugene%2C_OR.rar", "download link")</f>
        <v>download link</v>
      </c>
      <c r="I37" s="271" t="s">
        <v>2557</v>
      </c>
      <c r="J37" s="308"/>
    </row>
    <row r="38">
      <c r="A38" s="103">
        <v>41930.0</v>
      </c>
      <c r="B38" s="104"/>
      <c r="C38" s="105" t="str">
        <f t="shared" si="3"/>
        <v>setlist</v>
      </c>
      <c r="D38" s="181" t="s">
        <v>1791</v>
      </c>
      <c r="E38" s="181" t="s">
        <v>791</v>
      </c>
      <c r="F38" s="107" t="s">
        <v>701</v>
      </c>
      <c r="G38" s="107" t="s">
        <v>36</v>
      </c>
      <c r="H38" s="105" t="str">
        <f>HYPERLINK("http://www.mediafire.com/download/8f1xej6at5e5170/2014-10-18_-_Key_Arena_-_Seattle%2C_WA.rar", "download link")</f>
        <v>download link</v>
      </c>
      <c r="I38" s="266" t="s">
        <v>2558</v>
      </c>
      <c r="J38" s="260"/>
    </row>
    <row r="39">
      <c r="A39" s="142">
        <v>41933.0</v>
      </c>
      <c r="B39" s="144"/>
      <c r="C39" s="116" t="str">
        <f t="shared" si="3"/>
        <v>setlist</v>
      </c>
      <c r="D39" s="272" t="s">
        <v>1047</v>
      </c>
      <c r="E39" s="272" t="s">
        <v>913</v>
      </c>
      <c r="F39" s="115" t="s">
        <v>679</v>
      </c>
      <c r="G39" s="115" t="s">
        <v>36</v>
      </c>
      <c r="H39" s="116" t="str">
        <f>HYPERLINK("http://www.mediafire.com/download/it5ls410mbxbdfz/2014-10-21_-_Santa_Barbara_County_Bowl_-_Santa_Barbara%2C_CA.rar", "download link")</f>
        <v>download link</v>
      </c>
      <c r="I39" s="271" t="s">
        <v>2559</v>
      </c>
      <c r="J39" s="273"/>
    </row>
    <row r="40">
      <c r="A40" s="103">
        <v>41934.0</v>
      </c>
      <c r="B40" s="104"/>
      <c r="C40" s="105" t="str">
        <f t="shared" si="3"/>
        <v>setlist</v>
      </c>
      <c r="D40" s="181" t="s">
        <v>1047</v>
      </c>
      <c r="E40" s="181" t="s">
        <v>913</v>
      </c>
      <c r="F40" s="107" t="s">
        <v>679</v>
      </c>
      <c r="G40" s="107" t="s">
        <v>36</v>
      </c>
      <c r="H40" s="105" t="str">
        <f>HYPERLINK("http://www.mediafire.com/download/9q73gm337j7ev88/2014-10-22_-_Santa_Barbara_County_Bowl_-_Santa_Barbara%2C_CA.rar", "download link")</f>
        <v>download link</v>
      </c>
      <c r="I40" s="266" t="s">
        <v>2559</v>
      </c>
      <c r="J40" s="260"/>
    </row>
    <row r="41">
      <c r="A41" s="142">
        <v>41936.0</v>
      </c>
      <c r="B41" s="144"/>
      <c r="C41" s="116" t="str">
        <f t="shared" si="3"/>
        <v>setlist</v>
      </c>
      <c r="D41" s="272" t="s">
        <v>1724</v>
      </c>
      <c r="E41" s="272" t="s">
        <v>911</v>
      </c>
      <c r="F41" s="115" t="s">
        <v>679</v>
      </c>
      <c r="G41" s="115" t="s">
        <v>36</v>
      </c>
      <c r="H41" s="116" t="str">
        <f>HYPERLINK("http://www.mediafire.com/download/oxl06u6can3mygr/2014-10-24_-_The_Forum_-_Inglewood%2C_CA.rar", "download link")</f>
        <v>download link</v>
      </c>
      <c r="I41" s="271" t="s">
        <v>2559</v>
      </c>
      <c r="J41" s="273"/>
    </row>
    <row r="42">
      <c r="A42" s="103">
        <v>41937.0</v>
      </c>
      <c r="B42" s="104"/>
      <c r="C42" s="105" t="str">
        <f t="shared" si="3"/>
        <v>setlist</v>
      </c>
      <c r="D42" s="181" t="s">
        <v>2560</v>
      </c>
      <c r="E42" s="266" t="s">
        <v>2102</v>
      </c>
      <c r="F42" s="107" t="s">
        <v>679</v>
      </c>
      <c r="G42" s="107" t="s">
        <v>36</v>
      </c>
      <c r="H42" s="105" t="str">
        <f>HYPERLINK("http://www.mediafire.com/download/0m4bjk8evewyewh/2014-10-25_-_Sleep_Train_Amphitheatre_-_Chula_Vista%2C_CA.rar", "download link")</f>
        <v>download link</v>
      </c>
      <c r="I42" s="266" t="s">
        <v>2559</v>
      </c>
      <c r="J42" s="260"/>
    </row>
    <row r="43">
      <c r="A43" s="142">
        <v>41939.0</v>
      </c>
      <c r="B43" s="144"/>
      <c r="C43" s="116" t="str">
        <f t="shared" si="3"/>
        <v>setlist</v>
      </c>
      <c r="D43" s="272" t="s">
        <v>2481</v>
      </c>
      <c r="E43" s="272" t="s">
        <v>683</v>
      </c>
      <c r="F43" s="115" t="s">
        <v>679</v>
      </c>
      <c r="G43" s="115" t="s">
        <v>36</v>
      </c>
      <c r="H43" s="116" t="str">
        <f>HYPERLINK("http://www.mediafire.com/download/g69b7ux80f59jrh/2014-10-27_-_Bill_Graham_Civic_Auditorium_-_San_Francisco%2C_CA.rar", "download link")</f>
        <v>download link</v>
      </c>
      <c r="I43" s="271" t="s">
        <v>2561</v>
      </c>
      <c r="J43" s="273"/>
    </row>
    <row r="44">
      <c r="A44" s="103">
        <v>41940.0</v>
      </c>
      <c r="B44" s="104"/>
      <c r="C44" s="105" t="str">
        <f t="shared" si="3"/>
        <v>setlist</v>
      </c>
      <c r="D44" s="181" t="s">
        <v>2481</v>
      </c>
      <c r="E44" s="181" t="s">
        <v>683</v>
      </c>
      <c r="F44" s="107" t="s">
        <v>679</v>
      </c>
      <c r="G44" s="107" t="s">
        <v>36</v>
      </c>
      <c r="H44" s="105" t="str">
        <f>HYPERLINK("http://www.mediafire.com/download/cnxfg27sdjhka1y/2014-10-28_-_Bill_Graham_Civic_Auditorium_-_San_Francisco%2C_CA.rar", "download link")</f>
        <v>download link</v>
      </c>
      <c r="I44" s="266" t="s">
        <v>2561</v>
      </c>
      <c r="J44" s="260"/>
    </row>
    <row r="45">
      <c r="A45" s="142">
        <v>41941.0</v>
      </c>
      <c r="B45" s="144"/>
      <c r="C45" s="116" t="str">
        <f t="shared" si="3"/>
        <v>setlist</v>
      </c>
      <c r="D45" s="272" t="s">
        <v>2481</v>
      </c>
      <c r="E45" s="272" t="s">
        <v>683</v>
      </c>
      <c r="F45" s="115" t="s">
        <v>679</v>
      </c>
      <c r="G45" s="115" t="s">
        <v>36</v>
      </c>
      <c r="H45" s="116" t="str">
        <f>HYPERLINK("http://www.mediafire.com/download/vys673bf5t4o2i7/2014-10-29_-_Bill_Graham_Civic_Auditorium_-_San_Francisco%2C_CA.rar", "download link")</f>
        <v>download link</v>
      </c>
      <c r="I45" s="271" t="s">
        <v>2561</v>
      </c>
      <c r="J45" s="273"/>
    </row>
    <row r="46">
      <c r="A46" s="103">
        <v>41943.0</v>
      </c>
      <c r="B46" s="104"/>
      <c r="C46" s="105" t="str">
        <f t="shared" si="3"/>
        <v>setlist</v>
      </c>
      <c r="D46" s="181" t="s">
        <v>2562</v>
      </c>
      <c r="E46" s="181" t="s">
        <v>1804</v>
      </c>
      <c r="F46" s="107" t="s">
        <v>1805</v>
      </c>
      <c r="G46" s="107" t="s">
        <v>36</v>
      </c>
      <c r="H46" s="105" t="str">
        <f>HYPERLINK("http://www.mediafire.com/download/6bwgnhno7lr3hxe/2014-10-31_-_MGM_Grand_Garden_Arena_-_Las_Vegas%2C_NV.rar", "download link")</f>
        <v>download link</v>
      </c>
      <c r="I46" s="266" t="s">
        <v>2563</v>
      </c>
      <c r="J46" s="260"/>
    </row>
    <row r="47">
      <c r="A47" s="142">
        <v>41944.0</v>
      </c>
      <c r="B47" s="144"/>
      <c r="C47" s="116" t="str">
        <f t="shared" si="3"/>
        <v>setlist</v>
      </c>
      <c r="D47" s="272" t="s">
        <v>2562</v>
      </c>
      <c r="E47" s="272" t="s">
        <v>1804</v>
      </c>
      <c r="F47" s="115" t="s">
        <v>1805</v>
      </c>
      <c r="G47" s="115" t="s">
        <v>36</v>
      </c>
      <c r="H47" s="116" t="str">
        <f>HYPERLINK("http://www.mediafire.com/download/3b90cu7a6l018sx/2014-11-01_-_MGM_Grand_Garden_Arena_-_Las_Vegas%2C_NV.rar", "download link")</f>
        <v>download link</v>
      </c>
      <c r="I47" s="271" t="s">
        <v>2563</v>
      </c>
      <c r="J47" s="273"/>
    </row>
    <row r="48">
      <c r="A48" s="186">
        <v>41945.0</v>
      </c>
      <c r="B48" s="187"/>
      <c r="C48" s="123" t="str">
        <f t="shared" si="3"/>
        <v>setlist</v>
      </c>
      <c r="D48" s="274" t="s">
        <v>2562</v>
      </c>
      <c r="E48" s="274" t="s">
        <v>1804</v>
      </c>
      <c r="F48" s="120" t="s">
        <v>1805</v>
      </c>
      <c r="G48" s="120" t="s">
        <v>36</v>
      </c>
      <c r="H48" s="105" t="str">
        <f>HYPERLINK("http://www.mediafire.com/download/zt1oux335w6wtee/2014-11-02_-_MGM_Grand_Garden_Arena_-_Las_Vegas%2C_NV.rar", "download link")</f>
        <v>download link</v>
      </c>
      <c r="I48" s="282" t="s">
        <v>2563</v>
      </c>
      <c r="J48" s="275"/>
    </row>
    <row r="49">
      <c r="A49" s="92"/>
      <c r="B49" s="93"/>
      <c r="C49" s="94"/>
      <c r="D49" s="254" t="s">
        <v>2564</v>
      </c>
      <c r="E49" s="238"/>
      <c r="F49" s="93"/>
      <c r="G49" s="93"/>
      <c r="H49" s="164"/>
      <c r="I49" s="238"/>
      <c r="J49" s="238"/>
    </row>
    <row r="50">
      <c r="A50" s="190">
        <v>42004.0</v>
      </c>
      <c r="B50" s="241"/>
      <c r="C50" s="116" t="str">
        <f>HYPERLINK("http://phish.net/setlists/?d="&amp;RIGHT(TEXT(A50,"mm/dd/yyyy"),4)&amp;"-"&amp;LEFT(TEXT(A50,"mm/dd/yyyy"),2)&amp;"-"&amp;MID(TEXT(A50,"mm/dd/yyyy"),4,2), "setlist")</f>
        <v>setlist</v>
      </c>
      <c r="D50" s="306" t="s">
        <v>2286</v>
      </c>
      <c r="E50" s="306" t="s">
        <v>1274</v>
      </c>
      <c r="F50" s="191" t="s">
        <v>1133</v>
      </c>
      <c r="G50" s="191" t="s">
        <v>36</v>
      </c>
      <c r="H50" s="116" t="str">
        <f>HYPERLINK("http://www.mediafire.com/download/dd1074yvfrcncx3/2014-12-31_-_American_Airlines_Arena_-_Miami%2C_FL.rar", "download link")</f>
        <v>download link</v>
      </c>
      <c r="I50" s="271" t="s">
        <v>2565</v>
      </c>
      <c r="J50" s="308"/>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54" t="s">
        <v>2564</v>
      </c>
      <c r="E4" s="238"/>
      <c r="F4" s="93"/>
      <c r="G4" s="93"/>
      <c r="H4" s="164"/>
      <c r="I4" s="238"/>
      <c r="J4" s="238"/>
    </row>
    <row r="5">
      <c r="A5" s="150">
        <v>42005.0</v>
      </c>
      <c r="B5" s="156"/>
      <c r="C5" s="116" t="str">
        <f t="shared" ref="C5:C7" si="1">HYPERLINK("http://phish.net/setlists/?d="&amp;RIGHT(TEXT(A5,"mm/dd/yyyy"),4)&amp;"-"&amp;LEFT(TEXT(A5,"mm/dd/yyyy"),2)&amp;"-"&amp;MID(TEXT(A5,"mm/dd/yyyy"),4,2), "setlist")</f>
        <v>setlist</v>
      </c>
      <c r="D5" s="290" t="s">
        <v>2286</v>
      </c>
      <c r="E5" s="290" t="s">
        <v>1274</v>
      </c>
      <c r="F5" s="151" t="s">
        <v>1133</v>
      </c>
      <c r="G5" s="151" t="s">
        <v>36</v>
      </c>
      <c r="H5" s="116" t="str">
        <f>HYPERLINK("http://www.mediafire.com/download/9wjvamdrn0qoc4z/2015-01-01_-_American_Airlines_Arena_-_Miami%2C_FL.rar", "download link")</f>
        <v>download link</v>
      </c>
      <c r="I5" s="291" t="s">
        <v>2566</v>
      </c>
      <c r="J5" s="292"/>
    </row>
    <row r="6">
      <c r="A6" s="130">
        <v>42006.0</v>
      </c>
      <c r="B6" s="131"/>
      <c r="C6" s="105" t="str">
        <f t="shared" si="1"/>
        <v>setlist</v>
      </c>
      <c r="D6" s="287" t="s">
        <v>2286</v>
      </c>
      <c r="E6" s="287" t="s">
        <v>1274</v>
      </c>
      <c r="F6" s="133" t="s">
        <v>1133</v>
      </c>
      <c r="G6" s="133" t="s">
        <v>36</v>
      </c>
      <c r="H6" s="105" t="str">
        <f>HYPERLINK("http://www.mediafire.com/download/lqyn36tt53v4c9i/2015-01-02_-_American_Airlines_Arena_-_Miami%2C_FL.rar", "download link")</f>
        <v>download link</v>
      </c>
      <c r="I6" s="288" t="s">
        <v>2567</v>
      </c>
      <c r="J6" s="289"/>
    </row>
    <row r="7">
      <c r="A7" s="150">
        <v>42007.0</v>
      </c>
      <c r="B7" s="156"/>
      <c r="C7" s="116" t="str">
        <f t="shared" si="1"/>
        <v>setlist</v>
      </c>
      <c r="D7" s="290" t="s">
        <v>2286</v>
      </c>
      <c r="E7" s="290" t="s">
        <v>1274</v>
      </c>
      <c r="F7" s="151" t="s">
        <v>1133</v>
      </c>
      <c r="G7" s="151" t="s">
        <v>36</v>
      </c>
      <c r="H7" s="116" t="str">
        <f>HYPERLINK("http://www.mediafire.com/download/fcba7nvyj2me51b/2015-01-03_-_American_Airlines_Arena_-_Miami%2C_FL.rar", "download link")</f>
        <v>download link</v>
      </c>
      <c r="I7" s="291" t="s">
        <v>2568</v>
      </c>
      <c r="J7" s="292"/>
    </row>
    <row r="8">
      <c r="A8" s="92"/>
      <c r="B8" s="93"/>
      <c r="C8" s="93"/>
      <c r="D8" s="264" t="s">
        <v>2569</v>
      </c>
      <c r="E8" s="238"/>
      <c r="F8" s="93"/>
      <c r="G8" s="93"/>
      <c r="H8" s="164"/>
      <c r="I8" s="238"/>
      <c r="J8" s="238"/>
    </row>
    <row r="9">
      <c r="A9" s="325">
        <v>42206.0</v>
      </c>
      <c r="B9" s="156"/>
      <c r="C9" s="116" t="str">
        <f t="shared" ref="C9:C30" si="2">HYPERLINK("http://phish.net/setlists/?d="&amp;RIGHT(TEXT(A9,"mm/dd/yyyy"),4)&amp;"-"&amp;LEFT(TEXT(A9,"mm/dd/yyyy"),2)&amp;"-"&amp;MID(TEXT(A9,"mm/dd/yyyy"),4,2), "setlist")</f>
        <v>setlist</v>
      </c>
      <c r="D9" s="326" t="s">
        <v>2570</v>
      </c>
      <c r="E9" s="291" t="s">
        <v>2571</v>
      </c>
      <c r="F9" s="196" t="s">
        <v>692</v>
      </c>
      <c r="G9" s="196" t="s">
        <v>36</v>
      </c>
      <c r="H9" s="116" t="str">
        <f>HYPERLINK("http://www.mediafire.com/download/fvv9fjoha31m1f0/2015-07-21_-_Les_Schwab_Amphitheater_-_Bend%2C_OR.rar", "download link")</f>
        <v>download link</v>
      </c>
      <c r="I9" s="291" t="s">
        <v>2557</v>
      </c>
      <c r="J9" s="292"/>
    </row>
    <row r="10">
      <c r="A10" s="327">
        <v>42207.0</v>
      </c>
      <c r="B10" s="131"/>
      <c r="C10" s="105" t="str">
        <f t="shared" si="2"/>
        <v>setlist</v>
      </c>
      <c r="D10" s="328" t="s">
        <v>2570</v>
      </c>
      <c r="E10" s="288" t="s">
        <v>2571</v>
      </c>
      <c r="F10" s="195" t="s">
        <v>692</v>
      </c>
      <c r="G10" s="195" t="s">
        <v>36</v>
      </c>
      <c r="H10" s="105" t="str">
        <f>HYPERLINK("http://www.mediafire.com/download/l7tn12gv83b0uxj/2015-07-22_-_Les_Schwab_Amphitheater_-_Bend%2C_OR.rar", "download link")</f>
        <v>download link</v>
      </c>
      <c r="I10" s="288" t="s">
        <v>2557</v>
      </c>
      <c r="J10" s="289"/>
    </row>
    <row r="11">
      <c r="A11" s="325">
        <v>42209.0</v>
      </c>
      <c r="B11" s="156"/>
      <c r="C11" s="116" t="str">
        <f t="shared" si="2"/>
        <v>setlist</v>
      </c>
      <c r="D11" s="326" t="s">
        <v>1052</v>
      </c>
      <c r="E11" s="291" t="s">
        <v>1053</v>
      </c>
      <c r="F11" s="196" t="s">
        <v>679</v>
      </c>
      <c r="G11" s="196" t="s">
        <v>36</v>
      </c>
      <c r="H11" s="116" t="str">
        <f>HYPERLINK("http://www.mediafire.com/download/0w5tzih19yjs6q2/2015-07-24_-_Shoreline_Amphitheatre_-_Mountain_View%2C_CA.rar", "download link")</f>
        <v>download link</v>
      </c>
      <c r="I11" s="291" t="s">
        <v>2572</v>
      </c>
      <c r="J11" s="292"/>
    </row>
    <row r="12">
      <c r="A12" s="327">
        <v>42210.0</v>
      </c>
      <c r="B12" s="131"/>
      <c r="C12" s="105" t="str">
        <f t="shared" si="2"/>
        <v>setlist</v>
      </c>
      <c r="D12" s="328" t="s">
        <v>1724</v>
      </c>
      <c r="E12" s="288" t="s">
        <v>2232</v>
      </c>
      <c r="F12" s="195" t="s">
        <v>679</v>
      </c>
      <c r="G12" s="195" t="s">
        <v>36</v>
      </c>
      <c r="H12" s="105" t="str">
        <f>HYPERLINK("http://www.mediafire.com/download/ub6covvash0qawb/2015-07-25_-_The_Forum_-_Inglewood%2C_CA.rar", "download link")</f>
        <v>download link</v>
      </c>
      <c r="I12" s="288" t="s">
        <v>2573</v>
      </c>
      <c r="J12" s="289"/>
    </row>
    <row r="13">
      <c r="A13" s="329">
        <v>42213.0</v>
      </c>
      <c r="B13" s="156"/>
      <c r="C13" s="116" t="str">
        <f t="shared" si="2"/>
        <v>setlist</v>
      </c>
      <c r="D13" s="326" t="s">
        <v>2574</v>
      </c>
      <c r="E13" s="291" t="s">
        <v>2575</v>
      </c>
      <c r="F13" s="196" t="s">
        <v>589</v>
      </c>
      <c r="G13" s="196" t="s">
        <v>36</v>
      </c>
      <c r="H13" s="116" t="str">
        <f>HYPERLINK("http://www.mediafire.com/download/twd388gm9ka4gma/2015-07-28_-_Austin360_Amphitheater_-_Del_Valle%2C_TX.rar", "download link")</f>
        <v>download link</v>
      </c>
      <c r="I13" s="291" t="s">
        <v>2576</v>
      </c>
      <c r="J13" s="292"/>
    </row>
    <row r="14">
      <c r="A14" s="327">
        <v>42214.0</v>
      </c>
      <c r="B14" s="131"/>
      <c r="C14" s="105" t="str">
        <f t="shared" si="2"/>
        <v>setlist</v>
      </c>
      <c r="D14" s="328" t="s">
        <v>2577</v>
      </c>
      <c r="E14" s="288" t="s">
        <v>2578</v>
      </c>
      <c r="F14" s="195" t="s">
        <v>589</v>
      </c>
      <c r="G14" s="195" t="s">
        <v>36</v>
      </c>
      <c r="H14" s="105" t="str">
        <f>HYPERLINK("http://www.mediafire.com/download/r6o4n8v1ai5pm31/2015-07-29_-_Verizon_Theatre_at_Grand_Prairie_-_Grand_Prairie%2C_TX.rar", "download link")</f>
        <v>download link</v>
      </c>
      <c r="I14" s="288" t="s">
        <v>2579</v>
      </c>
      <c r="J14" s="289"/>
    </row>
    <row r="15">
      <c r="A15" s="329">
        <v>42216.0</v>
      </c>
      <c r="B15" s="156"/>
      <c r="C15" s="116" t="str">
        <f t="shared" si="2"/>
        <v>setlist</v>
      </c>
      <c r="D15" s="326" t="s">
        <v>2487</v>
      </c>
      <c r="E15" s="291" t="s">
        <v>437</v>
      </c>
      <c r="F15" s="196" t="s">
        <v>433</v>
      </c>
      <c r="G15" s="196" t="s">
        <v>36</v>
      </c>
      <c r="H15" s="116" t="str">
        <f>HYPERLINK("http://www.mediafire.com/download/b1dltswt1tn5dv2/2015-07-31_-_Aaron%27s_Amphitheatre_at_Lakewood_-_Atlanta%2C_GA.rar", "download link")</f>
        <v>download link</v>
      </c>
      <c r="I15" s="291" t="s">
        <v>2561</v>
      </c>
      <c r="J15" s="292"/>
    </row>
    <row r="16">
      <c r="A16" s="327">
        <v>42217.0</v>
      </c>
      <c r="B16" s="131"/>
      <c r="C16" s="105" t="str">
        <f t="shared" si="2"/>
        <v>setlist</v>
      </c>
      <c r="D16" s="328" t="s">
        <v>2487</v>
      </c>
      <c r="E16" s="288" t="s">
        <v>437</v>
      </c>
      <c r="F16" s="195" t="s">
        <v>433</v>
      </c>
      <c r="G16" s="195" t="s">
        <v>36</v>
      </c>
      <c r="H16" s="105" t="str">
        <f>HYPERLINK("http://www.mediafire.com/download/qpjdtw5ty8m07xt/2015-08-01_-_Aaron%27s_Amphitheatre_at_Lakewood_-_Atlanta%2C_GA.rar", "download link")</f>
        <v>download link</v>
      </c>
      <c r="I16" s="288" t="s">
        <v>2580</v>
      </c>
      <c r="J16" s="289"/>
    </row>
    <row r="17">
      <c r="A17" s="329">
        <v>42218.0</v>
      </c>
      <c r="B17" s="156"/>
      <c r="C17" s="116" t="str">
        <f t="shared" si="2"/>
        <v>setlist</v>
      </c>
      <c r="D17" s="326" t="s">
        <v>2581</v>
      </c>
      <c r="E17" s="291" t="s">
        <v>582</v>
      </c>
      <c r="F17" s="196" t="s">
        <v>583</v>
      </c>
      <c r="G17" s="196" t="s">
        <v>36</v>
      </c>
      <c r="H17" s="116" t="str">
        <f>HYPERLINK("http://www.mediafire.com/download/fycw999aehneaam/2015-08-02_-_Tuscaloosa_Amphitheater_-_Tuscaloosa%2C_AL.rar", "download link")</f>
        <v>download link</v>
      </c>
      <c r="I17" s="291" t="s">
        <v>2539</v>
      </c>
      <c r="J17" s="292"/>
    </row>
    <row r="18">
      <c r="A18" s="327">
        <v>42220.0</v>
      </c>
      <c r="B18" s="131"/>
      <c r="C18" s="105" t="str">
        <f t="shared" si="2"/>
        <v>setlist</v>
      </c>
      <c r="D18" s="328" t="s">
        <v>2582</v>
      </c>
      <c r="E18" s="288" t="s">
        <v>652</v>
      </c>
      <c r="F18" s="195" t="s">
        <v>650</v>
      </c>
      <c r="G18" s="195" t="s">
        <v>36</v>
      </c>
      <c r="H18" s="105" t="str">
        <f>HYPERLINK("http://www.mediafire.com/download/19a1m8ph45o2ot9/2015-08-04_-_Ascend_Amphitheater_-_Nashville%2C_TN.rar", "download link")</f>
        <v>download link</v>
      </c>
      <c r="I18" s="288" t="s">
        <v>2314</v>
      </c>
      <c r="J18" s="289"/>
    </row>
    <row r="19">
      <c r="A19" s="329">
        <v>42221.0</v>
      </c>
      <c r="B19" s="156"/>
      <c r="C19" s="116" t="str">
        <f t="shared" si="2"/>
        <v>setlist</v>
      </c>
      <c r="D19" s="326" t="s">
        <v>2484</v>
      </c>
      <c r="E19" s="291" t="s">
        <v>2583</v>
      </c>
      <c r="F19" s="196" t="s">
        <v>886</v>
      </c>
      <c r="G19" s="196" t="s">
        <v>36</v>
      </c>
      <c r="H19" s="116" t="str">
        <f>HYPERLINK("http://www.mediafire.com/download/iu533xi8otc0drj/2015-08-05_-_Starlight_Theatre_-_Kansas_City%2C_MO.rar", "download link")</f>
        <v>download link</v>
      </c>
      <c r="I19" s="291" t="s">
        <v>2584</v>
      </c>
      <c r="J19" s="292"/>
    </row>
    <row r="20">
      <c r="A20" s="327">
        <v>42223.0</v>
      </c>
      <c r="B20" s="131"/>
      <c r="C20" s="105" t="str">
        <f t="shared" si="2"/>
        <v>setlist</v>
      </c>
      <c r="D20" s="328" t="s">
        <v>1023</v>
      </c>
      <c r="E20" s="288" t="s">
        <v>1024</v>
      </c>
      <c r="F20" s="195" t="s">
        <v>472</v>
      </c>
      <c r="G20" s="195" t="s">
        <v>36</v>
      </c>
      <c r="H20" s="105" t="str">
        <f>HYPERLINK("http://www.mediafire.com/download/cjtxrb0pro1o1bx/2015-08-07_-_Blossom_Music_Center_-_Cuyahoga_Falls%2C_OH.rar", "download link")</f>
        <v>download link</v>
      </c>
      <c r="I20" s="288" t="s">
        <v>2585</v>
      </c>
      <c r="J20" s="289"/>
    </row>
    <row r="21">
      <c r="A21" s="329">
        <v>42224.0</v>
      </c>
      <c r="B21" s="156"/>
      <c r="C21" s="116" t="str">
        <f t="shared" si="2"/>
        <v>setlist</v>
      </c>
      <c r="D21" s="326" t="s">
        <v>1737</v>
      </c>
      <c r="E21" s="291" t="s">
        <v>1738</v>
      </c>
      <c r="F21" s="196" t="s">
        <v>483</v>
      </c>
      <c r="G21" s="196" t="s">
        <v>36</v>
      </c>
      <c r="H21" s="116" t="str">
        <f>HYPERLINK("http://www.mediafire.com/download/nly6024w1km2knm/2015-08-08_-_Alpine_Valley_Music_Theatre_-_East_Troy%2C_WI.rar", "download link")</f>
        <v>download link</v>
      </c>
      <c r="I21" s="291" t="s">
        <v>2586</v>
      </c>
      <c r="J21" s="292"/>
    </row>
    <row r="22">
      <c r="A22" s="327">
        <v>42225.0</v>
      </c>
      <c r="B22" s="131"/>
      <c r="C22" s="105" t="str">
        <f t="shared" si="2"/>
        <v>setlist</v>
      </c>
      <c r="D22" s="328" t="s">
        <v>1737</v>
      </c>
      <c r="E22" s="288" t="s">
        <v>1738</v>
      </c>
      <c r="F22" s="195" t="s">
        <v>483</v>
      </c>
      <c r="G22" s="195" t="s">
        <v>36</v>
      </c>
      <c r="H22" s="105" t="str">
        <f>HYPERLINK("http://www.mediafire.com/download/56s691befrwdzbs/2015-08-09_-_Alpine_Valley_Music_Theatre_-_East_Troy%2C_WI.rar", "download link")</f>
        <v>download link</v>
      </c>
      <c r="I22" s="288" t="s">
        <v>2586</v>
      </c>
      <c r="J22" s="289"/>
    </row>
    <row r="23">
      <c r="A23" s="329">
        <v>42227.0</v>
      </c>
      <c r="B23" s="156"/>
      <c r="C23" s="116" t="str">
        <f t="shared" si="2"/>
        <v>setlist</v>
      </c>
      <c r="D23" s="326" t="s">
        <v>1001</v>
      </c>
      <c r="E23" s="291" t="s">
        <v>871</v>
      </c>
      <c r="F23" s="196" t="s">
        <v>212</v>
      </c>
      <c r="G23" s="196" t="s">
        <v>36</v>
      </c>
      <c r="H23" s="116" t="str">
        <f>HYPERLINK("http://www.mediafire.com/download/63mu177dsk7cytm/2015-08-11_-_The_Mann_Center_for_the_Performing_Arts_-_Philadelphia%2C_PA.rar", "download link")</f>
        <v>download link</v>
      </c>
      <c r="I23" s="291" t="s">
        <v>2485</v>
      </c>
      <c r="J23" s="292"/>
    </row>
    <row r="24">
      <c r="A24" s="327">
        <v>42228.0</v>
      </c>
      <c r="B24" s="131"/>
      <c r="C24" s="105" t="str">
        <f t="shared" si="2"/>
        <v>setlist</v>
      </c>
      <c r="D24" s="328" t="s">
        <v>1001</v>
      </c>
      <c r="E24" s="288" t="s">
        <v>871</v>
      </c>
      <c r="F24" s="195" t="s">
        <v>212</v>
      </c>
      <c r="G24" s="195" t="s">
        <v>36</v>
      </c>
      <c r="H24" s="105" t="str">
        <f>HYPERLINK("http://www.mediafire.com/download/g1piq542n27iqqn/2015-08-12_-_The_Mann_Center_for_the_Performing_Arts_-_Philadelphia%2C_PA.rar", "download link")</f>
        <v>download link</v>
      </c>
      <c r="I24" s="288" t="s">
        <v>2587</v>
      </c>
      <c r="J24" s="289"/>
    </row>
    <row r="25">
      <c r="A25" s="329">
        <v>42230.0</v>
      </c>
      <c r="B25" s="156"/>
      <c r="C25" s="116" t="str">
        <f t="shared" si="2"/>
        <v>setlist</v>
      </c>
      <c r="D25" s="326" t="s">
        <v>1426</v>
      </c>
      <c r="E25" s="291" t="s">
        <v>536</v>
      </c>
      <c r="F25" s="196" t="s">
        <v>443</v>
      </c>
      <c r="G25" s="196" t="s">
        <v>36</v>
      </c>
      <c r="H25" s="116" t="str">
        <f>HYPERLINK("http://www.mediafire.com/download/dj9ue9hea2974x3/2015-08-14_-_Walnut_Creek_Amphitheater_-_Raleigh%2C_NC.rar", "download link")</f>
        <v>download link</v>
      </c>
      <c r="I25" s="291" t="s">
        <v>2588</v>
      </c>
      <c r="J25" s="292"/>
    </row>
    <row r="26">
      <c r="A26" s="327">
        <v>42231.0</v>
      </c>
      <c r="B26" s="131"/>
      <c r="C26" s="105" t="str">
        <f t="shared" si="2"/>
        <v>setlist</v>
      </c>
      <c r="D26" s="328" t="s">
        <v>1000</v>
      </c>
      <c r="E26" s="288" t="s">
        <v>439</v>
      </c>
      <c r="F26" s="195" t="s">
        <v>397</v>
      </c>
      <c r="G26" s="195" t="s">
        <v>36</v>
      </c>
      <c r="H26" s="105" t="str">
        <f>HYPERLINK("http://www.mediafire.com/download/iuyfhao2lgbao9w/2015-08-15_-_Merriweather_Post_Pavilion_-_Columbia%2C_MD.rar", "download link")</f>
        <v>download link</v>
      </c>
      <c r="I26" s="288" t="s">
        <v>2589</v>
      </c>
      <c r="J26" s="289"/>
    </row>
    <row r="27">
      <c r="A27" s="329">
        <v>42232.0</v>
      </c>
      <c r="B27" s="156"/>
      <c r="C27" s="116" t="str">
        <f t="shared" si="2"/>
        <v>setlist</v>
      </c>
      <c r="D27" s="326" t="s">
        <v>1000</v>
      </c>
      <c r="E27" s="291" t="s">
        <v>439</v>
      </c>
      <c r="F27" s="196" t="s">
        <v>397</v>
      </c>
      <c r="G27" s="196" t="s">
        <v>36</v>
      </c>
      <c r="H27" s="116" t="str">
        <f>HYPERLINK("http://www.mediafire.com/download/va2kiy4b3yf6db7/2015-08-16_-_Merriweather_Post_Pavilion_-_Columbia%2C_MD.rar", "download link")</f>
        <v>download link</v>
      </c>
      <c r="I27" s="291" t="s">
        <v>2437</v>
      </c>
      <c r="J27" s="292"/>
    </row>
    <row r="28">
      <c r="A28" s="330">
        <v>42236.0</v>
      </c>
      <c r="B28" s="195" t="s">
        <v>32</v>
      </c>
      <c r="C28" s="105" t="str">
        <f t="shared" si="2"/>
        <v>setlist</v>
      </c>
      <c r="D28" s="328" t="s">
        <v>2590</v>
      </c>
      <c r="E28" s="288" t="s">
        <v>2440</v>
      </c>
      <c r="F28" s="195" t="s">
        <v>129</v>
      </c>
      <c r="G28" s="195">
        <v>160.0</v>
      </c>
      <c r="H28" s="105" t="str">
        <f>HYPERLINK("http://www.mediafire.com/download/76pjek260b8883e/2015-08-20_-_Magnaball_-_Soundcheck_-_Watkins_Glen%2C_NY.rar", "download link")</f>
        <v>download link</v>
      </c>
      <c r="I28" s="288" t="s">
        <v>2591</v>
      </c>
      <c r="J28" s="288" t="s">
        <v>2592</v>
      </c>
    </row>
    <row r="29">
      <c r="A29" s="325">
        <v>42237.0</v>
      </c>
      <c r="B29" s="156"/>
      <c r="C29" s="116" t="str">
        <f t="shared" si="2"/>
        <v>setlist</v>
      </c>
      <c r="D29" s="331" t="s">
        <v>2593</v>
      </c>
      <c r="E29" s="291" t="s">
        <v>2440</v>
      </c>
      <c r="F29" s="196" t="s">
        <v>129</v>
      </c>
      <c r="G29" s="196" t="s">
        <v>36</v>
      </c>
      <c r="H29" s="116" t="str">
        <f>HYPERLINK("http://www.mediafire.com/download/vud3h5s3ag61fav/2015-08-21_-_Magnaball_-_Watkins_Glen_International_-_Watkins_Glen%2C_NY.rar", "download link")</f>
        <v>download link</v>
      </c>
      <c r="I29" s="291" t="s">
        <v>2561</v>
      </c>
      <c r="J29" s="292"/>
    </row>
    <row r="30">
      <c r="A30" s="327">
        <v>42238.0</v>
      </c>
      <c r="B30" s="131"/>
      <c r="C30" s="105" t="str">
        <f t="shared" si="2"/>
        <v>setlist</v>
      </c>
      <c r="D30" s="328" t="s">
        <v>2593</v>
      </c>
      <c r="E30" s="288" t="s">
        <v>2440</v>
      </c>
      <c r="F30" s="195" t="s">
        <v>129</v>
      </c>
      <c r="G30" s="195" t="s">
        <v>36</v>
      </c>
      <c r="H30" s="105" t="str">
        <f>HYPERLINK("http://www.mediafire.com/download/3fiujdo90thnh1d/2015-08-22_-_Magnaball_-_Watkins_Glen_International_-_Watkins_Glen%2C_NY.rar", "download link")</f>
        <v>download link</v>
      </c>
      <c r="I30" s="288" t="s">
        <v>2561</v>
      </c>
      <c r="J30" s="289"/>
    </row>
    <row r="31">
      <c r="A31" s="332">
        <v>42239.0</v>
      </c>
      <c r="B31" s="156"/>
      <c r="C31" s="116" t="str">
        <f>HYPERLINK("http://phish.net/setlists/?d=2015-08-22", "setlist")</f>
        <v>setlist</v>
      </c>
      <c r="D31" s="331" t="s">
        <v>2594</v>
      </c>
      <c r="E31" s="291" t="s">
        <v>2440</v>
      </c>
      <c r="F31" s="196" t="s">
        <v>129</v>
      </c>
      <c r="G31" s="196" t="s">
        <v>36</v>
      </c>
      <c r="H31" s="116" t="str">
        <f>HYPERLINK("http://www.mediafire.com/download/ox1wnj0bjr9xwq6/2015-08-23_-_Magnaball_-_Drive-In_Jam_-_Watkins_Glen%2C_NY.rar", "download link")</f>
        <v>download link</v>
      </c>
      <c r="I31" s="291" t="s">
        <v>2561</v>
      </c>
      <c r="J31" s="292"/>
    </row>
    <row r="32">
      <c r="A32" s="327">
        <v>42239.0</v>
      </c>
      <c r="B32" s="131"/>
      <c r="C32" s="105" t="str">
        <f t="shared" ref="C32:C35" si="3">HYPERLINK("http://phish.net/setlists/?d="&amp;RIGHT(TEXT(A32,"mm/dd/yyyy"),4)&amp;"-"&amp;LEFT(TEXT(A32,"mm/dd/yyyy"),2)&amp;"-"&amp;MID(TEXT(A32,"mm/dd/yyyy"),4,2), "setlist")</f>
        <v>setlist</v>
      </c>
      <c r="D32" s="328" t="s">
        <v>2593</v>
      </c>
      <c r="E32" s="288" t="s">
        <v>2440</v>
      </c>
      <c r="F32" s="195" t="s">
        <v>129</v>
      </c>
      <c r="G32" s="195" t="s">
        <v>36</v>
      </c>
      <c r="H32" s="105" t="str">
        <f>HYPERLINK("http://www.mediafire.com/download/poyb20dea7pv45c/2015-08-23_-_Magnaball_-_Watkins_Glen_International_-_Watkins_Glen%2C_NY.rar", "download link")</f>
        <v>download link</v>
      </c>
      <c r="I32" s="288" t="s">
        <v>2561</v>
      </c>
      <c r="J32" s="289"/>
    </row>
    <row r="33">
      <c r="A33" s="325">
        <v>42251.0</v>
      </c>
      <c r="B33" s="156"/>
      <c r="C33" s="116" t="str">
        <f t="shared" si="3"/>
        <v>setlist</v>
      </c>
      <c r="D33" s="331" t="s">
        <v>2457</v>
      </c>
      <c r="E33" s="291" t="s">
        <v>2458</v>
      </c>
      <c r="F33" s="196" t="s">
        <v>203</v>
      </c>
      <c r="G33" s="196" t="s">
        <v>36</v>
      </c>
      <c r="H33" s="116" t="str">
        <f>HYPERLINK("http://www.mediafire.com/download/spxdpddm2k61j35/2015-09-04_-_Dick%27s_Sporting_Good_Park_-_Commerce_City%2C_CO.rar", "download link")</f>
        <v>download link</v>
      </c>
      <c r="I33" s="291" t="s">
        <v>2595</v>
      </c>
      <c r="J33" s="291" t="s">
        <v>2515</v>
      </c>
    </row>
    <row r="34">
      <c r="A34" s="327">
        <v>42252.0</v>
      </c>
      <c r="B34" s="131"/>
      <c r="C34" s="105" t="str">
        <f t="shared" si="3"/>
        <v>setlist</v>
      </c>
      <c r="D34" s="328" t="s">
        <v>2457</v>
      </c>
      <c r="E34" s="288" t="s">
        <v>2458</v>
      </c>
      <c r="F34" s="195" t="s">
        <v>203</v>
      </c>
      <c r="G34" s="195" t="s">
        <v>36</v>
      </c>
      <c r="H34" s="105" t="str">
        <f>HYPERLINK("http://www.mediafire.com/download/41r6emonuzh3u6n/2015-09-05_-_Dick%27s_Sporting_Good_Park_-_Commerce_City%2C_CO.rar", "download link")</f>
        <v>download link</v>
      </c>
      <c r="I34" s="288" t="s">
        <v>2595</v>
      </c>
      <c r="J34" s="288" t="s">
        <v>2515</v>
      </c>
    </row>
    <row r="35">
      <c r="A35" s="325">
        <v>42253.0</v>
      </c>
      <c r="B35" s="156"/>
      <c r="C35" s="116" t="str">
        <f t="shared" si="3"/>
        <v>setlist</v>
      </c>
      <c r="D35" s="331" t="s">
        <v>2457</v>
      </c>
      <c r="E35" s="291" t="s">
        <v>2458</v>
      </c>
      <c r="F35" s="196" t="s">
        <v>203</v>
      </c>
      <c r="G35" s="196" t="s">
        <v>36</v>
      </c>
      <c r="H35" s="116" t="str">
        <f>HYPERLINK("http://www.mediafire.com/download/m6bp62cu6amen4l/2015-09-06_-_Dick%27s_Sporting_Good_Park_-_Commerce_City%2C_CO.rar", "download link")</f>
        <v>download link</v>
      </c>
      <c r="I35" s="291" t="s">
        <v>2596</v>
      </c>
      <c r="J35" s="291" t="s">
        <v>2515</v>
      </c>
    </row>
    <row r="36">
      <c r="A36" s="92"/>
      <c r="B36" s="93"/>
      <c r="C36" s="93"/>
      <c r="D36" s="264" t="s">
        <v>2597</v>
      </c>
      <c r="E36" s="238"/>
      <c r="F36" s="93"/>
      <c r="G36" s="93"/>
      <c r="H36" s="164"/>
      <c r="I36" s="238"/>
      <c r="J36" s="238"/>
    </row>
    <row r="37">
      <c r="A37" s="332">
        <v>42368.0</v>
      </c>
      <c r="B37" s="156"/>
      <c r="C37" s="116" t="str">
        <f t="shared" ref="C37:C38" si="4">HYPERLINK("http://phish.net/setlists/?d="&amp;RIGHT(TEXT(A37,"mm/dd/yyyy"),4)&amp;"-"&amp;LEFT(TEXT(A37,"mm/dd/yyyy"),2)&amp;"-"&amp;MID(TEXT(A37,"mm/dd/yyyy"),4,2), "setlist")</f>
        <v>setlist</v>
      </c>
      <c r="D37" s="331" t="s">
        <v>1553</v>
      </c>
      <c r="E37" s="291" t="s">
        <v>162</v>
      </c>
      <c r="F37" s="196" t="s">
        <v>129</v>
      </c>
      <c r="G37" s="196" t="s">
        <v>36</v>
      </c>
      <c r="H37" s="116" t="str">
        <f>HYPERLINK("http://www.mediafire.com/download/181t1w1b8jvqsao/2015-12-30_-_Madison_Square_Garden_-_New_York%2C_NY.rar", "download link")</f>
        <v>download link</v>
      </c>
      <c r="I37" s="291" t="s">
        <v>2598</v>
      </c>
      <c r="J37" s="291"/>
    </row>
    <row r="38">
      <c r="A38" s="330">
        <v>42369.0</v>
      </c>
      <c r="B38" s="131"/>
      <c r="C38" s="105" t="str">
        <f t="shared" si="4"/>
        <v>setlist</v>
      </c>
      <c r="D38" s="328" t="s">
        <v>1553</v>
      </c>
      <c r="E38" s="288" t="s">
        <v>162</v>
      </c>
      <c r="F38" s="195" t="s">
        <v>129</v>
      </c>
      <c r="G38" s="195" t="s">
        <v>36</v>
      </c>
      <c r="H38" s="105" t="str">
        <f>HYPERLINK("http://www.mediafire.com/download/ddc7w9t497tr7j7/2015-12-31_-_Madison_Square_Garden_-_New_York%2C_NY.rar", "download link")</f>
        <v>download link</v>
      </c>
      <c r="I38" s="288" t="s">
        <v>2598</v>
      </c>
      <c r="J38" s="288"/>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2597</v>
      </c>
      <c r="E4" s="238"/>
      <c r="F4" s="93"/>
      <c r="G4" s="93"/>
      <c r="H4" s="164"/>
      <c r="I4" s="238"/>
      <c r="J4" s="238"/>
    </row>
    <row r="5">
      <c r="A5" s="150">
        <v>42370.0</v>
      </c>
      <c r="B5" s="156"/>
      <c r="C5" s="116" t="str">
        <f t="shared" ref="C5:C6" si="1">HYPERLINK("http://phish.net/setlists/?d="&amp;RIGHT(TEXT(A5,"mm/dd/yyyy"),4)&amp;"-"&amp;LEFT(TEXT(A5,"mm/dd/yyyy"),2)&amp;"-"&amp;MID(TEXT(A5,"mm/dd/yyyy"),4,2), "setlist")</f>
        <v>setlist</v>
      </c>
      <c r="D5" s="291" t="s">
        <v>1553</v>
      </c>
      <c r="E5" s="291" t="s">
        <v>162</v>
      </c>
      <c r="F5" s="196" t="s">
        <v>129</v>
      </c>
      <c r="G5" s="196" t="s">
        <v>36</v>
      </c>
      <c r="H5" s="116" t="str">
        <f>HYPERLINK("http://www.mediafire.com/download/4bo4c1qw9xb4qb8/2016-01-01_-_Madison_Square_Garden_-_New_York%2C_NY.rar", "download link")</f>
        <v>download link</v>
      </c>
      <c r="I5" s="291" t="s">
        <v>2599</v>
      </c>
      <c r="J5" s="292"/>
    </row>
    <row r="6">
      <c r="A6" s="130">
        <v>42371.0</v>
      </c>
      <c r="B6" s="131"/>
      <c r="C6" s="105" t="str">
        <f t="shared" si="1"/>
        <v>setlist</v>
      </c>
      <c r="D6" s="288" t="s">
        <v>1553</v>
      </c>
      <c r="E6" s="288" t="s">
        <v>162</v>
      </c>
      <c r="F6" s="195" t="s">
        <v>129</v>
      </c>
      <c r="G6" s="195" t="s">
        <v>36</v>
      </c>
      <c r="H6" s="105" t="str">
        <f>HYPERLINK("http://www.mediafire.com/download/1xpwezhm4tc6050/2016-01-02_-_Madison_Square_Garden_-_New_York%2C_NY.rar", "download link")</f>
        <v>download link</v>
      </c>
      <c r="I6" s="288" t="s">
        <v>2598</v>
      </c>
      <c r="J6" s="289"/>
    </row>
    <row r="7">
      <c r="A7" s="92"/>
      <c r="B7" s="93"/>
      <c r="C7" s="93"/>
      <c r="D7" s="264" t="s">
        <v>2600</v>
      </c>
      <c r="E7" s="238"/>
      <c r="F7" s="93"/>
      <c r="G7" s="93"/>
      <c r="H7" s="164"/>
      <c r="I7" s="238"/>
      <c r="J7" s="238"/>
    </row>
    <row r="8">
      <c r="A8" s="150">
        <v>42384.0</v>
      </c>
      <c r="B8" s="333"/>
      <c r="C8" s="116" t="str">
        <f t="shared" ref="C8:C10" si="2">HYPERLINK("http://phish.net/setlists/?d="&amp;RIGHT(TEXT(A8,"mm/dd/yyyy"),4)&amp;"-"&amp;LEFT(TEXT(A8,"mm/dd/yyyy"),2)&amp;"-"&amp;MID(TEXT(A8,"mm/dd/yyyy"),4,2), "setlist")</f>
        <v>setlist</v>
      </c>
      <c r="D8" s="291" t="s">
        <v>2601</v>
      </c>
      <c r="E8" s="291" t="s">
        <v>2602</v>
      </c>
      <c r="F8" s="196" t="s">
        <v>2603</v>
      </c>
      <c r="G8" s="333"/>
      <c r="H8" s="185"/>
      <c r="I8" s="334"/>
      <c r="J8" s="334"/>
    </row>
    <row r="9">
      <c r="A9" s="335">
        <v>42385.0</v>
      </c>
      <c r="B9" s="131"/>
      <c r="C9" s="105" t="str">
        <f t="shared" si="2"/>
        <v>setlist</v>
      </c>
      <c r="D9" s="288" t="s">
        <v>2601</v>
      </c>
      <c r="E9" s="288" t="s">
        <v>2602</v>
      </c>
      <c r="F9" s="195" t="s">
        <v>2603</v>
      </c>
      <c r="G9" s="195"/>
      <c r="H9" s="143"/>
      <c r="I9" s="289"/>
      <c r="J9" s="289"/>
    </row>
    <row r="10">
      <c r="A10" s="336">
        <v>42386.0</v>
      </c>
      <c r="B10" s="156"/>
      <c r="C10" s="116" t="str">
        <f t="shared" si="2"/>
        <v>setlist</v>
      </c>
      <c r="D10" s="291" t="s">
        <v>2601</v>
      </c>
      <c r="E10" s="291" t="s">
        <v>2602</v>
      </c>
      <c r="F10" s="196" t="s">
        <v>2603</v>
      </c>
      <c r="G10" s="196"/>
      <c r="H10" s="197"/>
      <c r="I10" s="292"/>
      <c r="J10" s="292"/>
    </row>
    <row r="11">
      <c r="A11" s="92"/>
      <c r="B11" s="93"/>
      <c r="C11" s="93"/>
      <c r="D11" s="264" t="s">
        <v>2604</v>
      </c>
      <c r="E11" s="238"/>
      <c r="F11" s="93"/>
      <c r="G11" s="93"/>
      <c r="H11" s="164"/>
      <c r="I11" s="238"/>
      <c r="J11" s="238"/>
    </row>
    <row r="12">
      <c r="A12" s="336">
        <v>42543.0</v>
      </c>
      <c r="B12" s="156"/>
      <c r="C12" s="135" t="str">
        <f t="shared" ref="C12:C36" si="3">HYPERLINK("http://phish.net/setlists/?d="&amp;RIGHT(TEXT(A12,"mm/dd/yyyy"),4)&amp;"-"&amp;LEFT(TEXT(A12,"mm/dd/yyyy"),2)&amp;"-"&amp;MID(TEXT(A12,"mm/dd/yyyy"),4,2), "setlist")</f>
        <v>setlist</v>
      </c>
      <c r="D12" s="291" t="s">
        <v>2605</v>
      </c>
      <c r="E12" s="291" t="s">
        <v>786</v>
      </c>
      <c r="F12" s="196" t="s">
        <v>486</v>
      </c>
      <c r="G12" s="196" t="s">
        <v>36</v>
      </c>
      <c r="H12" s="116" t="str">
        <f>HYPERLINK("http://www.mediafire.com/download/7nf2c22aa9lpgbs/2016-06-22_-_Xcel_Energy_Center_-_St._Paul%2C_MN.rar", "download link")</f>
        <v>download link</v>
      </c>
      <c r="I12" s="291" t="s">
        <v>2606</v>
      </c>
      <c r="J12" s="292"/>
    </row>
    <row r="13">
      <c r="A13" s="335">
        <v>42545.0</v>
      </c>
      <c r="B13" s="131"/>
      <c r="C13" s="105" t="str">
        <f t="shared" si="3"/>
        <v>setlist</v>
      </c>
      <c r="D13" s="288" t="s">
        <v>2607</v>
      </c>
      <c r="E13" s="288" t="s">
        <v>479</v>
      </c>
      <c r="F13" s="195" t="s">
        <v>480</v>
      </c>
      <c r="G13" s="195" t="s">
        <v>36</v>
      </c>
      <c r="H13" s="105" t="str">
        <f>HYPERLINK("http://www.mediafire.com/download/sh8jon2k3ob6pb9/2016-06-24_-_Wrigley_Field_-_Chicago%2C_IL.rar", "download link")</f>
        <v>download link</v>
      </c>
      <c r="I13" s="288" t="s">
        <v>2608</v>
      </c>
      <c r="J13" s="289"/>
    </row>
    <row r="14">
      <c r="A14" s="336">
        <v>42546.0</v>
      </c>
      <c r="B14" s="156"/>
      <c r="C14" s="135" t="str">
        <f t="shared" si="3"/>
        <v>setlist</v>
      </c>
      <c r="D14" s="291" t="s">
        <v>2607</v>
      </c>
      <c r="E14" s="291" t="s">
        <v>479</v>
      </c>
      <c r="F14" s="196" t="s">
        <v>480</v>
      </c>
      <c r="G14" s="196" t="s">
        <v>36</v>
      </c>
      <c r="H14" s="116" t="str">
        <f>HYPERLINK("http://www.mediafire.com/download/ne2ws0jdepmycif/2016-06-25_-_Wrigley_Field_-_Chicago%2C_IL.rar", "download link")</f>
        <v>download link</v>
      </c>
      <c r="I14" s="291" t="s">
        <v>2609</v>
      </c>
      <c r="J14" s="292"/>
    </row>
    <row r="15">
      <c r="A15" s="335">
        <v>42547.0</v>
      </c>
      <c r="B15" s="131"/>
      <c r="C15" s="105" t="str">
        <f t="shared" si="3"/>
        <v>setlist</v>
      </c>
      <c r="D15" s="288" t="s">
        <v>2476</v>
      </c>
      <c r="E15" s="288" t="s">
        <v>1579</v>
      </c>
      <c r="F15" s="195" t="s">
        <v>508</v>
      </c>
      <c r="G15" s="195" t="s">
        <v>36</v>
      </c>
      <c r="H15" s="105" t="str">
        <f>HYPERLINK("http://www.mediafire.com/download/nhn57onukj41khn/2016-06-26_-_Klipsch_Music_Center_-_Noblesville%2C_IN.rar", "download link")</f>
        <v>download link</v>
      </c>
      <c r="I15" s="288" t="s">
        <v>2610</v>
      </c>
      <c r="J15" s="289"/>
    </row>
    <row r="16">
      <c r="A16" s="336">
        <v>42549.0</v>
      </c>
      <c r="B16" s="156"/>
      <c r="C16" s="135" t="str">
        <f t="shared" si="3"/>
        <v>setlist</v>
      </c>
      <c r="D16" s="291" t="s">
        <v>1001</v>
      </c>
      <c r="E16" s="291" t="s">
        <v>871</v>
      </c>
      <c r="F16" s="196" t="s">
        <v>212</v>
      </c>
      <c r="G16" s="196" t="s">
        <v>36</v>
      </c>
      <c r="H16" s="116" t="str">
        <f>HYPERLINK("http://www.mediafire.com/download/o7utajg5iku4jri/2016-06-28_-_The_Mann_Center_for_the_Performing_Arts_-_Philadelphia%2C_PA.rar", "download link")</f>
        <v>download link</v>
      </c>
      <c r="I16" s="291" t="s">
        <v>2611</v>
      </c>
      <c r="J16" s="292"/>
    </row>
    <row r="17">
      <c r="A17" s="335">
        <v>42550.0</v>
      </c>
      <c r="B17" s="131"/>
      <c r="C17" s="105" t="str">
        <f t="shared" si="3"/>
        <v>setlist</v>
      </c>
      <c r="D17" s="288" t="s">
        <v>1001</v>
      </c>
      <c r="E17" s="288" t="s">
        <v>871</v>
      </c>
      <c r="F17" s="195" t="s">
        <v>212</v>
      </c>
      <c r="G17" s="195" t="s">
        <v>36</v>
      </c>
      <c r="H17" s="105" t="str">
        <f>HYPERLINK("http://www.mediafire.com/download/a3dagr9krf0ubrh/2016-06-29_-_The_Mann_Center_for_the_Performing_Arts_-_Philadelphia%2C_PA.rar", "download link")</f>
        <v>download link</v>
      </c>
      <c r="I17" s="288" t="s">
        <v>2612</v>
      </c>
      <c r="J17" s="289"/>
    </row>
    <row r="18">
      <c r="A18" s="336">
        <v>42552.0</v>
      </c>
      <c r="B18" s="156"/>
      <c r="C18" s="116" t="str">
        <f t="shared" si="3"/>
        <v>setlist</v>
      </c>
      <c r="D18" s="291" t="s">
        <v>1015</v>
      </c>
      <c r="E18" s="170" t="s">
        <v>465</v>
      </c>
      <c r="F18" s="196" t="s">
        <v>129</v>
      </c>
      <c r="G18" s="196" t="s">
        <v>36</v>
      </c>
      <c r="H18" s="116" t="str">
        <f>HYPERLINK("http://www.mediafire.com/download/cy2mf9qymy09g2m/2016-07-01_-_Saratoga_Performing_Arts_Center_-_Saratoga_Springs%2C_NY.rar", "download link")</f>
        <v>download link</v>
      </c>
      <c r="I18" s="291" t="s">
        <v>2613</v>
      </c>
      <c r="J18" s="292"/>
    </row>
    <row r="19">
      <c r="A19" s="335">
        <v>42553.0</v>
      </c>
      <c r="B19" s="131"/>
      <c r="C19" s="105" t="str">
        <f t="shared" si="3"/>
        <v>setlist</v>
      </c>
      <c r="D19" s="288" t="s">
        <v>1015</v>
      </c>
      <c r="E19" s="124" t="s">
        <v>465</v>
      </c>
      <c r="F19" s="195" t="s">
        <v>129</v>
      </c>
      <c r="G19" s="195" t="s">
        <v>36</v>
      </c>
      <c r="H19" s="105" t="str">
        <f>HYPERLINK("http://www.mediafire.com/download/531sxrn2919u39d/2016-07-02_-_Saratoga_Performing_Arts_Center_-_Saratoga_Springs%2C_NY.rar", "download link")</f>
        <v>download link</v>
      </c>
      <c r="I19" s="288" t="s">
        <v>2613</v>
      </c>
      <c r="J19" s="289"/>
    </row>
    <row r="20">
      <c r="A20" s="336">
        <v>42554.0</v>
      </c>
      <c r="B20" s="156"/>
      <c r="C20" s="116" t="str">
        <f t="shared" si="3"/>
        <v>setlist</v>
      </c>
      <c r="D20" s="291" t="s">
        <v>1015</v>
      </c>
      <c r="E20" s="170" t="s">
        <v>465</v>
      </c>
      <c r="F20" s="196" t="s">
        <v>129</v>
      </c>
      <c r="G20" s="196" t="s">
        <v>36</v>
      </c>
      <c r="H20" s="116" t="str">
        <f>HYPERLINK("http://www.mediafire.com/download/k18zhcomeqp93ae/2016-07-03_-_Saratoga_Performing_Arts_Center_-_Saratoga_Springs%2C_NY.rar", "download link")</f>
        <v>download link</v>
      </c>
      <c r="I20" s="291" t="s">
        <v>2613</v>
      </c>
      <c r="J20" s="292"/>
    </row>
    <row r="21">
      <c r="A21" s="335">
        <v>42557.0</v>
      </c>
      <c r="B21" s="131"/>
      <c r="C21" s="105" t="str">
        <f t="shared" si="3"/>
        <v>setlist</v>
      </c>
      <c r="D21" s="288" t="s">
        <v>2614</v>
      </c>
      <c r="E21" s="288" t="s">
        <v>279</v>
      </c>
      <c r="F21" s="195" t="s">
        <v>257</v>
      </c>
      <c r="G21" s="195" t="s">
        <v>36</v>
      </c>
      <c r="H21" s="105" t="str">
        <f>HYPERLINK("http://www.mediafire.com/download/e8kb5p3p1cmj4rb/2016-07-06_-_Cross_Insurance_Arena_-_Portland%2C_ME.rar", "download link")</f>
        <v>download link</v>
      </c>
      <c r="I21" s="288" t="s">
        <v>2615</v>
      </c>
      <c r="J21" s="289"/>
    </row>
    <row r="22">
      <c r="A22" s="336">
        <v>42559.0</v>
      </c>
      <c r="B22" s="156"/>
      <c r="C22" s="116" t="str">
        <f t="shared" si="3"/>
        <v>setlist</v>
      </c>
      <c r="D22" s="291" t="s">
        <v>2537</v>
      </c>
      <c r="E22" s="291" t="s">
        <v>1004</v>
      </c>
      <c r="F22" s="196" t="s">
        <v>95</v>
      </c>
      <c r="G22" s="196" t="s">
        <v>36</v>
      </c>
      <c r="H22" s="116" t="str">
        <f>HYPERLINK("http://www.mediafire.com/download/yyuf11vrv55586w/2016-07-08_-_Xfinity_Center_-_Mansfield%2C_MA.rar", "download link")</f>
        <v>download link</v>
      </c>
      <c r="I22" s="291" t="s">
        <v>2616</v>
      </c>
      <c r="J22" s="292"/>
    </row>
    <row r="23">
      <c r="A23" s="335">
        <v>42560.0</v>
      </c>
      <c r="B23" s="131"/>
      <c r="C23" s="105" t="str">
        <f t="shared" si="3"/>
        <v>setlist</v>
      </c>
      <c r="D23" s="288" t="s">
        <v>2617</v>
      </c>
      <c r="E23" s="288" t="s">
        <v>323</v>
      </c>
      <c r="F23" s="195" t="s">
        <v>171</v>
      </c>
      <c r="G23" s="195" t="s">
        <v>36</v>
      </c>
      <c r="H23" s="105" t="str">
        <f>HYPERLINK("http://www.mediafire.com/download/3kc9aonfgl2kv9y/2016-07-09_-_XFINITY_Theatre_-_Hartford%2C_CT.rar", "download link")</f>
        <v>download link</v>
      </c>
      <c r="I23" s="288" t="s">
        <v>2618</v>
      </c>
      <c r="J23" s="289"/>
    </row>
    <row r="24">
      <c r="A24" s="336">
        <v>42561.0</v>
      </c>
      <c r="B24" s="156"/>
      <c r="C24" s="116" t="str">
        <f t="shared" si="3"/>
        <v>setlist</v>
      </c>
      <c r="D24" s="291" t="s">
        <v>2619</v>
      </c>
      <c r="E24" s="291" t="s">
        <v>311</v>
      </c>
      <c r="F24" s="196" t="s">
        <v>129</v>
      </c>
      <c r="G24" s="196" t="s">
        <v>36</v>
      </c>
      <c r="H24" s="116" t="str">
        <f>HYPERLINK("http://www.mediafire.com/download/vwa42v6g5sq4gde/2016-07-10_-_Lakeview_Amphitheater_-_Syracuse%2C_NY.rar", "download link")</f>
        <v>download link</v>
      </c>
      <c r="I24" s="291" t="s">
        <v>2620</v>
      </c>
      <c r="J24" s="292"/>
    </row>
    <row r="25">
      <c r="A25" s="335">
        <v>42566.0</v>
      </c>
      <c r="B25" s="131"/>
      <c r="C25" s="105" t="str">
        <f t="shared" si="3"/>
        <v>setlist</v>
      </c>
      <c r="D25" s="288" t="s">
        <v>1918</v>
      </c>
      <c r="E25" s="288" t="s">
        <v>1919</v>
      </c>
      <c r="F25" s="195" t="s">
        <v>701</v>
      </c>
      <c r="G25" s="195" t="s">
        <v>36</v>
      </c>
      <c r="H25" s="105" t="str">
        <f>HYPERLINK("http://www.mediafire.com/download/s7lxwdg0igemtlc/2016-07-15_-_Gorge_Amphitheatre_-_George%2C_WA.rar", "download link")</f>
        <v>download link</v>
      </c>
      <c r="I25" s="288" t="s">
        <v>2621</v>
      </c>
      <c r="J25" s="289"/>
    </row>
    <row r="26">
      <c r="A26" s="336">
        <v>42567.0</v>
      </c>
      <c r="B26" s="156"/>
      <c r="C26" s="116" t="str">
        <f t="shared" si="3"/>
        <v>setlist</v>
      </c>
      <c r="D26" s="291" t="s">
        <v>1918</v>
      </c>
      <c r="E26" s="291" t="s">
        <v>1919</v>
      </c>
      <c r="F26" s="196" t="s">
        <v>701</v>
      </c>
      <c r="G26" s="196" t="s">
        <v>36</v>
      </c>
      <c r="H26" s="116" t="str">
        <f>HYPERLINK("http://www.mediafire.com/download/qqblkhzxxsgu2qw/2016-07-16_-_Gorge_Amphitheatre_-_George%2C_WA.rar", "download link")</f>
        <v>download link</v>
      </c>
      <c r="I26" s="291" t="s">
        <v>2621</v>
      </c>
      <c r="J26" s="292"/>
    </row>
    <row r="27">
      <c r="A27" s="335">
        <v>42569.0</v>
      </c>
      <c r="B27" s="131"/>
      <c r="C27" s="105" t="str">
        <f t="shared" si="3"/>
        <v>setlist</v>
      </c>
      <c r="D27" s="288" t="s">
        <v>2481</v>
      </c>
      <c r="E27" s="288" t="s">
        <v>683</v>
      </c>
      <c r="F27" s="195" t="s">
        <v>679</v>
      </c>
      <c r="G27" s="195" t="s">
        <v>36</v>
      </c>
      <c r="H27" s="105" t="str">
        <f>HYPERLINK("http://www.mediafire.com/download/j6x0c2t871a7k4j/2016-07-18_-_Bill_Graham_Civic_Auditorium_-_San_Francisco%2C_CA.rar", "download link")</f>
        <v>download link</v>
      </c>
      <c r="I27" s="288" t="s">
        <v>2622</v>
      </c>
      <c r="J27" s="289"/>
    </row>
    <row r="28">
      <c r="A28" s="336">
        <v>42570.0</v>
      </c>
      <c r="B28" s="156"/>
      <c r="C28" s="116" t="str">
        <f t="shared" si="3"/>
        <v>setlist</v>
      </c>
      <c r="D28" s="291" t="s">
        <v>2481</v>
      </c>
      <c r="E28" s="291" t="s">
        <v>683</v>
      </c>
      <c r="F28" s="196" t="s">
        <v>679</v>
      </c>
      <c r="G28" s="196" t="s">
        <v>36</v>
      </c>
      <c r="H28" s="116" t="str">
        <f>HYPERLINK("http://www.mediafire.com/download/clo7dleujgpe5uc/2016-07-19_-_Bill_Graham_Civic_Auditorium_-_San_Francisco%2C_CA.rar", "download link")</f>
        <v>download link</v>
      </c>
      <c r="I28" s="291" t="s">
        <v>2622</v>
      </c>
      <c r="J28" s="292"/>
    </row>
    <row r="29">
      <c r="A29" s="335">
        <v>42571.0</v>
      </c>
      <c r="B29" s="131"/>
      <c r="C29" s="105" t="str">
        <f t="shared" si="3"/>
        <v>setlist</v>
      </c>
      <c r="D29" s="288" t="s">
        <v>2481</v>
      </c>
      <c r="E29" s="288" t="s">
        <v>683</v>
      </c>
      <c r="F29" s="195" t="s">
        <v>679</v>
      </c>
      <c r="G29" s="195" t="s">
        <v>36</v>
      </c>
      <c r="H29" s="105" t="str">
        <f>HYPERLINK("http://www.mediafire.com/download/fawnnvmf8oe71oj/2016-07-20_-_Bill_Graham_Civic_Auditorium_-_San_Francisco%2C_CA.rar", "download link")</f>
        <v>download link</v>
      </c>
      <c r="I29" s="288" t="s">
        <v>2623</v>
      </c>
      <c r="J29" s="289"/>
    </row>
    <row r="30">
      <c r="A30" s="336">
        <v>42573.0</v>
      </c>
      <c r="B30" s="156"/>
      <c r="C30" s="116" t="str">
        <f t="shared" si="3"/>
        <v>setlist</v>
      </c>
      <c r="D30" s="291" t="s">
        <v>1724</v>
      </c>
      <c r="E30" s="291" t="s">
        <v>2232</v>
      </c>
      <c r="F30" s="196" t="s">
        <v>679</v>
      </c>
      <c r="G30" s="196" t="s">
        <v>36</v>
      </c>
      <c r="H30" s="116" t="str">
        <f>HYPERLINK("http://www.mediafire.com/download/9k765cdes6z3770/2016-07-22_-_The_Forum_-_Inglewood%2C_CA.rar", "download link")</f>
        <v>download link</v>
      </c>
      <c r="I30" s="291" t="s">
        <v>2624</v>
      </c>
      <c r="J30" s="292"/>
    </row>
    <row r="31">
      <c r="A31" s="335">
        <v>42574.0</v>
      </c>
      <c r="B31" s="131"/>
      <c r="C31" s="105" t="str">
        <f t="shared" si="3"/>
        <v>setlist</v>
      </c>
      <c r="D31" s="288" t="s">
        <v>2560</v>
      </c>
      <c r="E31" s="288" t="s">
        <v>2102</v>
      </c>
      <c r="F31" s="195" t="s">
        <v>679</v>
      </c>
      <c r="G31" s="195" t="s">
        <v>36</v>
      </c>
      <c r="H31" s="105" t="str">
        <f>HYPERLINK("http://www.mediafire.com/download/yu67k95h75abial/2016-07-23_-_Sleep_Train_Amphitheatre_-_Chula_Vista%2C_CA.rar", "download link")</f>
        <v>download link</v>
      </c>
      <c r="I31" s="288" t="s">
        <v>2625</v>
      </c>
      <c r="J31" s="289"/>
    </row>
    <row r="32">
      <c r="A32" s="336">
        <v>42608.0</v>
      </c>
      <c r="B32" s="156"/>
      <c r="C32" s="116" t="str">
        <f t="shared" si="3"/>
        <v>setlist</v>
      </c>
      <c r="D32" s="291" t="s">
        <v>2626</v>
      </c>
      <c r="E32" s="291" t="s">
        <v>2627</v>
      </c>
      <c r="F32" s="196" t="s">
        <v>446</v>
      </c>
      <c r="G32" s="196" t="s">
        <v>36</v>
      </c>
      <c r="H32" s="116" t="str">
        <f>HYPERLINK("http://www.mediafire.com/download/dpl11zpo06ry9sd/2016-08-26_-_Oak_Ridge_Farm_-_Arrington%2C_VA.rar", "download link")</f>
        <v>download link</v>
      </c>
      <c r="I32" s="291" t="s">
        <v>2628</v>
      </c>
      <c r="J32" s="292"/>
    </row>
    <row r="33">
      <c r="A33" s="335">
        <v>42610.0</v>
      </c>
      <c r="B33" s="131"/>
      <c r="C33" s="105" t="str">
        <f t="shared" si="3"/>
        <v>setlist</v>
      </c>
      <c r="D33" s="288" t="s">
        <v>2626</v>
      </c>
      <c r="E33" s="288" t="s">
        <v>2627</v>
      </c>
      <c r="F33" s="195" t="s">
        <v>446</v>
      </c>
      <c r="G33" s="195" t="s">
        <v>36</v>
      </c>
      <c r="H33" s="105" t="str">
        <f>HYPERLINK("http://www.mediafire.com/download/2h43c7ehr2xbj0r/2016-08-28_-_Oak_Ridge_Farm_-_Arrington%2C_VA.rar", "download link")</f>
        <v>download link</v>
      </c>
      <c r="I33" s="288" t="s">
        <v>2596</v>
      </c>
      <c r="J33" s="289"/>
    </row>
    <row r="34">
      <c r="A34" s="336">
        <v>42615.0</v>
      </c>
      <c r="B34" s="156"/>
      <c r="C34" s="116" t="str">
        <f t="shared" si="3"/>
        <v>setlist</v>
      </c>
      <c r="D34" s="291" t="s">
        <v>2457</v>
      </c>
      <c r="E34" s="291" t="s">
        <v>2458</v>
      </c>
      <c r="F34" s="196" t="s">
        <v>203</v>
      </c>
      <c r="G34" s="196" t="s">
        <v>36</v>
      </c>
      <c r="H34" s="116" t="str">
        <f>HYPERLINK("http://www.mediafire.com/download/4avnrxp7h7ev5ze/2016-09-02_-_Dick%27s_Sporting_Goods_Park_-_Commerce_City%2C_CO.rar", "download link")</f>
        <v>download link</v>
      </c>
      <c r="I34" s="291" t="s">
        <v>2629</v>
      </c>
      <c r="J34" s="291" t="s">
        <v>287</v>
      </c>
    </row>
    <row r="35">
      <c r="A35" s="335">
        <v>42616.0</v>
      </c>
      <c r="B35" s="131"/>
      <c r="C35" s="105" t="str">
        <f t="shared" si="3"/>
        <v>setlist</v>
      </c>
      <c r="D35" s="288" t="s">
        <v>2457</v>
      </c>
      <c r="E35" s="288" t="s">
        <v>2458</v>
      </c>
      <c r="F35" s="195" t="s">
        <v>203</v>
      </c>
      <c r="G35" s="195" t="s">
        <v>36</v>
      </c>
      <c r="H35" s="105" t="str">
        <f>HYPERLINK("http://www.mediafire.com/download/oa38b966f6ua48f/2016-09-03_-_Dick%27s_Sporting_Goods_Park_-_Commerce_City%2C_CO.rar", "download link")</f>
        <v>download link</v>
      </c>
      <c r="I35" s="288" t="s">
        <v>2630</v>
      </c>
      <c r="J35" s="288" t="s">
        <v>287</v>
      </c>
    </row>
    <row r="36">
      <c r="A36" s="336">
        <v>42617.0</v>
      </c>
      <c r="B36" s="156"/>
      <c r="C36" s="116" t="str">
        <f t="shared" si="3"/>
        <v>setlist</v>
      </c>
      <c r="D36" s="291" t="s">
        <v>2457</v>
      </c>
      <c r="E36" s="291" t="s">
        <v>2458</v>
      </c>
      <c r="F36" s="196" t="s">
        <v>203</v>
      </c>
      <c r="G36" s="196" t="s">
        <v>36</v>
      </c>
      <c r="H36" s="116" t="str">
        <f>HYPERLINK("http://www.mediafire.com/download/0o8lwua02n2qwvw/2016-09-04_-_Dick%27s_Sporting_Goods_Park_-_Commerce_City%2C_CO.rar", "download link")</f>
        <v>download link</v>
      </c>
      <c r="I36" s="291" t="s">
        <v>2630</v>
      </c>
      <c r="J36" s="291" t="s">
        <v>287</v>
      </c>
    </row>
    <row r="37">
      <c r="A37" s="92"/>
      <c r="B37" s="93"/>
      <c r="C37" s="337"/>
      <c r="D37" s="264" t="s">
        <v>2631</v>
      </c>
      <c r="E37" s="238"/>
      <c r="F37" s="93"/>
      <c r="G37" s="93"/>
      <c r="H37" s="164"/>
      <c r="I37" s="238"/>
      <c r="J37" s="238"/>
    </row>
    <row r="38">
      <c r="A38" s="336">
        <v>42653.0</v>
      </c>
      <c r="B38" s="156"/>
      <c r="C38" s="116" t="str">
        <f t="shared" ref="C38:C51" si="4">HYPERLINK("http://phish.net/setlists/?d="&amp;RIGHT(TEXT(A38,"mm/dd/yyyy"),4)&amp;"-"&amp;LEFT(TEXT(A38,"mm/dd/yyyy"),2)&amp;"-"&amp;MID(TEXT(A38,"mm/dd/yyyy"),4,2), "setlist")</f>
        <v>setlist</v>
      </c>
      <c r="D38" s="291" t="s">
        <v>1936</v>
      </c>
      <c r="E38" s="291" t="s">
        <v>162</v>
      </c>
      <c r="F38" s="196" t="s">
        <v>129</v>
      </c>
      <c r="G38" s="196" t="s">
        <v>36</v>
      </c>
      <c r="H38" s="116" t="str">
        <f>HYPERLINK("http://www.mediafire.com/file/sd37pckx3xtagvy/2016-10-10_-_NBC_Studios_-_New_York%2C_NY.rar", "download link")</f>
        <v>download link</v>
      </c>
      <c r="I38" s="291" t="s">
        <v>2632</v>
      </c>
      <c r="J38" s="291"/>
    </row>
    <row r="39">
      <c r="A39" s="335">
        <v>42657.0</v>
      </c>
      <c r="B39" s="131"/>
      <c r="C39" s="105" t="str">
        <f t="shared" si="4"/>
        <v>setlist</v>
      </c>
      <c r="D39" s="288" t="s">
        <v>1647</v>
      </c>
      <c r="E39" s="288" t="s">
        <v>1648</v>
      </c>
      <c r="F39" s="195" t="s">
        <v>430</v>
      </c>
      <c r="G39" s="195" t="s">
        <v>36</v>
      </c>
      <c r="H39" s="105" t="str">
        <f>HYPERLINK("http://www.mediafire.com/file/e484vso4wcs0do8/2016-10-14_-_North_Charleston_Coliseum_-_North_Charleston%2C_SC.rar", "download link")</f>
        <v>download link</v>
      </c>
      <c r="I39" s="288" t="s">
        <v>2633</v>
      </c>
      <c r="J39" s="288"/>
    </row>
    <row r="40">
      <c r="A40" s="336">
        <v>42658.0</v>
      </c>
      <c r="B40" s="156"/>
      <c r="C40" s="116" t="str">
        <f t="shared" si="4"/>
        <v>setlist</v>
      </c>
      <c r="D40" s="291" t="s">
        <v>1647</v>
      </c>
      <c r="E40" s="291" t="s">
        <v>1648</v>
      </c>
      <c r="F40" s="196" t="s">
        <v>430</v>
      </c>
      <c r="G40" s="196" t="s">
        <v>36</v>
      </c>
      <c r="H40" s="116" t="str">
        <f>HYPERLINK("http://www.mediafire.com/file/9cn27s2rv09de4q/2016-10-15_-_North_Charleston_Coliseum_-_North_Charleston%2C_SC.rar", "download link")</f>
        <v>download link</v>
      </c>
      <c r="I40" s="291" t="s">
        <v>2633</v>
      </c>
      <c r="J40" s="291"/>
    </row>
    <row r="41">
      <c r="A41" s="335">
        <v>42659.0</v>
      </c>
      <c r="B41" s="131"/>
      <c r="C41" s="105" t="str">
        <f t="shared" si="4"/>
        <v>setlist</v>
      </c>
      <c r="D41" s="288" t="s">
        <v>2634</v>
      </c>
      <c r="E41" s="288" t="s">
        <v>2635</v>
      </c>
      <c r="F41" s="195" t="s">
        <v>1133</v>
      </c>
      <c r="G41" s="195" t="s">
        <v>36</v>
      </c>
      <c r="H41" s="105" t="str">
        <f>HYPERLINK("http://www.mediafire.com/file/7dxsnspya9dijc0/2016-10-16_-_Jacksonville_Veterans_Memorial_Arena_-_Jacksonville%2C_FL.rar", "download link")</f>
        <v>download link</v>
      </c>
      <c r="I41" s="288" t="s">
        <v>2633</v>
      </c>
      <c r="J41" s="288"/>
    </row>
    <row r="42">
      <c r="A42" s="336">
        <v>42661.0</v>
      </c>
      <c r="B42" s="156"/>
      <c r="C42" s="116" t="str">
        <f t="shared" si="4"/>
        <v>setlist</v>
      </c>
      <c r="D42" s="291" t="s">
        <v>2582</v>
      </c>
      <c r="E42" s="291" t="s">
        <v>652</v>
      </c>
      <c r="F42" s="196" t="s">
        <v>650</v>
      </c>
      <c r="G42" s="196" t="s">
        <v>36</v>
      </c>
      <c r="H42" s="116" t="str">
        <f>HYPERLINK("http://www.mediafire.com/file/udu23oy02b9ftiz/2016-10-18_-_Ascend_Amphitheater_-_Nashville%2C_TN.rar", "download link")</f>
        <v>download link</v>
      </c>
      <c r="I42" s="291" t="s">
        <v>2636</v>
      </c>
      <c r="J42" s="291"/>
    </row>
    <row r="43">
      <c r="A43" s="335">
        <v>42662.0</v>
      </c>
      <c r="B43" s="131"/>
      <c r="C43" s="105" t="str">
        <f t="shared" si="4"/>
        <v>setlist</v>
      </c>
      <c r="D43" s="288" t="s">
        <v>2582</v>
      </c>
      <c r="E43" s="288" t="s">
        <v>652</v>
      </c>
      <c r="F43" s="195" t="s">
        <v>650</v>
      </c>
      <c r="G43" s="195" t="s">
        <v>36</v>
      </c>
      <c r="H43" s="105" t="str">
        <f>HYPERLINK("http://www.mediafire.com/file/z3rlc9sc9opheqh/2016-10-19_-_Ascend_Amphitheater_-_Nashville%2C_TN.rar", "download link")</f>
        <v>download link</v>
      </c>
      <c r="I43" s="288" t="s">
        <v>2539</v>
      </c>
      <c r="J43" s="288"/>
    </row>
    <row r="44">
      <c r="A44" s="336">
        <v>42664.0</v>
      </c>
      <c r="B44" s="156"/>
      <c r="C44" s="116" t="str">
        <f t="shared" si="4"/>
        <v>setlist</v>
      </c>
      <c r="D44" s="291" t="s">
        <v>2393</v>
      </c>
      <c r="E44" s="291" t="s">
        <v>2394</v>
      </c>
      <c r="F44" s="196" t="s">
        <v>433</v>
      </c>
      <c r="G44" s="196" t="s">
        <v>36</v>
      </c>
      <c r="H44" s="116" t="str">
        <f>HYPERLINK("http://www.mediafire.com/file/dte7o9bmaa2cwfj/2016-10-21_-_Verizon_Wireless_Amphitheatre_at_Encore_Park_-_Alpharetta%2C_GA.rar", "download link")</f>
        <v>download link</v>
      </c>
      <c r="I44" s="291" t="s">
        <v>2497</v>
      </c>
      <c r="J44" s="291"/>
    </row>
    <row r="45">
      <c r="A45" s="335">
        <v>42665.0</v>
      </c>
      <c r="B45" s="131"/>
      <c r="C45" s="105" t="str">
        <f t="shared" si="4"/>
        <v>setlist</v>
      </c>
      <c r="D45" s="288" t="s">
        <v>2393</v>
      </c>
      <c r="E45" s="288" t="s">
        <v>2394</v>
      </c>
      <c r="F45" s="195" t="s">
        <v>433</v>
      </c>
      <c r="G45" s="195" t="s">
        <v>36</v>
      </c>
      <c r="H45" s="105" t="str">
        <f>HYPERLINK("http://www.mediafire.com/file/32y59fzwkpp85y5/2016-10-22_-_Verizon_Wireless_Amphitheatre_at_Encore_Park_-_Alpharetta%2C_GA.rar", "download link")</f>
        <v>download link</v>
      </c>
      <c r="I45" s="288" t="s">
        <v>2637</v>
      </c>
      <c r="J45" s="288"/>
    </row>
    <row r="46">
      <c r="A46" s="336">
        <v>42667.0</v>
      </c>
      <c r="B46" s="156"/>
      <c r="C46" s="116" t="str">
        <f t="shared" si="4"/>
        <v>setlist</v>
      </c>
      <c r="D46" s="291" t="s">
        <v>2577</v>
      </c>
      <c r="E46" s="291" t="s">
        <v>2578</v>
      </c>
      <c r="F46" s="196" t="s">
        <v>589</v>
      </c>
      <c r="G46" s="196" t="s">
        <v>36</v>
      </c>
      <c r="H46" s="116" t="str">
        <f>HYPERLINK("http://www.mediafire.com/file/wv78z002dxb044i/2016-10-24_-_Verizon_Theatre_at_Grand_Prairie_-_Grand_Prairie%2C_TX.rar", "download link")</f>
        <v>download link</v>
      </c>
      <c r="I46" s="291" t="s">
        <v>2638</v>
      </c>
      <c r="J46" s="291"/>
    </row>
    <row r="47">
      <c r="A47" s="335">
        <v>42668.0</v>
      </c>
      <c r="B47" s="131"/>
      <c r="C47" s="105" t="str">
        <f t="shared" si="4"/>
        <v>setlist</v>
      </c>
      <c r="D47" s="288" t="s">
        <v>2577</v>
      </c>
      <c r="E47" s="288" t="s">
        <v>2578</v>
      </c>
      <c r="F47" s="195" t="s">
        <v>589</v>
      </c>
      <c r="G47" s="195" t="s">
        <v>36</v>
      </c>
      <c r="H47" s="105" t="str">
        <f>HYPERLINK("http://www.mediafire.com/file/h7bc5twi7euh7lw/2016-10-25_-_Verizon_Theatre_at_Grand_Prairie_-_Grand_Prairie%2C_TX.rar", "download link")</f>
        <v>download link</v>
      </c>
      <c r="I47" s="288" t="s">
        <v>2639</v>
      </c>
      <c r="J47" s="288"/>
    </row>
    <row r="48">
      <c r="A48" s="336">
        <v>42671.0</v>
      </c>
      <c r="B48" s="156"/>
      <c r="C48" s="116" t="str">
        <f t="shared" si="4"/>
        <v>setlist</v>
      </c>
      <c r="D48" s="291" t="s">
        <v>2562</v>
      </c>
      <c r="E48" s="291" t="s">
        <v>1804</v>
      </c>
      <c r="F48" s="196" t="s">
        <v>1805</v>
      </c>
      <c r="G48" s="196" t="s">
        <v>36</v>
      </c>
      <c r="H48" s="116" t="str">
        <f>HYPERLINK("http://www.mediafire.com/file/fxxa378djijdr75/2016-10-28_-_MGM_Grand_Garden_Arena_-_Las_Vegas%2C_NV.rar", "download link")</f>
        <v>download link</v>
      </c>
      <c r="I48" s="291" t="s">
        <v>2640</v>
      </c>
      <c r="J48" s="291"/>
    </row>
    <row r="49">
      <c r="A49" s="335">
        <v>42672.0</v>
      </c>
      <c r="B49" s="131"/>
      <c r="C49" s="105" t="str">
        <f t="shared" si="4"/>
        <v>setlist</v>
      </c>
      <c r="D49" s="288" t="s">
        <v>2562</v>
      </c>
      <c r="E49" s="288" t="s">
        <v>1804</v>
      </c>
      <c r="F49" s="195" t="s">
        <v>1805</v>
      </c>
      <c r="G49" s="195" t="s">
        <v>36</v>
      </c>
      <c r="H49" s="105" t="str">
        <f>HYPERLINK("http://www.mediafire.com/file/ciipk8h0m2k9xd0/2016-10-29_-_MGM_Grand_Garden_Arena_-_Las_Vegas%2C_NV.rar", "download link")</f>
        <v>download link</v>
      </c>
      <c r="I49" s="288" t="s">
        <v>2641</v>
      </c>
      <c r="J49" s="288"/>
    </row>
    <row r="50">
      <c r="A50" s="336">
        <v>42673.0</v>
      </c>
      <c r="B50" s="156"/>
      <c r="C50" s="116" t="str">
        <f t="shared" si="4"/>
        <v>setlist</v>
      </c>
      <c r="D50" s="291" t="s">
        <v>2562</v>
      </c>
      <c r="E50" s="291" t="s">
        <v>1804</v>
      </c>
      <c r="F50" s="196" t="s">
        <v>1805</v>
      </c>
      <c r="G50" s="196" t="s">
        <v>36</v>
      </c>
      <c r="H50" s="116" t="str">
        <f>HYPERLINK("http://www.mediafire.com/file/bw5uce17ls2l4dw/2016-10-30_-_MGM_Grand_Garden_Arena_-_Las_Vegas%2C_NV.rar", "download link")</f>
        <v>download link</v>
      </c>
      <c r="I50" s="291" t="s">
        <v>2641</v>
      </c>
      <c r="J50" s="291"/>
    </row>
    <row r="51">
      <c r="A51" s="335">
        <v>42674.0</v>
      </c>
      <c r="B51" s="131"/>
      <c r="C51" s="105" t="str">
        <f t="shared" si="4"/>
        <v>setlist</v>
      </c>
      <c r="D51" s="288" t="s">
        <v>2562</v>
      </c>
      <c r="E51" s="288" t="s">
        <v>1804</v>
      </c>
      <c r="F51" s="195" t="s">
        <v>1805</v>
      </c>
      <c r="G51" s="195" t="s">
        <v>36</v>
      </c>
      <c r="H51" s="105" t="str">
        <f>HYPERLINK("http://www.mediafire.com/file/540ysbrbpqnx2o1/2016-10-31_-_MGM_Grand_Garden_Arena_-_Las_Vegas%2C_NV.rar", "download link")</f>
        <v>download link</v>
      </c>
      <c r="I51" s="288" t="s">
        <v>2641</v>
      </c>
      <c r="J51" s="288"/>
    </row>
    <row r="52">
      <c r="A52" s="92"/>
      <c r="B52" s="93"/>
      <c r="C52" s="337"/>
      <c r="D52" s="264" t="s">
        <v>2642</v>
      </c>
      <c r="E52" s="238"/>
      <c r="F52" s="93"/>
      <c r="G52" s="93"/>
      <c r="H52" s="164"/>
      <c r="I52" s="238"/>
      <c r="J52" s="238"/>
    </row>
    <row r="53">
      <c r="A53" s="336">
        <v>42732.0</v>
      </c>
      <c r="B53" s="156"/>
      <c r="C53" s="116" t="str">
        <f t="shared" ref="C53:C56" si="5">HYPERLINK("http://phish.net/setlists/?d="&amp;RIGHT(TEXT(A53,"mm/dd/yyyy"),4)&amp;"-"&amp;LEFT(TEXT(A53,"mm/dd/yyyy"),2)&amp;"-"&amp;MID(TEXT(A53,"mm/dd/yyyy"),4,2), "setlist")</f>
        <v>setlist</v>
      </c>
      <c r="D53" s="291" t="s">
        <v>1553</v>
      </c>
      <c r="E53" s="291" t="s">
        <v>162</v>
      </c>
      <c r="F53" s="196" t="s">
        <v>129</v>
      </c>
      <c r="G53" s="196" t="s">
        <v>36</v>
      </c>
      <c r="H53" s="116" t="str">
        <f>HYPERLINK("http://www.mediafire.com/file/r8lsfkdn5zg612u/2016-12-28_-_Madison_Square_Garden_-_New_York%2C_NY.rar", "download link")</f>
        <v>download link</v>
      </c>
      <c r="I53" s="291" t="s">
        <v>2643</v>
      </c>
      <c r="J53" s="291"/>
    </row>
    <row r="54">
      <c r="A54" s="335">
        <v>42733.0</v>
      </c>
      <c r="B54" s="131"/>
      <c r="C54" s="105" t="str">
        <f t="shared" si="5"/>
        <v>setlist</v>
      </c>
      <c r="D54" s="288" t="s">
        <v>1553</v>
      </c>
      <c r="E54" s="288" t="s">
        <v>162</v>
      </c>
      <c r="F54" s="195" t="s">
        <v>129</v>
      </c>
      <c r="G54" s="195" t="s">
        <v>36</v>
      </c>
      <c r="H54" s="105" t="str">
        <f>HYPERLINK("http://www.mediafire.com/file/k1m621w6jrv6b29/2016-12-29_-_Madison_Square_Garden_-_New_York%2C_NY.rar", "download link")</f>
        <v>download link</v>
      </c>
      <c r="I54" s="288" t="s">
        <v>2644</v>
      </c>
      <c r="J54" s="288"/>
    </row>
    <row r="55">
      <c r="A55" s="336">
        <v>42734.0</v>
      </c>
      <c r="B55" s="156"/>
      <c r="C55" s="116" t="str">
        <f t="shared" si="5"/>
        <v>setlist</v>
      </c>
      <c r="D55" s="291" t="s">
        <v>1553</v>
      </c>
      <c r="E55" s="291" t="s">
        <v>162</v>
      </c>
      <c r="F55" s="196" t="s">
        <v>129</v>
      </c>
      <c r="G55" s="196" t="s">
        <v>36</v>
      </c>
      <c r="H55" s="116" t="str">
        <f>HYPERLINK("http://www.mediafire.com/file/de06pacfmc0oo9a/2016-12-30_-_Madison_Square_Garden_-_New_York%2C_NY.rar", "download link")</f>
        <v>download link</v>
      </c>
      <c r="I55" s="291" t="s">
        <v>2645</v>
      </c>
      <c r="J55" s="291"/>
    </row>
    <row r="56">
      <c r="A56" s="335">
        <v>42735.0</v>
      </c>
      <c r="B56" s="131"/>
      <c r="C56" s="105" t="str">
        <f t="shared" si="5"/>
        <v>setlist</v>
      </c>
      <c r="D56" s="288" t="s">
        <v>1553</v>
      </c>
      <c r="E56" s="288" t="s">
        <v>162</v>
      </c>
      <c r="F56" s="195" t="s">
        <v>129</v>
      </c>
      <c r="G56" s="195" t="s">
        <v>36</v>
      </c>
      <c r="H56" s="105" t="str">
        <f>HYPERLINK("http://www.mediafire.com/file/gx5nay7al7l92k0/2016-12-31_-_Madison_Square_Garden_-_New_York%2C_NY.rar", "download link")</f>
        <v>download link</v>
      </c>
      <c r="I56" s="288" t="s">
        <v>2646</v>
      </c>
      <c r="J56" s="288"/>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2647</v>
      </c>
      <c r="E4" s="238"/>
      <c r="F4" s="93"/>
      <c r="G4" s="93"/>
      <c r="H4" s="164"/>
      <c r="I4" s="238"/>
      <c r="J4" s="238"/>
    </row>
    <row r="5">
      <c r="A5" s="336">
        <v>42748.0</v>
      </c>
      <c r="B5" s="156"/>
      <c r="C5" s="116" t="str">
        <f t="shared" ref="C5:C7" si="1">HYPERLINK("http://phish.net/setlists/?d="&amp;RIGHT(TEXT(A5,"mm/dd/yyyy"),4)&amp;"-"&amp;LEFT(TEXT(A5,"mm/dd/yyyy"),2)&amp;"-"&amp;MID(TEXT(A5,"mm/dd/yyyy"),4,2), "setlist")</f>
        <v>setlist</v>
      </c>
      <c r="D5" s="291" t="s">
        <v>2601</v>
      </c>
      <c r="E5" s="291" t="s">
        <v>2602</v>
      </c>
      <c r="F5" s="196" t="s">
        <v>2603</v>
      </c>
      <c r="G5" s="196" t="s">
        <v>36</v>
      </c>
      <c r="H5" s="116" t="str">
        <f>HYPERLINK("http://www.mediafire.com/file/bnbcn7asv3gh93c/2017-01-13_-_Barcel%C3%B3_Maya_Beach_-_Riviera_Maya%2C_Quintana_Roo%2C_Mexico.rar", "download link")</f>
        <v>download link</v>
      </c>
      <c r="I5" s="291" t="s">
        <v>2648</v>
      </c>
      <c r="J5" s="292"/>
    </row>
    <row r="6">
      <c r="A6" s="335">
        <v>42749.0</v>
      </c>
      <c r="B6" s="131"/>
      <c r="C6" s="105" t="str">
        <f t="shared" si="1"/>
        <v>setlist</v>
      </c>
      <c r="D6" s="288" t="s">
        <v>2601</v>
      </c>
      <c r="E6" s="288" t="s">
        <v>2602</v>
      </c>
      <c r="F6" s="195" t="s">
        <v>2603</v>
      </c>
      <c r="G6" s="195" t="s">
        <v>36</v>
      </c>
      <c r="H6" s="105" t="str">
        <f>HYPERLINK("http://www.mediafire.com/file/pkozdow6pz868ap/2017-01-14_-_Barcel%C3%B3_Maya_Beach_-_Riviera_Maya%2C_Quintana_Roo%2C_Mexico.rar", "download link")</f>
        <v>download link</v>
      </c>
      <c r="I6" s="288" t="s">
        <v>2649</v>
      </c>
      <c r="J6" s="289"/>
    </row>
    <row r="7">
      <c r="A7" s="336">
        <v>42750.0</v>
      </c>
      <c r="B7" s="156"/>
      <c r="C7" s="116" t="str">
        <f t="shared" si="1"/>
        <v>setlist</v>
      </c>
      <c r="D7" s="291" t="s">
        <v>2601</v>
      </c>
      <c r="E7" s="291" t="s">
        <v>2602</v>
      </c>
      <c r="F7" s="196" t="s">
        <v>2603</v>
      </c>
      <c r="G7" s="196" t="s">
        <v>36</v>
      </c>
      <c r="H7" s="116" t="str">
        <f>HYPERLINK("http://www.mediafire.com/file/jn3m51b9rc4c1d9/2017-01-15_-_Barcel%C3%B3_Maya_Beach_-_Riviera_Maya%2C_Quintana_Roo%2C_Mexico.rar", "download link")</f>
        <v>download link</v>
      </c>
      <c r="I7" s="291" t="s">
        <v>2649</v>
      </c>
      <c r="J7" s="292"/>
    </row>
    <row r="8">
      <c r="A8" s="92"/>
      <c r="B8" s="93"/>
      <c r="C8" s="93"/>
      <c r="D8" s="264" t="s">
        <v>2650</v>
      </c>
      <c r="E8" s="238"/>
      <c r="F8" s="93"/>
      <c r="G8" s="93"/>
      <c r="H8" s="164"/>
      <c r="I8" s="238"/>
      <c r="J8" s="238"/>
    </row>
    <row r="9">
      <c r="A9" s="336">
        <v>42930.0</v>
      </c>
      <c r="B9" s="156"/>
      <c r="C9" s="116" t="str">
        <f t="shared" ref="C9:C29" si="2">HYPERLINK("http://phish.net/setlists/?d="&amp;RIGHT(TEXT(A9,"mm/dd/yyyy"),4)&amp;"-"&amp;LEFT(TEXT(A9,"mm/dd/yyyy"),2)&amp;"-"&amp;MID(TEXT(A9,"mm/dd/yyyy"),4,2), "setlist")</f>
        <v>setlist</v>
      </c>
      <c r="D9" s="291" t="s">
        <v>2651</v>
      </c>
      <c r="E9" s="291" t="s">
        <v>479</v>
      </c>
      <c r="F9" s="196" t="s">
        <v>480</v>
      </c>
      <c r="G9" s="196" t="s">
        <v>36</v>
      </c>
      <c r="H9" s="116" t="str">
        <f>HYPERLINK("http://www.mediafire.com/file/yidrba824tr0vut/2017-07-14_-_Huntington_Bank_Pavilion_at_Northerly_Island_-_Chicago%2C_IL.rar", "download link")</f>
        <v>download link</v>
      </c>
      <c r="I9" s="291" t="s">
        <v>2652</v>
      </c>
      <c r="J9" s="292"/>
    </row>
    <row r="10">
      <c r="A10" s="335">
        <v>42931.0</v>
      </c>
      <c r="B10" s="131"/>
      <c r="C10" s="105" t="str">
        <f t="shared" si="2"/>
        <v>setlist</v>
      </c>
      <c r="D10" s="288" t="s">
        <v>2651</v>
      </c>
      <c r="E10" s="288" t="s">
        <v>479</v>
      </c>
      <c r="F10" s="195" t="s">
        <v>480</v>
      </c>
      <c r="G10" s="195" t="s">
        <v>36</v>
      </c>
      <c r="H10" s="105" t="str">
        <f>HYPERLINK("http://www.mediafire.com/file/joxfgug5ljvb7tc/2017-07-15_-_Huntington_Bank_Pavilion_at_Northerly_Island_-_Chicago%2C_IL.rar", "download link")</f>
        <v>download link</v>
      </c>
      <c r="I10" s="288" t="s">
        <v>2652</v>
      </c>
      <c r="J10" s="289"/>
    </row>
    <row r="11">
      <c r="A11" s="336">
        <v>42932.0</v>
      </c>
      <c r="B11" s="156"/>
      <c r="C11" s="116" t="str">
        <f t="shared" si="2"/>
        <v>setlist</v>
      </c>
      <c r="D11" s="291" t="s">
        <v>2651</v>
      </c>
      <c r="E11" s="291" t="s">
        <v>479</v>
      </c>
      <c r="F11" s="196" t="s">
        <v>480</v>
      </c>
      <c r="G11" s="196" t="s">
        <v>36</v>
      </c>
      <c r="H11" s="116" t="str">
        <f>HYPERLINK("http://www.mediafire.com/file/xyemadta5xcolkd/2017-07-16_-_Huntington_Bank_Pavilion_at_Northerly_Island_-_Chicago%2C_IL.rar", "download link")</f>
        <v>download link</v>
      </c>
      <c r="I11" s="291" t="s">
        <v>2652</v>
      </c>
      <c r="J11" s="292"/>
    </row>
    <row r="12">
      <c r="A12" s="335">
        <v>42934.0</v>
      </c>
      <c r="B12" s="131"/>
      <c r="C12" s="105" t="str">
        <f t="shared" si="2"/>
        <v>setlist</v>
      </c>
      <c r="D12" s="288" t="s">
        <v>1664</v>
      </c>
      <c r="E12" s="288" t="s">
        <v>477</v>
      </c>
      <c r="F12" s="195" t="s">
        <v>472</v>
      </c>
      <c r="G12" s="195" t="s">
        <v>36</v>
      </c>
      <c r="H12" s="105" t="str">
        <f>HYPERLINK("http://www.mediafire.com/file/1gulktdka0xzpm7/2017-07-18_-_Ervin_J._Nutter_Center%2C_Wright_State_University_-_Dayton%2C_OH.rar", "download link")</f>
        <v>download link</v>
      </c>
      <c r="I12" s="288" t="s">
        <v>2653</v>
      </c>
      <c r="J12" s="289"/>
    </row>
    <row r="13">
      <c r="A13" s="336">
        <v>42935.0</v>
      </c>
      <c r="B13" s="156"/>
      <c r="C13" s="116" t="str">
        <f t="shared" si="2"/>
        <v>setlist</v>
      </c>
      <c r="D13" s="291" t="s">
        <v>2654</v>
      </c>
      <c r="E13" s="291" t="s">
        <v>1073</v>
      </c>
      <c r="F13" s="196" t="s">
        <v>212</v>
      </c>
      <c r="G13" s="196" t="s">
        <v>36</v>
      </c>
      <c r="H13" s="116" t="str">
        <f>HYPERLINK("http://www.mediafire.com/file/mwnvajr19d3p8gm/2017-07-19_-_Petersen_Events_Center_-_Pittsburgh%2C_PA.rar", "download link")</f>
        <v>download link</v>
      </c>
      <c r="I13" s="291" t="s">
        <v>2385</v>
      </c>
      <c r="J13" s="292"/>
    </row>
    <row r="14">
      <c r="A14" s="335">
        <v>42937.0</v>
      </c>
      <c r="B14" s="131"/>
      <c r="C14" s="105" t="str">
        <f t="shared" si="2"/>
        <v>setlist</v>
      </c>
      <c r="D14" s="288" t="s">
        <v>1553</v>
      </c>
      <c r="E14" s="288" t="s">
        <v>162</v>
      </c>
      <c r="F14" s="195" t="s">
        <v>129</v>
      </c>
      <c r="G14" s="195" t="s">
        <v>36</v>
      </c>
      <c r="H14" s="105" t="str">
        <f>HYPERLINK("http://www.mediafire.com/file/h76whgnr2997nt2/2017-07-21_-_Madison_Square_Garden_-_New_York%2C_NY.rar", "download link")</f>
        <v>download link</v>
      </c>
      <c r="I14" s="288" t="s">
        <v>2655</v>
      </c>
      <c r="J14" s="288"/>
    </row>
    <row r="15">
      <c r="A15" s="336">
        <v>42938.0</v>
      </c>
      <c r="B15" s="156"/>
      <c r="C15" s="116" t="str">
        <f t="shared" si="2"/>
        <v>setlist</v>
      </c>
      <c r="D15" s="291" t="s">
        <v>1553</v>
      </c>
      <c r="E15" s="291" t="s">
        <v>162</v>
      </c>
      <c r="F15" s="196" t="s">
        <v>129</v>
      </c>
      <c r="G15" s="196" t="s">
        <v>36</v>
      </c>
      <c r="H15" s="116" t="str">
        <f>HYPERLINK("http://www.mediafire.com/file/2rz1lmn6cme3dpk/2017-07-22_-_Madison_Square_Garden_-_New_York%2C_NY.rar", "download link")</f>
        <v>download link</v>
      </c>
      <c r="I15" s="291" t="s">
        <v>2655</v>
      </c>
      <c r="J15" s="291"/>
    </row>
    <row r="16">
      <c r="A16" s="335">
        <v>42939.0</v>
      </c>
      <c r="B16" s="131"/>
      <c r="C16" s="105" t="str">
        <f t="shared" si="2"/>
        <v>setlist</v>
      </c>
      <c r="D16" s="288" t="s">
        <v>1553</v>
      </c>
      <c r="E16" s="288" t="s">
        <v>162</v>
      </c>
      <c r="F16" s="195" t="s">
        <v>129</v>
      </c>
      <c r="G16" s="195" t="s">
        <v>36</v>
      </c>
      <c r="H16" s="105" t="str">
        <f>HYPERLINK("http://www.mediafire.com/file/o4jbxts80e150d3/2017-07-23_-_Madison_Square_Garden_-_New_York%2C_NY.rar", "download link")</f>
        <v>download link</v>
      </c>
      <c r="I16" s="288" t="s">
        <v>2655</v>
      </c>
      <c r="J16" s="288"/>
    </row>
    <row r="17">
      <c r="A17" s="336">
        <v>42941.0</v>
      </c>
      <c r="B17" s="156"/>
      <c r="C17" s="116" t="str">
        <f t="shared" si="2"/>
        <v>setlist</v>
      </c>
      <c r="D17" s="291" t="s">
        <v>1553</v>
      </c>
      <c r="E17" s="291" t="s">
        <v>162</v>
      </c>
      <c r="F17" s="196" t="s">
        <v>129</v>
      </c>
      <c r="G17" s="196" t="s">
        <v>36</v>
      </c>
      <c r="H17" s="116" t="str">
        <f>HYPERLINK("http://www.mediafire.com/file/ja6ervp66790p0h/2017-07-25_-_Madison_Square_Garden_-_New_York%2C_NY.rar", "download link")</f>
        <v>download link</v>
      </c>
      <c r="I17" s="291" t="s">
        <v>2655</v>
      </c>
      <c r="J17" s="291"/>
    </row>
    <row r="18">
      <c r="A18" s="335">
        <v>42942.0</v>
      </c>
      <c r="B18" s="131"/>
      <c r="C18" s="105" t="str">
        <f t="shared" si="2"/>
        <v>setlist</v>
      </c>
      <c r="D18" s="288" t="s">
        <v>1553</v>
      </c>
      <c r="E18" s="288" t="s">
        <v>162</v>
      </c>
      <c r="F18" s="195" t="s">
        <v>129</v>
      </c>
      <c r="G18" s="195" t="s">
        <v>36</v>
      </c>
      <c r="H18" s="105" t="str">
        <f>HYPERLINK("http://www.mediafire.com/file/h0rbtjxx5q7pi3y/2017-07-26_-_Madison_Square_Garden_-_New_York%2C_NY.rar", "download link")</f>
        <v>download link</v>
      </c>
      <c r="I18" s="288" t="s">
        <v>2655</v>
      </c>
      <c r="J18" s="289"/>
    </row>
    <row r="19">
      <c r="A19" s="336">
        <v>42944.0</v>
      </c>
      <c r="B19" s="156"/>
      <c r="C19" s="116" t="str">
        <f t="shared" si="2"/>
        <v>setlist</v>
      </c>
      <c r="D19" s="291" t="s">
        <v>1553</v>
      </c>
      <c r="E19" s="291" t="s">
        <v>162</v>
      </c>
      <c r="F19" s="196" t="s">
        <v>129</v>
      </c>
      <c r="G19" s="196" t="s">
        <v>36</v>
      </c>
      <c r="H19" s="116" t="str">
        <f>HYPERLINK("http://www.mediafire.com/file/bqbyof8mhvryia8/2017-07-28_-_Madison_Square_Garden_-_New_York%2C_NY.rar", "download link")</f>
        <v>download link</v>
      </c>
      <c r="I19" s="291" t="s">
        <v>2655</v>
      </c>
      <c r="J19" s="292"/>
    </row>
    <row r="20">
      <c r="A20" s="335">
        <v>42945.0</v>
      </c>
      <c r="B20" s="131"/>
      <c r="C20" s="105" t="str">
        <f t="shared" si="2"/>
        <v>setlist</v>
      </c>
      <c r="D20" s="288" t="s">
        <v>1553</v>
      </c>
      <c r="E20" s="288" t="s">
        <v>162</v>
      </c>
      <c r="F20" s="195" t="s">
        <v>129</v>
      </c>
      <c r="G20" s="195" t="s">
        <v>36</v>
      </c>
      <c r="H20" s="105" t="str">
        <f>HYPERLINK("http://www.mediafire.com/file/23b6csj315ujy68/2017-07-29_-_Madison_Square_Garden_-_New_York%2C_NY.rar", "download link")</f>
        <v>download link</v>
      </c>
      <c r="I20" s="288" t="s">
        <v>2655</v>
      </c>
      <c r="J20" s="289"/>
    </row>
    <row r="21">
      <c r="A21" s="336">
        <v>42946.0</v>
      </c>
      <c r="B21" s="156"/>
      <c r="C21" s="116" t="str">
        <f t="shared" si="2"/>
        <v>setlist</v>
      </c>
      <c r="D21" s="291" t="s">
        <v>1553</v>
      </c>
      <c r="E21" s="291" t="s">
        <v>162</v>
      </c>
      <c r="F21" s="196" t="s">
        <v>129</v>
      </c>
      <c r="G21" s="196" t="s">
        <v>36</v>
      </c>
      <c r="H21" s="116" t="str">
        <f>HYPERLINK("http://www.mediafire.com/file/clfc8x84r4sl212/2017-07-30_-_Madison_Square_Garden_-_New_York%2C_NY.rar", "download link")</f>
        <v>download link</v>
      </c>
      <c r="I21" s="291" t="s">
        <v>2655</v>
      </c>
      <c r="J21" s="292"/>
    </row>
    <row r="22">
      <c r="A22" s="335">
        <v>42948.0</v>
      </c>
      <c r="B22" s="131"/>
      <c r="C22" s="105" t="str">
        <f t="shared" si="2"/>
        <v>setlist</v>
      </c>
      <c r="D22" s="288" t="s">
        <v>1553</v>
      </c>
      <c r="E22" s="288" t="s">
        <v>162</v>
      </c>
      <c r="F22" s="195" t="s">
        <v>129</v>
      </c>
      <c r="G22" s="195" t="s">
        <v>36</v>
      </c>
      <c r="H22" s="105" t="str">
        <f>HYPERLINK("http://www.mediafire.com/file/4igbs0q27hh2yaj/2017-08-01_-_Madison_Square_Garden_-_New_York%2C_NY.rar", "download link")</f>
        <v>download link</v>
      </c>
      <c r="I22" s="288" t="s">
        <v>2655</v>
      </c>
      <c r="J22" s="289"/>
    </row>
    <row r="23">
      <c r="A23" s="336">
        <v>42949.0</v>
      </c>
      <c r="B23" s="156"/>
      <c r="C23" s="116" t="str">
        <f t="shared" si="2"/>
        <v>setlist</v>
      </c>
      <c r="D23" s="291" t="s">
        <v>1553</v>
      </c>
      <c r="E23" s="291" t="s">
        <v>162</v>
      </c>
      <c r="F23" s="196" t="s">
        <v>129</v>
      </c>
      <c r="G23" s="196" t="s">
        <v>36</v>
      </c>
      <c r="H23" s="116" t="str">
        <f>HYPERLINK("http://www.mediafire.com/file/mrxnox84bpoxith/2017-08-02_-_Madison_Square_Garden_-_New_York%2C_NY.rar", "download link")</f>
        <v>download link</v>
      </c>
      <c r="I23" s="291" t="s">
        <v>2655</v>
      </c>
      <c r="J23" s="292"/>
    </row>
    <row r="24">
      <c r="A24" s="335">
        <v>42951.0</v>
      </c>
      <c r="B24" s="131"/>
      <c r="C24" s="105" t="str">
        <f t="shared" si="2"/>
        <v>setlist</v>
      </c>
      <c r="D24" s="288" t="s">
        <v>1553</v>
      </c>
      <c r="E24" s="288" t="s">
        <v>162</v>
      </c>
      <c r="F24" s="195" t="s">
        <v>129</v>
      </c>
      <c r="G24" s="195" t="s">
        <v>36</v>
      </c>
      <c r="H24" s="105" t="str">
        <f>HYPERLINK("http://www.mediafire.com/file/6s8lt5hne446qef/2017-08-04_-_Madison_Square_Garden_-_New_York%2C_NY.rar", "download link")</f>
        <v>download link</v>
      </c>
      <c r="I24" s="288" t="s">
        <v>2655</v>
      </c>
      <c r="J24" s="289"/>
    </row>
    <row r="25">
      <c r="A25" s="336">
        <v>42952.0</v>
      </c>
      <c r="B25" s="156"/>
      <c r="C25" s="116" t="str">
        <f t="shared" si="2"/>
        <v>setlist</v>
      </c>
      <c r="D25" s="291" t="s">
        <v>1553</v>
      </c>
      <c r="E25" s="291" t="s">
        <v>162</v>
      </c>
      <c r="F25" s="196" t="s">
        <v>129</v>
      </c>
      <c r="G25" s="196" t="s">
        <v>36</v>
      </c>
      <c r="H25" s="116" t="str">
        <f>HYPERLINK("http://www.mediafire.com/file/appkruh1d7r86xh/2017-08-05_-_Madison_Square_Garden_-_New_York%2C_NY.rar", "download link")</f>
        <v>download link</v>
      </c>
      <c r="I25" s="291" t="s">
        <v>2655</v>
      </c>
      <c r="J25" s="292"/>
    </row>
    <row r="26">
      <c r="A26" s="335">
        <v>42953.0</v>
      </c>
      <c r="B26" s="131"/>
      <c r="C26" s="105" t="str">
        <f t="shared" si="2"/>
        <v>setlist</v>
      </c>
      <c r="D26" s="288" t="s">
        <v>1553</v>
      </c>
      <c r="E26" s="288" t="s">
        <v>162</v>
      </c>
      <c r="F26" s="195" t="s">
        <v>129</v>
      </c>
      <c r="G26" s="195" t="s">
        <v>36</v>
      </c>
      <c r="H26" s="105" t="str">
        <f>HYPERLINK("http://www.mediafire.com/file/imq0f1a7ij681qe/2017-08-06_-_Madison_Square_Garden_-_New_York%2C_NY.rar", "download link")</f>
        <v>download link</v>
      </c>
      <c r="I26" s="288" t="s">
        <v>2655</v>
      </c>
      <c r="J26" s="289"/>
    </row>
    <row r="27">
      <c r="A27" s="336">
        <v>42979.0</v>
      </c>
      <c r="B27" s="156"/>
      <c r="C27" s="116" t="str">
        <f t="shared" si="2"/>
        <v>setlist</v>
      </c>
      <c r="D27" s="291" t="s">
        <v>2457</v>
      </c>
      <c r="E27" s="291" t="s">
        <v>2458</v>
      </c>
      <c r="F27" s="196" t="s">
        <v>203</v>
      </c>
      <c r="G27" s="196" t="s">
        <v>36</v>
      </c>
      <c r="H27" s="116" t="str">
        <f>HYPERLINK("http://www.mediafire.com/file/8ljmqxxhmdoid6r/2017-09-01_-_Dick%27s_Sporting_Goods_Park_-_Commerce_City%2C_CO.rar", "download link")</f>
        <v>download link</v>
      </c>
      <c r="I27" s="291" t="s">
        <v>2656</v>
      </c>
      <c r="J27" s="291" t="s">
        <v>287</v>
      </c>
    </row>
    <row r="28">
      <c r="A28" s="335">
        <v>42980.0</v>
      </c>
      <c r="B28" s="131"/>
      <c r="C28" s="105" t="str">
        <f t="shared" si="2"/>
        <v>setlist</v>
      </c>
      <c r="D28" s="288" t="s">
        <v>2457</v>
      </c>
      <c r="E28" s="288" t="s">
        <v>2458</v>
      </c>
      <c r="F28" s="195" t="s">
        <v>203</v>
      </c>
      <c r="G28" s="195" t="s">
        <v>36</v>
      </c>
      <c r="H28" s="105" t="str">
        <f>HYPERLINK("http://www.mediafire.com/file/qa3vnvhl2hfcczb/2017-09-02_-_Dick%27s_Sporting_Goods_Park_-_Commerce_City%2C_CO.rar", "download link")</f>
        <v>download link</v>
      </c>
      <c r="I28" s="288" t="s">
        <v>2657</v>
      </c>
      <c r="J28" s="288" t="s">
        <v>287</v>
      </c>
    </row>
    <row r="29">
      <c r="A29" s="336">
        <v>42981.0</v>
      </c>
      <c r="B29" s="156"/>
      <c r="C29" s="116" t="str">
        <f t="shared" si="2"/>
        <v>setlist</v>
      </c>
      <c r="D29" s="291" t="s">
        <v>2457</v>
      </c>
      <c r="E29" s="291" t="s">
        <v>2458</v>
      </c>
      <c r="F29" s="196" t="s">
        <v>203</v>
      </c>
      <c r="G29" s="196" t="s">
        <v>36</v>
      </c>
      <c r="H29" s="116" t="str">
        <f>HYPERLINK("http://www.mediafire.com/file/vlrqcjg33cnqwcb/2017-09-03_-_Dick%27s_Sporting_Goods_Park_-_Commerce_City%2C_CO.rar", "download link")</f>
        <v>download link</v>
      </c>
      <c r="I29" s="291" t="s">
        <v>2658</v>
      </c>
      <c r="J29" s="292"/>
    </row>
    <row r="30">
      <c r="A30" s="92"/>
      <c r="B30" s="93"/>
      <c r="C30" s="93"/>
      <c r="D30" s="264" t="s">
        <v>2659</v>
      </c>
      <c r="E30" s="238"/>
      <c r="F30" s="93"/>
      <c r="G30" s="93"/>
      <c r="H30" s="164"/>
      <c r="I30" s="238"/>
      <c r="J30" s="238"/>
    </row>
    <row r="31">
      <c r="A31" s="336">
        <v>43097.0</v>
      </c>
      <c r="B31" s="156"/>
      <c r="C31" s="116" t="str">
        <f t="shared" ref="C31:C34" si="3">HYPERLINK("http://phish.net/setlists/?d="&amp;RIGHT(TEXT(A31,"mm/dd/yyyy"),4)&amp;"-"&amp;LEFT(TEXT(A31,"mm/dd/yyyy"),2)&amp;"-"&amp;MID(TEXT(A31,"mm/dd/yyyy"),4,2), "setlist")</f>
        <v>setlist</v>
      </c>
      <c r="D31" s="291" t="s">
        <v>1553</v>
      </c>
      <c r="E31" s="291" t="s">
        <v>162</v>
      </c>
      <c r="F31" s="196" t="s">
        <v>129</v>
      </c>
      <c r="G31" s="196" t="s">
        <v>36</v>
      </c>
      <c r="H31" s="116" t="str">
        <f>HYPERLINK("http://www.mediafire.com/file/dtznld5r59b13b6/2017-12-28_-_Madison_Square_Garden_-_New_York%2C_NY.rar", "download link")</f>
        <v>download link</v>
      </c>
      <c r="I31" s="291" t="s">
        <v>2660</v>
      </c>
      <c r="J31" s="292"/>
    </row>
    <row r="32">
      <c r="A32" s="335">
        <v>43098.0</v>
      </c>
      <c r="B32" s="131"/>
      <c r="C32" s="105" t="str">
        <f t="shared" si="3"/>
        <v>setlist</v>
      </c>
      <c r="D32" s="288" t="s">
        <v>1553</v>
      </c>
      <c r="E32" s="288" t="s">
        <v>162</v>
      </c>
      <c r="F32" s="195" t="s">
        <v>129</v>
      </c>
      <c r="G32" s="195" t="s">
        <v>36</v>
      </c>
      <c r="H32" s="105" t="str">
        <f>HYPERLINK("http://www.mediafire.com/file/mip0gd7drhd50d3/2017-12-29_-_Madison_Square_Garden_-_New_York%2C_NY.rar", "download link")</f>
        <v>download link</v>
      </c>
      <c r="I32" s="288" t="s">
        <v>2660</v>
      </c>
      <c r="J32" s="289"/>
    </row>
    <row r="33">
      <c r="A33" s="336">
        <v>43099.0</v>
      </c>
      <c r="B33" s="156"/>
      <c r="C33" s="116" t="str">
        <f t="shared" si="3"/>
        <v>setlist</v>
      </c>
      <c r="D33" s="291" t="s">
        <v>1553</v>
      </c>
      <c r="E33" s="291" t="s">
        <v>162</v>
      </c>
      <c r="F33" s="196" t="s">
        <v>129</v>
      </c>
      <c r="G33" s="196" t="s">
        <v>36</v>
      </c>
      <c r="H33" s="116" t="str">
        <f>HYPERLINK("http://www.mediafire.com/file/d5nkq59waf1l76m/2017-12-30_-_Madison_Square_Garden_-_New_York%2C_NY.rar", "download link")</f>
        <v>download link</v>
      </c>
      <c r="I33" s="291" t="s">
        <v>2660</v>
      </c>
      <c r="J33" s="292"/>
    </row>
    <row r="34">
      <c r="A34" s="335">
        <v>43100.0</v>
      </c>
      <c r="B34" s="131"/>
      <c r="C34" s="105" t="str">
        <f t="shared" si="3"/>
        <v>setlist</v>
      </c>
      <c r="D34" s="288" t="s">
        <v>1553</v>
      </c>
      <c r="E34" s="288" t="s">
        <v>162</v>
      </c>
      <c r="F34" s="195" t="s">
        <v>129</v>
      </c>
      <c r="G34" s="195" t="s">
        <v>36</v>
      </c>
      <c r="H34" s="105" t="str">
        <f>HYPERLINK("http://www.mediafire.com/file/py4g3bkydapxw22/2017-12-31_-_Madison_Square_Garden_-_New_York%2C_NY.rar", "download link")</f>
        <v>download link</v>
      </c>
      <c r="I34" s="288" t="s">
        <v>2661</v>
      </c>
      <c r="J34" s="28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63.0"/>
  </cols>
  <sheetData>
    <row r="1">
      <c r="A1" s="77"/>
      <c r="B1" s="78"/>
      <c r="C1" s="78"/>
      <c r="D1" s="79"/>
      <c r="E1" s="80"/>
      <c r="F1" s="78"/>
      <c r="G1" s="78"/>
      <c r="H1" s="81"/>
      <c r="I1" s="82"/>
      <c r="J1" s="82"/>
    </row>
    <row r="2">
      <c r="A2" s="83" t="s">
        <v>22</v>
      </c>
      <c r="B2" s="60" t="s">
        <v>23</v>
      </c>
      <c r="C2" s="60" t="s">
        <v>24</v>
      </c>
      <c r="D2" s="56" t="s">
        <v>25</v>
      </c>
      <c r="E2" s="84" t="s">
        <v>26</v>
      </c>
      <c r="F2" s="60" t="s">
        <v>27</v>
      </c>
      <c r="G2" s="60" t="s">
        <v>28</v>
      </c>
      <c r="H2" s="60" t="s">
        <v>29</v>
      </c>
      <c r="I2" s="85" t="s">
        <v>30</v>
      </c>
      <c r="J2" s="83" t="s">
        <v>31</v>
      </c>
    </row>
    <row r="3">
      <c r="A3" s="86"/>
      <c r="B3" s="87"/>
      <c r="C3" s="88"/>
      <c r="D3" s="89"/>
      <c r="E3" s="89"/>
      <c r="F3" s="87"/>
      <c r="G3" s="87"/>
      <c r="H3" s="90"/>
      <c r="I3" s="91"/>
      <c r="J3" s="91"/>
    </row>
    <row r="4">
      <c r="A4" s="92"/>
      <c r="B4" s="93"/>
      <c r="C4" s="94"/>
      <c r="D4" s="83">
        <v>1983.0</v>
      </c>
      <c r="E4" s="95"/>
      <c r="F4" s="93"/>
      <c r="G4" s="93"/>
      <c r="H4" s="94"/>
      <c r="I4" s="95"/>
      <c r="J4" s="95"/>
    </row>
    <row r="5">
      <c r="A5" s="96">
        <v>30652.0</v>
      </c>
      <c r="B5" s="97" t="s">
        <v>32</v>
      </c>
      <c r="C5" s="98" t="str">
        <f t="shared" ref="C5:C6" si="1">HYPERLINK("http://www.phish.net/setlists/?d="&amp;RIGHT(TEXT(A5,"mm/dd/yyyy"),4)&amp;"-"&amp;LEFT(TEXT(A5,"mm/dd/yyyy"),2)&amp;"-"&amp;MID(TEXT(A5,"mm/dd/yyyy"),4,2), "setlist")</f>
        <v>setlist</v>
      </c>
      <c r="D5" s="99" t="s">
        <v>33</v>
      </c>
      <c r="E5" s="100" t="s">
        <v>34</v>
      </c>
      <c r="F5" s="97" t="s">
        <v>35</v>
      </c>
      <c r="G5" s="97" t="s">
        <v>36</v>
      </c>
      <c r="H5" s="98" t="str">
        <f>HYPERLINK("http://www.mediafire.com/download/0b8qtuehlaw4xbz/1983-12-02_-_Harris-Millis_Cafeteria%2C_University_of_Vermont_-_Burlington%2C_VT.rar", "download link")</f>
        <v>download link</v>
      </c>
      <c r="I5" s="101" t="s">
        <v>37</v>
      </c>
      <c r="J5" s="102" t="s">
        <v>38</v>
      </c>
    </row>
    <row r="6">
      <c r="A6" s="103">
        <v>30653.0</v>
      </c>
      <c r="B6" s="104"/>
      <c r="C6" s="105" t="str">
        <f t="shared" si="1"/>
        <v>setlist</v>
      </c>
      <c r="D6" s="106" t="s">
        <v>39</v>
      </c>
      <c r="E6" s="106" t="s">
        <v>34</v>
      </c>
      <c r="F6" s="107" t="s">
        <v>35</v>
      </c>
      <c r="G6" s="104"/>
      <c r="H6" s="108"/>
      <c r="I6" s="109"/>
      <c r="J6" s="109"/>
    </row>
    <row r="7">
      <c r="A7" s="110">
        <v>30675.0</v>
      </c>
      <c r="B7" s="111"/>
      <c r="C7" s="112" t="s">
        <v>40</v>
      </c>
      <c r="D7" s="113" t="s">
        <v>41</v>
      </c>
      <c r="E7" s="113" t="s">
        <v>42</v>
      </c>
      <c r="F7" s="114" t="s">
        <v>43</v>
      </c>
      <c r="G7" s="115" t="s">
        <v>36</v>
      </c>
      <c r="H7" s="116" t="str">
        <f>HYPERLINK("http://www.mediafire.com/download/nceig1qg03iyyy9/1983-12-25_-_Trey%27s_Basement_-_Princeton%2C_NJ.rar", "download link")</f>
        <v>download link</v>
      </c>
      <c r="I7" s="117" t="s">
        <v>44</v>
      </c>
      <c r="J7" s="118" t="s">
        <v>45</v>
      </c>
    </row>
    <row r="8">
      <c r="A8" s="119" t="s">
        <v>46</v>
      </c>
      <c r="B8" s="120" t="s">
        <v>32</v>
      </c>
      <c r="C8" s="121" t="s">
        <v>40</v>
      </c>
      <c r="D8" s="122" t="s">
        <v>47</v>
      </c>
      <c r="E8" s="122" t="s">
        <v>34</v>
      </c>
      <c r="F8" s="120" t="s">
        <v>35</v>
      </c>
      <c r="G8" s="120" t="s">
        <v>36</v>
      </c>
      <c r="H8" s="123" t="str">
        <f>HYPERLINK("http://www.mediafire.com/download/kddde8du0anv7ul/1983-12-xx_-_Bivuoac_Jaun_Demo.rar", "download link")</f>
        <v>download link</v>
      </c>
      <c r="I8" s="124" t="s">
        <v>48</v>
      </c>
      <c r="J8" s="122" t="s">
        <v>49</v>
      </c>
    </row>
    <row r="9">
      <c r="A9" s="92"/>
      <c r="B9" s="93"/>
      <c r="C9" s="94"/>
      <c r="D9" s="83">
        <v>1984.0</v>
      </c>
      <c r="E9" s="95"/>
      <c r="F9" s="93"/>
      <c r="G9" s="93"/>
      <c r="H9" s="94"/>
      <c r="I9" s="95"/>
      <c r="J9" s="95"/>
    </row>
    <row r="10">
      <c r="A10" s="125">
        <v>30978.0</v>
      </c>
      <c r="B10" s="126"/>
      <c r="C10" s="98" t="str">
        <f t="shared" ref="C10:C13" si="2">HYPERLINK("http://www.phish.net/setlists/?d="&amp;RIGHT(TEXT(A10,"mm/dd/yyyy"),4)&amp;"-"&amp;LEFT(TEXT(A10,"mm/dd/yyyy"),2)&amp;"-"&amp;MID(TEXT(A10,"mm/dd/yyyy"),4,2), "setlist")</f>
        <v>setlist</v>
      </c>
      <c r="D10" s="101" t="s">
        <v>50</v>
      </c>
      <c r="E10" s="102" t="s">
        <v>34</v>
      </c>
      <c r="F10" s="127" t="s">
        <v>35</v>
      </c>
      <c r="G10" s="126"/>
      <c r="H10" s="128"/>
      <c r="I10" s="129"/>
      <c r="J10" s="129"/>
    </row>
    <row r="11">
      <c r="A11" s="130">
        <v>30989.0</v>
      </c>
      <c r="B11" s="131"/>
      <c r="C11" s="105" t="str">
        <f t="shared" si="2"/>
        <v>setlist</v>
      </c>
      <c r="D11" s="132" t="s">
        <v>51</v>
      </c>
      <c r="E11" s="132" t="s">
        <v>34</v>
      </c>
      <c r="F11" s="133" t="s">
        <v>35</v>
      </c>
      <c r="G11" s="133" t="s">
        <v>36</v>
      </c>
      <c r="H11" s="105" t="str">
        <f>HYPERLINK("http://www.mediafire.com/download/h7vq38rb8d7w1zr/1984-11-03_-_Slade_Hall%2C_University_of_Vermont_-_Burlington%2C_VT.rar", "download link")</f>
        <v>download link</v>
      </c>
      <c r="I11" s="134" t="s">
        <v>52</v>
      </c>
      <c r="J11" s="106" t="s">
        <v>53</v>
      </c>
    </row>
    <row r="12">
      <c r="A12" s="110">
        <v>31017.0</v>
      </c>
      <c r="B12" s="114" t="s">
        <v>32</v>
      </c>
      <c r="C12" s="135" t="str">
        <f t="shared" si="2"/>
        <v>setlist</v>
      </c>
      <c r="D12" s="113" t="s">
        <v>54</v>
      </c>
      <c r="E12" s="113" t="s">
        <v>34</v>
      </c>
      <c r="F12" s="114" t="s">
        <v>35</v>
      </c>
      <c r="G12" s="114" t="s">
        <v>36</v>
      </c>
      <c r="H12" s="135" t="str">
        <f>HYPERLINK("http://www.mediafire.com/file/1b7e4qcdh4hz59u/1984-12-01_-_Nectar%27s_-_Burlington%2C_VT.rar", "download link")</f>
        <v>download link</v>
      </c>
      <c r="I12" s="136" t="s">
        <v>55</v>
      </c>
      <c r="J12" s="80"/>
    </row>
    <row r="13">
      <c r="A13" s="119" t="s">
        <v>56</v>
      </c>
      <c r="B13" s="120" t="s">
        <v>32</v>
      </c>
      <c r="C13" s="123" t="str">
        <f t="shared" si="2"/>
        <v>setlist</v>
      </c>
      <c r="D13" s="122" t="s">
        <v>57</v>
      </c>
      <c r="E13" s="122" t="s">
        <v>58</v>
      </c>
      <c r="F13" s="120" t="s">
        <v>59</v>
      </c>
      <c r="G13" s="120" t="s">
        <v>36</v>
      </c>
      <c r="H13" s="123" t="str">
        <f>HYPERLINK("http://www.mediafire.com/download/ow429m69pa86noq/1984-xx-xx_-_Dear_Mrs._Reagan_Demo.rar", "download link")</f>
        <v>download link</v>
      </c>
      <c r="I13" s="137" t="s">
        <v>60</v>
      </c>
      <c r="J13" s="122" t="s">
        <v>49</v>
      </c>
    </row>
    <row r="14">
      <c r="A14" s="92"/>
      <c r="B14" s="93"/>
      <c r="C14" s="94"/>
      <c r="D14" s="83">
        <v>1985.0</v>
      </c>
      <c r="E14" s="95"/>
      <c r="F14" s="93"/>
      <c r="G14" s="93"/>
      <c r="H14" s="94"/>
      <c r="I14" s="95"/>
      <c r="J14" s="95"/>
    </row>
    <row r="15">
      <c r="A15" s="125">
        <v>31079.0</v>
      </c>
      <c r="B15" s="126"/>
      <c r="C15" s="98" t="str">
        <f t="shared" ref="C15:C44" si="3">HYPERLINK("http://www.phish.net/setlists/?d="&amp;RIGHT(TEXT(A15,"mm/dd/yyyy"),4)&amp;"-"&amp;LEFT(TEXT(A15,"mm/dd/yyyy"),2)&amp;"-"&amp;MID(TEXT(A15,"mm/dd/yyyy"),4,2), "setlist")</f>
        <v>setlist</v>
      </c>
      <c r="D15" s="102" t="s">
        <v>61</v>
      </c>
      <c r="E15" s="102" t="s">
        <v>34</v>
      </c>
      <c r="F15" s="127" t="s">
        <v>35</v>
      </c>
      <c r="G15" s="126"/>
      <c r="H15" s="128"/>
      <c r="I15" s="129"/>
      <c r="J15" s="129"/>
    </row>
    <row r="16">
      <c r="A16" s="103">
        <v>31093.0</v>
      </c>
      <c r="B16" s="104"/>
      <c r="C16" s="105" t="str">
        <f t="shared" si="3"/>
        <v>setlist</v>
      </c>
      <c r="D16" s="106" t="s">
        <v>61</v>
      </c>
      <c r="E16" s="106" t="s">
        <v>34</v>
      </c>
      <c r="F16" s="107" t="s">
        <v>35</v>
      </c>
      <c r="G16" s="104"/>
      <c r="H16" s="108"/>
      <c r="I16" s="109"/>
      <c r="J16" s="109"/>
    </row>
    <row r="17">
      <c r="A17" s="110">
        <v>31100.0</v>
      </c>
      <c r="B17" s="111"/>
      <c r="C17" s="135" t="str">
        <f t="shared" si="3"/>
        <v>setlist</v>
      </c>
      <c r="D17" s="113" t="s">
        <v>61</v>
      </c>
      <c r="E17" s="113" t="s">
        <v>34</v>
      </c>
      <c r="F17" s="114" t="s">
        <v>35</v>
      </c>
      <c r="G17" s="111"/>
      <c r="H17" s="138"/>
      <c r="I17" s="80"/>
      <c r="J17" s="80"/>
    </row>
    <row r="18">
      <c r="A18" s="103">
        <v>31103.0</v>
      </c>
      <c r="B18" s="104"/>
      <c r="C18" s="105" t="str">
        <f t="shared" si="3"/>
        <v>setlist</v>
      </c>
      <c r="D18" s="106" t="s">
        <v>61</v>
      </c>
      <c r="E18" s="106" t="s">
        <v>34</v>
      </c>
      <c r="F18" s="107" t="s">
        <v>35</v>
      </c>
      <c r="G18" s="104"/>
      <c r="H18" s="108"/>
      <c r="I18" s="109"/>
      <c r="J18" s="109"/>
    </row>
    <row r="19">
      <c r="A19" s="110">
        <v>31103.0</v>
      </c>
      <c r="B19" s="111"/>
      <c r="C19" s="135" t="str">
        <f t="shared" si="3"/>
        <v>setlist</v>
      </c>
      <c r="D19" s="136" t="s">
        <v>62</v>
      </c>
      <c r="E19" s="113" t="s">
        <v>34</v>
      </c>
      <c r="F19" s="114" t="s">
        <v>35</v>
      </c>
      <c r="G19" s="111"/>
      <c r="H19" s="138"/>
      <c r="I19" s="80"/>
      <c r="J19" s="80"/>
    </row>
    <row r="20">
      <c r="A20" s="103">
        <v>31108.0</v>
      </c>
      <c r="B20" s="104"/>
      <c r="C20" s="105" t="str">
        <f t="shared" si="3"/>
        <v>setlist</v>
      </c>
      <c r="D20" s="106" t="s">
        <v>63</v>
      </c>
      <c r="E20" s="106" t="s">
        <v>34</v>
      </c>
      <c r="F20" s="107" t="s">
        <v>35</v>
      </c>
      <c r="G20" s="104"/>
      <c r="H20" s="108"/>
      <c r="I20" s="109"/>
      <c r="J20" s="109"/>
    </row>
    <row r="21">
      <c r="A21" s="110">
        <v>31110.0</v>
      </c>
      <c r="B21" s="114" t="s">
        <v>32</v>
      </c>
      <c r="C21" s="135" t="str">
        <f t="shared" si="3"/>
        <v>setlist</v>
      </c>
      <c r="D21" s="113" t="s">
        <v>63</v>
      </c>
      <c r="E21" s="113" t="s">
        <v>34</v>
      </c>
      <c r="F21" s="114" t="s">
        <v>35</v>
      </c>
      <c r="G21" s="114" t="s">
        <v>36</v>
      </c>
      <c r="H21" s="135" t="str">
        <f>HYPERLINK("http://www.mediafire.com/download/8tjjcp1c810tydm/1985-03-04_-_Hunt%27s_-_Burlington%2C_VT.rar", "download link")</f>
        <v>download link</v>
      </c>
      <c r="I21" s="136" t="s">
        <v>64</v>
      </c>
      <c r="J21" s="113" t="s">
        <v>65</v>
      </c>
    </row>
    <row r="22">
      <c r="A22" s="103">
        <v>31114.0</v>
      </c>
      <c r="B22" s="104"/>
      <c r="C22" s="105" t="str">
        <f t="shared" si="3"/>
        <v>setlist</v>
      </c>
      <c r="D22" s="106" t="s">
        <v>61</v>
      </c>
      <c r="E22" s="106" t="s">
        <v>34</v>
      </c>
      <c r="F22" s="107" t="s">
        <v>35</v>
      </c>
      <c r="G22" s="104"/>
      <c r="H22" s="108"/>
      <c r="I22" s="109"/>
      <c r="J22" s="109"/>
    </row>
    <row r="23">
      <c r="A23" s="110">
        <v>31122.0</v>
      </c>
      <c r="B23" s="111"/>
      <c r="C23" s="135" t="str">
        <f t="shared" si="3"/>
        <v>setlist</v>
      </c>
      <c r="D23" s="113" t="s">
        <v>61</v>
      </c>
      <c r="E23" s="113" t="s">
        <v>34</v>
      </c>
      <c r="F23" s="114" t="s">
        <v>35</v>
      </c>
      <c r="G23" s="111"/>
      <c r="H23" s="138"/>
      <c r="I23" s="80"/>
      <c r="J23" s="80"/>
    </row>
    <row r="24">
      <c r="A24" s="103">
        <v>31135.0</v>
      </c>
      <c r="B24" s="104"/>
      <c r="C24" s="105" t="str">
        <f t="shared" si="3"/>
        <v>setlist</v>
      </c>
      <c r="D24" s="106" t="s">
        <v>61</v>
      </c>
      <c r="E24" s="106" t="s">
        <v>34</v>
      </c>
      <c r="F24" s="107" t="s">
        <v>35</v>
      </c>
      <c r="G24" s="104"/>
      <c r="H24" s="108"/>
      <c r="I24" s="109"/>
      <c r="J24" s="109"/>
    </row>
    <row r="25">
      <c r="A25" s="110">
        <v>31143.0</v>
      </c>
      <c r="B25" s="111"/>
      <c r="C25" s="135" t="str">
        <f t="shared" si="3"/>
        <v>setlist</v>
      </c>
      <c r="D25" s="113" t="s">
        <v>66</v>
      </c>
      <c r="E25" s="113" t="s">
        <v>34</v>
      </c>
      <c r="F25" s="114" t="s">
        <v>35</v>
      </c>
      <c r="G25" s="139" t="s">
        <v>36</v>
      </c>
      <c r="H25" s="135" t="str">
        <f>HYPERLINK("http://www.mediafire.com/download/84bwloi2rxbb0a1/1985-04-06_-_Finbar%27s_-_Burlington%2C_VT.rar", "download link")</f>
        <v>download link</v>
      </c>
      <c r="I25" s="136" t="s">
        <v>67</v>
      </c>
      <c r="J25" s="136" t="s">
        <v>68</v>
      </c>
    </row>
    <row r="26">
      <c r="A26" s="103">
        <v>31156.0</v>
      </c>
      <c r="B26" s="104"/>
      <c r="C26" s="105" t="str">
        <f t="shared" si="3"/>
        <v>setlist</v>
      </c>
      <c r="D26" s="106" t="s">
        <v>63</v>
      </c>
      <c r="E26" s="106" t="s">
        <v>34</v>
      </c>
      <c r="F26" s="107" t="s">
        <v>35</v>
      </c>
      <c r="G26" s="104"/>
      <c r="H26" s="108"/>
      <c r="I26" s="106"/>
      <c r="J26" s="106" t="s">
        <v>69</v>
      </c>
    </row>
    <row r="27">
      <c r="A27" s="110">
        <v>31158.0</v>
      </c>
      <c r="B27" s="111"/>
      <c r="C27" s="135" t="str">
        <f t="shared" si="3"/>
        <v>setlist</v>
      </c>
      <c r="D27" s="136" t="s">
        <v>70</v>
      </c>
      <c r="E27" s="113" t="s">
        <v>71</v>
      </c>
      <c r="F27" s="114" t="s">
        <v>35</v>
      </c>
      <c r="G27" s="111"/>
      <c r="H27" s="138"/>
      <c r="I27" s="80"/>
      <c r="J27" s="80"/>
    </row>
    <row r="28">
      <c r="A28" s="103">
        <v>31168.0</v>
      </c>
      <c r="B28" s="104"/>
      <c r="C28" s="105" t="str">
        <f t="shared" si="3"/>
        <v>setlist</v>
      </c>
      <c r="D28" s="134" t="s">
        <v>72</v>
      </c>
      <c r="E28" s="106" t="s">
        <v>34</v>
      </c>
      <c r="F28" s="107" t="s">
        <v>35</v>
      </c>
      <c r="G28" s="104"/>
      <c r="H28" s="108"/>
      <c r="I28" s="109"/>
      <c r="J28" s="109"/>
    </row>
    <row r="29">
      <c r="A29" s="110">
        <v>31168.0</v>
      </c>
      <c r="B29" s="111"/>
      <c r="C29" s="135" t="str">
        <f t="shared" si="3"/>
        <v>setlist</v>
      </c>
      <c r="D29" s="136" t="s">
        <v>72</v>
      </c>
      <c r="E29" s="113" t="s">
        <v>34</v>
      </c>
      <c r="F29" s="114" t="s">
        <v>35</v>
      </c>
      <c r="G29" s="111"/>
      <c r="H29" s="138"/>
      <c r="I29" s="80"/>
      <c r="J29" s="80"/>
    </row>
    <row r="30">
      <c r="A30" s="103">
        <v>31168.0</v>
      </c>
      <c r="B30" s="104"/>
      <c r="C30" s="105" t="str">
        <f t="shared" si="3"/>
        <v>setlist</v>
      </c>
      <c r="D30" s="134" t="s">
        <v>72</v>
      </c>
      <c r="E30" s="106" t="s">
        <v>34</v>
      </c>
      <c r="F30" s="107" t="s">
        <v>35</v>
      </c>
      <c r="G30" s="104"/>
      <c r="H30" s="108"/>
      <c r="I30" s="109"/>
      <c r="J30" s="109"/>
    </row>
    <row r="31">
      <c r="A31" s="110">
        <v>31168.0</v>
      </c>
      <c r="B31" s="111"/>
      <c r="C31" s="135" t="str">
        <f t="shared" si="3"/>
        <v>setlist</v>
      </c>
      <c r="D31" s="136" t="s">
        <v>72</v>
      </c>
      <c r="E31" s="113" t="s">
        <v>34</v>
      </c>
      <c r="F31" s="114" t="s">
        <v>35</v>
      </c>
      <c r="G31" s="111"/>
      <c r="H31" s="138"/>
      <c r="I31" s="80"/>
      <c r="J31" s="80"/>
    </row>
    <row r="32">
      <c r="A32" s="130">
        <v>31170.0</v>
      </c>
      <c r="B32" s="133" t="s">
        <v>32</v>
      </c>
      <c r="C32" s="105" t="str">
        <f t="shared" si="3"/>
        <v>setlist</v>
      </c>
      <c r="D32" s="140" t="s">
        <v>72</v>
      </c>
      <c r="E32" s="132" t="s">
        <v>34</v>
      </c>
      <c r="F32" s="133" t="s">
        <v>35</v>
      </c>
      <c r="G32" s="133" t="s">
        <v>36</v>
      </c>
      <c r="H32" s="105" t="str">
        <f>HYPERLINK("http://www.mediafire.com/download/x15r3cwp4fcid3g/1985-05-03_-_University_of_Vermont_-_Burlington%2C_VT.rar", "download link")</f>
        <v>download link</v>
      </c>
      <c r="I32" s="134" t="s">
        <v>73</v>
      </c>
      <c r="J32" s="106" t="s">
        <v>74</v>
      </c>
    </row>
    <row r="33">
      <c r="A33" s="110">
        <v>31174.0</v>
      </c>
      <c r="B33" s="111"/>
      <c r="C33" s="135" t="str">
        <f t="shared" si="3"/>
        <v>setlist</v>
      </c>
      <c r="D33" s="113" t="s">
        <v>66</v>
      </c>
      <c r="E33" s="113" t="s">
        <v>34</v>
      </c>
      <c r="F33" s="114" t="s">
        <v>35</v>
      </c>
      <c r="G33" s="111"/>
      <c r="H33" s="138"/>
      <c r="I33" s="80"/>
      <c r="J33" s="80"/>
    </row>
    <row r="34">
      <c r="A34" s="103">
        <v>31198.0</v>
      </c>
      <c r="B34" s="104"/>
      <c r="C34" s="105" t="str">
        <f t="shared" si="3"/>
        <v>setlist</v>
      </c>
      <c r="D34" s="106" t="s">
        <v>51</v>
      </c>
      <c r="E34" s="106" t="s">
        <v>34</v>
      </c>
      <c r="F34" s="107" t="s">
        <v>35</v>
      </c>
      <c r="G34" s="104"/>
      <c r="H34" s="108"/>
      <c r="I34" s="109"/>
      <c r="J34" s="109"/>
    </row>
    <row r="35">
      <c r="A35" s="110">
        <v>31316.0</v>
      </c>
      <c r="B35" s="139" t="s">
        <v>32</v>
      </c>
      <c r="C35" s="135" t="str">
        <f t="shared" si="3"/>
        <v>setlist</v>
      </c>
      <c r="D35" s="136" t="s">
        <v>75</v>
      </c>
      <c r="E35" s="113" t="s">
        <v>34</v>
      </c>
      <c r="F35" s="114" t="s">
        <v>35</v>
      </c>
      <c r="G35" s="139" t="s">
        <v>36</v>
      </c>
      <c r="H35" s="135" t="str">
        <f>HYPERLINK("http://www.mediafire.com/download/vatzv2m8ehwa0g9/1985-09-26_-_WRUV_Radio_-_Burlington%2C_VT.rar", "download link")</f>
        <v>download link</v>
      </c>
      <c r="I35" s="136" t="s">
        <v>76</v>
      </c>
      <c r="J35" s="136" t="s">
        <v>77</v>
      </c>
    </row>
    <row r="36">
      <c r="A36" s="103">
        <v>31317.0</v>
      </c>
      <c r="B36" s="141" t="s">
        <v>32</v>
      </c>
      <c r="C36" s="105" t="str">
        <f t="shared" si="3"/>
        <v>setlist</v>
      </c>
      <c r="D36" s="106" t="s">
        <v>51</v>
      </c>
      <c r="E36" s="106" t="s">
        <v>34</v>
      </c>
      <c r="F36" s="107" t="s">
        <v>35</v>
      </c>
      <c r="G36" s="141">
        <v>128.0</v>
      </c>
      <c r="H36" s="105" t="str">
        <f>HYPERLINK("http://www.mediafire.com/download/scj5qmoh1461h5c/1985-09-27_-_Slade_Hall%2C_University_of_Vermont_-_Burlington%2C_VT.rar", "download link")</f>
        <v>download link</v>
      </c>
      <c r="I36" s="134" t="s">
        <v>78</v>
      </c>
      <c r="J36" s="134" t="s">
        <v>79</v>
      </c>
    </row>
    <row r="37">
      <c r="A37" s="110">
        <v>31337.0</v>
      </c>
      <c r="B37" s="114" t="s">
        <v>32</v>
      </c>
      <c r="C37" s="135" t="str">
        <f t="shared" si="3"/>
        <v>setlist</v>
      </c>
      <c r="D37" s="113" t="s">
        <v>66</v>
      </c>
      <c r="E37" s="113" t="s">
        <v>34</v>
      </c>
      <c r="F37" s="114" t="s">
        <v>35</v>
      </c>
      <c r="G37" s="114" t="s">
        <v>36</v>
      </c>
      <c r="H37" s="135" t="str">
        <f>HYPERLINK("http://www.mediafire.com/download/mwh8dqgexl54kk4/1985-10-17_-_Finbar%27s_-_Burlington%2C_VT.rar", "download link")</f>
        <v>download link</v>
      </c>
      <c r="I37" s="136" t="s">
        <v>55</v>
      </c>
      <c r="J37" s="80"/>
    </row>
    <row r="38">
      <c r="A38" s="103">
        <v>31340.0</v>
      </c>
      <c r="B38" s="104"/>
      <c r="C38" s="105" t="str">
        <f t="shared" si="3"/>
        <v>setlist</v>
      </c>
      <c r="D38" s="106" t="s">
        <v>51</v>
      </c>
      <c r="E38" s="106" t="s">
        <v>34</v>
      </c>
      <c r="F38" s="107" t="s">
        <v>35</v>
      </c>
      <c r="G38" s="104"/>
      <c r="H38" s="108"/>
      <c r="I38" s="109"/>
      <c r="J38" s="109"/>
    </row>
    <row r="39">
      <c r="A39" s="142">
        <v>31350.0</v>
      </c>
      <c r="B39" s="115" t="s">
        <v>32</v>
      </c>
      <c r="C39" s="116" t="str">
        <f t="shared" si="3"/>
        <v>setlist</v>
      </c>
      <c r="D39" s="118" t="s">
        <v>63</v>
      </c>
      <c r="E39" s="118" t="s">
        <v>34</v>
      </c>
      <c r="F39" s="115" t="s">
        <v>35</v>
      </c>
      <c r="G39" s="115" t="s">
        <v>36</v>
      </c>
      <c r="H39" s="116" t="str">
        <f>HYPERLINK("http://www.mediafire.com/download/c3vqqx3egis9jzq/1985-10-30_-_Hunt%27s_-_Burlington%2C_VT.rar", "download link")</f>
        <v>download link</v>
      </c>
      <c r="I39" s="117" t="s">
        <v>80</v>
      </c>
      <c r="J39" s="118" t="s">
        <v>81</v>
      </c>
    </row>
    <row r="40">
      <c r="A40" s="103">
        <v>31353.0</v>
      </c>
      <c r="B40" s="107"/>
      <c r="C40" s="105" t="str">
        <f t="shared" si="3"/>
        <v>setlist</v>
      </c>
      <c r="D40" s="134" t="s">
        <v>51</v>
      </c>
      <c r="E40" s="134" t="s">
        <v>34</v>
      </c>
      <c r="F40" s="141" t="s">
        <v>35</v>
      </c>
      <c r="G40" s="107"/>
      <c r="H40" s="143"/>
      <c r="I40" s="106"/>
      <c r="J40" s="106"/>
    </row>
    <row r="41">
      <c r="A41" s="142">
        <v>31365.0</v>
      </c>
      <c r="B41" s="115" t="s">
        <v>32</v>
      </c>
      <c r="C41" s="116" t="str">
        <f t="shared" si="3"/>
        <v>setlist</v>
      </c>
      <c r="D41" s="118" t="s">
        <v>82</v>
      </c>
      <c r="E41" s="118" t="s">
        <v>34</v>
      </c>
      <c r="F41" s="115" t="s">
        <v>35</v>
      </c>
      <c r="G41" s="115" t="s">
        <v>36</v>
      </c>
      <c r="H41" s="116" t="str">
        <f>HYPERLINK("http://www.mediafire.com/download/x5pk69880fowb19/1985-11-14_-_Memorial_Auditorium_Basement_-_Burlington%2C_VT.rar", "download link")</f>
        <v>download link</v>
      </c>
      <c r="I41" s="117" t="s">
        <v>83</v>
      </c>
      <c r="J41" s="118" t="s">
        <v>84</v>
      </c>
    </row>
    <row r="42">
      <c r="A42" s="130">
        <v>31374.0</v>
      </c>
      <c r="B42" s="133" t="s">
        <v>32</v>
      </c>
      <c r="C42" s="105" t="str">
        <f t="shared" si="3"/>
        <v>setlist</v>
      </c>
      <c r="D42" s="140" t="s">
        <v>70</v>
      </c>
      <c r="E42" s="132" t="s">
        <v>71</v>
      </c>
      <c r="F42" s="133" t="s">
        <v>35</v>
      </c>
      <c r="G42" s="133" t="s">
        <v>36</v>
      </c>
      <c r="H42" s="105" t="str">
        <f>HYPERLINK("http://www.mediafire.com/download/dl7ou05b97cxd1y/1985-11-23_-_Goddard_College_-_Plainfield%2C_VT.rar", "download link")</f>
        <v>download link</v>
      </c>
      <c r="I42" s="134" t="s">
        <v>85</v>
      </c>
      <c r="J42" s="106" t="s">
        <v>65</v>
      </c>
    </row>
    <row r="43">
      <c r="A43" s="142">
        <v>31394.0</v>
      </c>
      <c r="B43" s="144"/>
      <c r="C43" s="116" t="str">
        <f t="shared" si="3"/>
        <v>setlist</v>
      </c>
      <c r="D43" s="117" t="s">
        <v>62</v>
      </c>
      <c r="E43" s="118" t="s">
        <v>34</v>
      </c>
      <c r="F43" s="115" t="s">
        <v>35</v>
      </c>
      <c r="G43" s="144"/>
      <c r="H43" s="145"/>
      <c r="I43" s="146"/>
      <c r="J43" s="146"/>
    </row>
    <row r="44">
      <c r="A44" s="119" t="s">
        <v>86</v>
      </c>
      <c r="B44" s="120" t="s">
        <v>32</v>
      </c>
      <c r="C44" s="123" t="str">
        <f t="shared" si="3"/>
        <v>setlist</v>
      </c>
      <c r="D44" s="122" t="s">
        <v>87</v>
      </c>
      <c r="E44" s="122" t="s">
        <v>88</v>
      </c>
      <c r="F44" s="120" t="s">
        <v>59</v>
      </c>
      <c r="G44" s="120" t="s">
        <v>36</v>
      </c>
      <c r="H44" s="123" t="str">
        <f>HYPERLINK("http://www.mediafire.com/download/0w6fsjsjqm4kias/1985-12-xx_-_Green_Dolphin_Street_Demo.rar", "download link")</f>
        <v>download link</v>
      </c>
      <c r="I44" s="137" t="s">
        <v>89</v>
      </c>
      <c r="J44" s="122" t="s">
        <v>49</v>
      </c>
    </row>
    <row r="45">
      <c r="A45" s="92"/>
      <c r="B45" s="93"/>
      <c r="C45" s="94"/>
      <c r="D45" s="83">
        <v>1986.0</v>
      </c>
      <c r="E45" s="95"/>
      <c r="F45" s="93"/>
      <c r="G45" s="93"/>
      <c r="H45" s="94"/>
      <c r="I45" s="95"/>
      <c r="J45" s="95"/>
    </row>
    <row r="46">
      <c r="A46" s="125">
        <v>31446.0</v>
      </c>
      <c r="B46" s="126"/>
      <c r="C46" s="98" t="str">
        <f t="shared" ref="C46:C64" si="4">HYPERLINK("http://www.phish.net/setlists/?d="&amp;RIGHT(TEXT(A46,"mm/dd/yyyy"),4)&amp;"-"&amp;LEFT(TEXT(A46,"mm/dd/yyyy"),2)&amp;"-"&amp;MID(TEXT(A46,"mm/dd/yyyy"),4,2), "setlist")</f>
        <v>setlist</v>
      </c>
      <c r="D46" s="102" t="s">
        <v>63</v>
      </c>
      <c r="E46" s="102" t="s">
        <v>34</v>
      </c>
      <c r="F46" s="127" t="s">
        <v>35</v>
      </c>
      <c r="G46" s="127" t="s">
        <v>36</v>
      </c>
      <c r="H46" s="98" t="str">
        <f>HYPERLINK("http://www.mediafire.com/download/vcp4vqtaj1es1o6/1986-02-03_-_Hunt%27s_-_Burlington%2C_VT.rar", "download link")</f>
        <v>download link</v>
      </c>
      <c r="I46" s="101" t="s">
        <v>90</v>
      </c>
      <c r="J46" s="129"/>
    </row>
    <row r="47">
      <c r="A47" s="103">
        <v>31471.0</v>
      </c>
      <c r="B47" s="104"/>
      <c r="C47" s="105" t="str">
        <f t="shared" si="4"/>
        <v>setlist</v>
      </c>
      <c r="D47" s="106" t="s">
        <v>51</v>
      </c>
      <c r="E47" s="106" t="s">
        <v>34</v>
      </c>
      <c r="F47" s="107" t="s">
        <v>35</v>
      </c>
      <c r="G47" s="104"/>
      <c r="H47" s="108"/>
      <c r="I47" s="109"/>
      <c r="J47" s="109"/>
    </row>
    <row r="48">
      <c r="A48" s="110">
        <v>31503.0</v>
      </c>
      <c r="B48" s="111"/>
      <c r="C48" s="135" t="str">
        <f t="shared" si="4"/>
        <v>setlist</v>
      </c>
      <c r="D48" s="113" t="s">
        <v>63</v>
      </c>
      <c r="E48" s="113" t="s">
        <v>34</v>
      </c>
      <c r="F48" s="114" t="s">
        <v>35</v>
      </c>
      <c r="G48" s="114" t="s">
        <v>36</v>
      </c>
      <c r="H48" s="135" t="str">
        <f>HYPERLINK("http://www.mediafire.com/download/at7k4oba9acnkwk/1986-04-01_-_Hunt%27s_-_Burlington%2C_VT.rar", "download link")</f>
        <v>download link</v>
      </c>
      <c r="I48" s="136" t="s">
        <v>91</v>
      </c>
      <c r="J48" s="80"/>
    </row>
    <row r="49">
      <c r="A49" s="103">
        <v>31517.0</v>
      </c>
      <c r="B49" s="107" t="s">
        <v>32</v>
      </c>
      <c r="C49" s="105" t="str">
        <f t="shared" si="4"/>
        <v>setlist</v>
      </c>
      <c r="D49" s="134" t="s">
        <v>72</v>
      </c>
      <c r="E49" s="106" t="s">
        <v>34</v>
      </c>
      <c r="F49" s="107" t="s">
        <v>35</v>
      </c>
      <c r="G49" s="107" t="s">
        <v>36</v>
      </c>
      <c r="H49" s="105" t="str">
        <f>HYPERLINK("http://www.mediafire.com/download/lubfy3borri4t7b/1986-04-15_-_University_of_Vermont_-_Burlington%2C_VT.rar", "download link")</f>
        <v>download link</v>
      </c>
      <c r="I49" s="134" t="s">
        <v>92</v>
      </c>
      <c r="J49" s="109"/>
    </row>
    <row r="50">
      <c r="A50" s="110">
        <v>31531.0</v>
      </c>
      <c r="B50" s="111"/>
      <c r="C50" s="135" t="str">
        <f t="shared" si="4"/>
        <v>setlist</v>
      </c>
      <c r="D50" s="136" t="s">
        <v>72</v>
      </c>
      <c r="E50" s="113" t="s">
        <v>34</v>
      </c>
      <c r="F50" s="114" t="s">
        <v>35</v>
      </c>
      <c r="G50" s="111"/>
      <c r="H50" s="138"/>
      <c r="I50" s="80"/>
      <c r="J50" s="80"/>
    </row>
    <row r="51">
      <c r="A51" s="103">
        <v>31548.0</v>
      </c>
      <c r="B51" s="104"/>
      <c r="C51" s="105" t="str">
        <f t="shared" si="4"/>
        <v>setlist</v>
      </c>
      <c r="D51" s="134" t="s">
        <v>82</v>
      </c>
      <c r="E51" s="106" t="s">
        <v>34</v>
      </c>
      <c r="F51" s="107" t="s">
        <v>35</v>
      </c>
      <c r="G51" s="104"/>
      <c r="H51" s="108"/>
      <c r="I51" s="109"/>
      <c r="J51" s="109"/>
    </row>
    <row r="52">
      <c r="A52" s="110">
        <v>31549.0</v>
      </c>
      <c r="B52" s="111"/>
      <c r="C52" s="135" t="str">
        <f t="shared" si="4"/>
        <v>setlist</v>
      </c>
      <c r="D52" s="136" t="s">
        <v>70</v>
      </c>
      <c r="E52" s="113" t="s">
        <v>71</v>
      </c>
      <c r="F52" s="114" t="s">
        <v>35</v>
      </c>
      <c r="G52" s="111"/>
      <c r="H52" s="138"/>
      <c r="I52" s="80"/>
      <c r="J52" s="80"/>
    </row>
    <row r="53">
      <c r="A53" s="103">
        <v>31556.0</v>
      </c>
      <c r="B53" s="104"/>
      <c r="C53" s="105" t="str">
        <f t="shared" si="4"/>
        <v>setlist</v>
      </c>
      <c r="D53" s="106" t="s">
        <v>63</v>
      </c>
      <c r="E53" s="106" t="s">
        <v>34</v>
      </c>
      <c r="F53" s="107" t="s">
        <v>35</v>
      </c>
      <c r="G53" s="104"/>
      <c r="H53" s="108"/>
      <c r="I53" s="109"/>
      <c r="J53" s="109"/>
    </row>
    <row r="54">
      <c r="A54" s="110">
        <v>31564.0</v>
      </c>
      <c r="B54" s="111"/>
      <c r="C54" s="135" t="str">
        <f t="shared" si="4"/>
        <v>setlist</v>
      </c>
      <c r="D54" s="136" t="s">
        <v>93</v>
      </c>
      <c r="E54" s="113" t="s">
        <v>94</v>
      </c>
      <c r="F54" s="114" t="s">
        <v>95</v>
      </c>
      <c r="G54" s="111"/>
      <c r="H54" s="138"/>
      <c r="I54" s="80"/>
      <c r="J54" s="80"/>
    </row>
    <row r="55">
      <c r="A55" s="103">
        <v>31658.0</v>
      </c>
      <c r="B55" s="104"/>
      <c r="C55" s="105" t="str">
        <f t="shared" si="4"/>
        <v>setlist</v>
      </c>
      <c r="D55" s="106" t="s">
        <v>63</v>
      </c>
      <c r="E55" s="106" t="s">
        <v>34</v>
      </c>
      <c r="F55" s="107" t="s">
        <v>35</v>
      </c>
      <c r="G55" s="104"/>
      <c r="H55" s="108"/>
      <c r="I55" s="109"/>
      <c r="J55" s="109"/>
    </row>
    <row r="56">
      <c r="A56" s="110">
        <v>31665.0</v>
      </c>
      <c r="B56" s="111"/>
      <c r="C56" s="135" t="str">
        <f t="shared" si="4"/>
        <v>setlist</v>
      </c>
      <c r="D56" s="113" t="s">
        <v>66</v>
      </c>
      <c r="E56" s="113" t="s">
        <v>34</v>
      </c>
      <c r="F56" s="114" t="s">
        <v>35</v>
      </c>
      <c r="G56" s="111"/>
      <c r="H56" s="138"/>
      <c r="I56" s="80"/>
      <c r="J56" s="80"/>
    </row>
    <row r="57">
      <c r="A57" s="103">
        <v>31681.0</v>
      </c>
      <c r="B57" s="104"/>
      <c r="C57" s="105" t="str">
        <f t="shared" si="4"/>
        <v>setlist</v>
      </c>
      <c r="D57" s="134" t="s">
        <v>62</v>
      </c>
      <c r="E57" s="106" t="s">
        <v>96</v>
      </c>
      <c r="F57" s="107" t="s">
        <v>35</v>
      </c>
      <c r="G57" s="104"/>
      <c r="H57" s="108"/>
      <c r="I57" s="109"/>
      <c r="J57" s="109"/>
    </row>
    <row r="58">
      <c r="A58" s="110">
        <v>31697.0</v>
      </c>
      <c r="B58" s="111"/>
      <c r="C58" s="135" t="str">
        <f t="shared" si="4"/>
        <v>setlist</v>
      </c>
      <c r="D58" s="113" t="s">
        <v>97</v>
      </c>
      <c r="E58" s="113" t="s">
        <v>71</v>
      </c>
      <c r="F58" s="114" t="s">
        <v>35</v>
      </c>
      <c r="G58" s="114" t="s">
        <v>36</v>
      </c>
      <c r="H58" s="135" t="str">
        <f>HYPERLINK("http://www.mediafire.com/download/6xmotgc0doltrvb/1986-10-12_-_Haybarn_Theater%2C_Goddard_College_-_Plainfield%2C_VT.rar", "download link")</f>
        <v>download link</v>
      </c>
      <c r="I58" s="136" t="s">
        <v>98</v>
      </c>
      <c r="J58" s="80"/>
    </row>
    <row r="59">
      <c r="A59" s="103">
        <v>31700.0</v>
      </c>
      <c r="B59" s="107" t="s">
        <v>32</v>
      </c>
      <c r="C59" s="105" t="str">
        <f t="shared" si="4"/>
        <v>setlist</v>
      </c>
      <c r="D59" s="106" t="s">
        <v>63</v>
      </c>
      <c r="E59" s="106" t="s">
        <v>34</v>
      </c>
      <c r="F59" s="107" t="s">
        <v>35</v>
      </c>
      <c r="G59" s="107" t="s">
        <v>36</v>
      </c>
      <c r="H59" s="105" t="str">
        <f>HYPERLINK("http://www.mediafire.com/download/k87i9do0zpox8y9/1986-10-15_-_Hunt%27s_-_Burlington%2C_VT.rar", "download link")</f>
        <v>download link</v>
      </c>
      <c r="I59" s="134" t="s">
        <v>99</v>
      </c>
      <c r="J59" s="109"/>
    </row>
    <row r="60">
      <c r="A60" s="110">
        <v>31716.0</v>
      </c>
      <c r="B60" s="114" t="s">
        <v>32</v>
      </c>
      <c r="C60" s="135" t="str">
        <f t="shared" si="4"/>
        <v>setlist</v>
      </c>
      <c r="D60" s="113" t="s">
        <v>100</v>
      </c>
      <c r="E60" s="113" t="s">
        <v>71</v>
      </c>
      <c r="F60" s="114" t="s">
        <v>35</v>
      </c>
      <c r="G60" s="114" t="s">
        <v>36</v>
      </c>
      <c r="H60" s="135" t="str">
        <f>HYPERLINK("http://www.mediafire.com/download/rdsdf4sv7p19d63/1986-10-31_-_Sculpture_Room%2C_Goddard_College_-_Plainfield%2C_VT.rar", "download link")</f>
        <v>download link</v>
      </c>
      <c r="I60" s="136" t="s">
        <v>101</v>
      </c>
      <c r="J60" s="80"/>
    </row>
    <row r="61">
      <c r="A61" s="103">
        <v>31723.0</v>
      </c>
      <c r="B61" s="104"/>
      <c r="C61" s="105" t="str">
        <f t="shared" si="4"/>
        <v>setlist</v>
      </c>
      <c r="D61" s="106" t="s">
        <v>102</v>
      </c>
      <c r="E61" s="106" t="s">
        <v>34</v>
      </c>
      <c r="F61" s="107" t="s">
        <v>35</v>
      </c>
      <c r="G61" s="104"/>
      <c r="H61" s="108"/>
      <c r="I61" s="109"/>
      <c r="J61" s="109"/>
    </row>
    <row r="62">
      <c r="A62" s="110">
        <v>31730.0</v>
      </c>
      <c r="B62" s="111"/>
      <c r="C62" s="135" t="str">
        <f t="shared" si="4"/>
        <v>setlist</v>
      </c>
      <c r="D62" s="113" t="s">
        <v>51</v>
      </c>
      <c r="E62" s="113" t="s">
        <v>34</v>
      </c>
      <c r="F62" s="114" t="s">
        <v>35</v>
      </c>
      <c r="G62" s="111"/>
      <c r="H62" s="138"/>
      <c r="I62" s="80"/>
      <c r="J62" s="80"/>
    </row>
    <row r="63">
      <c r="A63" s="103">
        <v>31734.0</v>
      </c>
      <c r="B63" s="104"/>
      <c r="C63" s="105" t="str">
        <f t="shared" si="4"/>
        <v>setlist</v>
      </c>
      <c r="D63" s="106" t="s">
        <v>54</v>
      </c>
      <c r="E63" s="106" t="s">
        <v>34</v>
      </c>
      <c r="F63" s="107" t="s">
        <v>35</v>
      </c>
      <c r="G63" s="104"/>
      <c r="H63" s="108"/>
      <c r="I63" s="109"/>
      <c r="J63" s="109"/>
    </row>
    <row r="64">
      <c r="A64" s="147">
        <v>31752.0</v>
      </c>
      <c r="B64" s="148" t="s">
        <v>32</v>
      </c>
      <c r="C64" s="135" t="str">
        <f t="shared" si="4"/>
        <v>setlist</v>
      </c>
      <c r="D64" s="149" t="s">
        <v>103</v>
      </c>
      <c r="E64" s="149" t="s">
        <v>104</v>
      </c>
      <c r="F64" s="148" t="s">
        <v>35</v>
      </c>
      <c r="G64" s="148" t="s">
        <v>36</v>
      </c>
      <c r="H64" s="135" t="str">
        <f>HYPERLINK("http://www.mediafire.com/download/5717xbs5s1ex5at/1986-12-06_-_The_Ranch_-_Shelburne%2C_VT.rar", "download link")</f>
        <v>download link</v>
      </c>
      <c r="I64" s="136" t="s">
        <v>105</v>
      </c>
      <c r="J64" s="80"/>
    </row>
    <row r="65">
      <c r="A65" s="92"/>
      <c r="B65" s="93"/>
      <c r="C65" s="94"/>
      <c r="D65" s="83">
        <v>1987.0</v>
      </c>
      <c r="E65" s="95"/>
      <c r="F65" s="93"/>
      <c r="G65" s="93"/>
      <c r="H65" s="94"/>
      <c r="I65" s="95"/>
      <c r="J65" s="95"/>
    </row>
    <row r="66">
      <c r="A66" s="103">
        <v>31796.0</v>
      </c>
      <c r="B66" s="104"/>
      <c r="C66" s="105" t="str">
        <f t="shared" ref="C66:C83" si="5">HYPERLINK("http://www.phish.net/setlists/?d="&amp;RIGHT(TEXT(A66,"mm/dd/yyyy"),4)&amp;"-"&amp;LEFT(TEXT(A66,"mm/dd/yyyy"),2)&amp;"-"&amp;MID(TEXT(A66,"mm/dd/yyyy"),4,2), "setlist")</f>
        <v>setlist</v>
      </c>
      <c r="D66" s="134" t="s">
        <v>63</v>
      </c>
      <c r="E66" s="134" t="s">
        <v>34</v>
      </c>
      <c r="F66" s="141" t="s">
        <v>35</v>
      </c>
      <c r="G66" s="104"/>
      <c r="H66" s="108"/>
      <c r="I66" s="109"/>
      <c r="J66" s="109"/>
    </row>
    <row r="67">
      <c r="A67" s="142">
        <v>31798.0</v>
      </c>
      <c r="B67" s="144"/>
      <c r="C67" s="116" t="str">
        <f t="shared" si="5"/>
        <v>setlist</v>
      </c>
      <c r="D67" s="118" t="s">
        <v>63</v>
      </c>
      <c r="E67" s="118" t="s">
        <v>34</v>
      </c>
      <c r="F67" s="115" t="s">
        <v>35</v>
      </c>
      <c r="G67" s="144"/>
      <c r="H67" s="145"/>
      <c r="I67" s="146"/>
      <c r="J67" s="146"/>
    </row>
    <row r="68">
      <c r="A68" s="103">
        <v>31809.0</v>
      </c>
      <c r="B68" s="104"/>
      <c r="C68" s="105" t="str">
        <f t="shared" si="5"/>
        <v>setlist</v>
      </c>
      <c r="D68" s="106" t="s">
        <v>54</v>
      </c>
      <c r="E68" s="106" t="s">
        <v>34</v>
      </c>
      <c r="F68" s="107" t="s">
        <v>35</v>
      </c>
      <c r="G68" s="104"/>
      <c r="H68" s="108"/>
      <c r="I68" s="109"/>
      <c r="J68" s="109"/>
    </row>
    <row r="69">
      <c r="A69" s="142">
        <v>31810.0</v>
      </c>
      <c r="B69" s="144"/>
      <c r="C69" s="116" t="str">
        <f t="shared" si="5"/>
        <v>setlist</v>
      </c>
      <c r="D69" s="118" t="s">
        <v>54</v>
      </c>
      <c r="E69" s="118" t="s">
        <v>34</v>
      </c>
      <c r="F69" s="115" t="s">
        <v>35</v>
      </c>
      <c r="G69" s="144"/>
      <c r="H69" s="145"/>
      <c r="I69" s="146"/>
      <c r="J69" s="146"/>
    </row>
    <row r="70">
      <c r="A70" s="103">
        <v>31815.0</v>
      </c>
      <c r="B70" s="104"/>
      <c r="C70" s="105" t="str">
        <f t="shared" si="5"/>
        <v>setlist</v>
      </c>
      <c r="D70" s="106" t="s">
        <v>106</v>
      </c>
      <c r="E70" s="106" t="s">
        <v>107</v>
      </c>
      <c r="F70" s="107" t="s">
        <v>35</v>
      </c>
      <c r="G70" s="104"/>
      <c r="H70" s="108"/>
      <c r="I70" s="109"/>
      <c r="J70" s="109"/>
    </row>
    <row r="71">
      <c r="A71" s="142">
        <v>31821.0</v>
      </c>
      <c r="B71" s="144"/>
      <c r="C71" s="116" t="str">
        <f t="shared" si="5"/>
        <v>setlist</v>
      </c>
      <c r="D71" s="117" t="s">
        <v>108</v>
      </c>
      <c r="E71" s="118" t="s">
        <v>96</v>
      </c>
      <c r="F71" s="115" t="s">
        <v>35</v>
      </c>
      <c r="G71" s="115" t="s">
        <v>36</v>
      </c>
      <c r="H71" s="116" t="str">
        <f>HYPERLINK("http://www.mediafire.com/download/0ub5yr9hqmiha0f/1987-02-13_-_Johnson_State_College_-_Johnson%2C_VT.rar", "download link")</f>
        <v>download link</v>
      </c>
      <c r="I71" s="117" t="s">
        <v>109</v>
      </c>
      <c r="J71" s="146"/>
    </row>
    <row r="72">
      <c r="A72" s="103">
        <v>31829.0</v>
      </c>
      <c r="B72" s="104"/>
      <c r="C72" s="105" t="str">
        <f t="shared" si="5"/>
        <v>setlist</v>
      </c>
      <c r="D72" s="106" t="s">
        <v>51</v>
      </c>
      <c r="E72" s="106" t="s">
        <v>34</v>
      </c>
      <c r="F72" s="107" t="s">
        <v>35</v>
      </c>
      <c r="G72" s="107" t="s">
        <v>36</v>
      </c>
      <c r="H72" s="105" t="str">
        <f>HYPERLINK("http://www.mediafire.com/download/50zv395vf294s53/1987-02-21_-_Slade_Hall%2C_University_of_Vermont_-_Burlington%2C_VT.rar", "download link")</f>
        <v>download link</v>
      </c>
      <c r="I72" s="134" t="s">
        <v>110</v>
      </c>
      <c r="J72" s="106" t="s">
        <v>111</v>
      </c>
    </row>
    <row r="73">
      <c r="A73" s="150">
        <v>31842.0</v>
      </c>
      <c r="B73" s="151" t="s">
        <v>32</v>
      </c>
      <c r="C73" s="116" t="str">
        <f t="shared" si="5"/>
        <v>setlist</v>
      </c>
      <c r="D73" s="152" t="s">
        <v>70</v>
      </c>
      <c r="E73" s="153" t="s">
        <v>71</v>
      </c>
      <c r="F73" s="151" t="s">
        <v>35</v>
      </c>
      <c r="G73" s="151" t="s">
        <v>36</v>
      </c>
      <c r="H73" s="116" t="str">
        <f>HYPERLINK("http://www.mediafire.com/download/22wcfth1w1ln25w/1987-03-06_-_Goddard_College_-_Plainfield%2C_VT.rar", "download link")</f>
        <v>download link</v>
      </c>
      <c r="I73" s="117" t="s">
        <v>112</v>
      </c>
      <c r="J73" s="118" t="s">
        <v>113</v>
      </c>
    </row>
    <row r="74">
      <c r="A74" s="103">
        <v>31858.0</v>
      </c>
      <c r="B74" s="104"/>
      <c r="C74" s="105" t="str">
        <f t="shared" si="5"/>
        <v>setlist</v>
      </c>
      <c r="D74" s="106" t="s">
        <v>54</v>
      </c>
      <c r="E74" s="106" t="s">
        <v>34</v>
      </c>
      <c r="F74" s="107" t="s">
        <v>35</v>
      </c>
      <c r="G74" s="104"/>
      <c r="H74" s="108"/>
      <c r="I74" s="109"/>
      <c r="J74" s="109"/>
    </row>
    <row r="75">
      <c r="A75" s="142">
        <v>31859.0</v>
      </c>
      <c r="B75" s="115" t="s">
        <v>32</v>
      </c>
      <c r="C75" s="116" t="str">
        <f t="shared" si="5"/>
        <v>setlist</v>
      </c>
      <c r="D75" s="118" t="s">
        <v>54</v>
      </c>
      <c r="E75" s="118" t="s">
        <v>34</v>
      </c>
      <c r="F75" s="115" t="s">
        <v>35</v>
      </c>
      <c r="G75" s="115" t="s">
        <v>36</v>
      </c>
      <c r="H75" s="116" t="str">
        <f>HYPERLINK("http://www.mediafire.com/download/5gb1sp565p97951/1987-03-23_-_Nectar%27s_-_Burlington%2C_VT.rar", "download link")</f>
        <v>download link</v>
      </c>
      <c r="I75" s="117" t="s">
        <v>114</v>
      </c>
      <c r="J75" s="118" t="s">
        <v>115</v>
      </c>
    </row>
    <row r="76">
      <c r="A76" s="103">
        <v>31891.0</v>
      </c>
      <c r="B76" s="104"/>
      <c r="C76" s="105" t="str">
        <f t="shared" si="5"/>
        <v>setlist</v>
      </c>
      <c r="D76" s="106" t="s">
        <v>116</v>
      </c>
      <c r="E76" s="106" t="s">
        <v>34</v>
      </c>
      <c r="F76" s="107" t="s">
        <v>35</v>
      </c>
      <c r="G76" s="107" t="s">
        <v>36</v>
      </c>
      <c r="H76" s="105" t="str">
        <f>HYPERLINK("http://www.mediafire.com/download/42n3g2vkuto2voc/1987-04-24_-_Billings_Lounge%2C_University_of_Vermont_-_Burlington%2C_VT.rar", "download link")</f>
        <v>download link</v>
      </c>
      <c r="I76" s="134" t="s">
        <v>110</v>
      </c>
      <c r="J76" s="109"/>
    </row>
    <row r="77">
      <c r="A77" s="142">
        <v>31895.0</v>
      </c>
      <c r="B77" s="144"/>
      <c r="C77" s="116" t="str">
        <f t="shared" si="5"/>
        <v>setlist</v>
      </c>
      <c r="D77" s="118" t="s">
        <v>54</v>
      </c>
      <c r="E77" s="118" t="s">
        <v>34</v>
      </c>
      <c r="F77" s="115" t="s">
        <v>35</v>
      </c>
      <c r="G77" s="144"/>
      <c r="H77" s="145"/>
      <c r="I77" s="146"/>
      <c r="J77" s="146"/>
    </row>
    <row r="78">
      <c r="A78" s="130">
        <v>31896.0</v>
      </c>
      <c r="B78" s="133" t="s">
        <v>32</v>
      </c>
      <c r="C78" s="105" t="str">
        <f t="shared" si="5"/>
        <v>setlist</v>
      </c>
      <c r="D78" s="132" t="s">
        <v>54</v>
      </c>
      <c r="E78" s="132" t="s">
        <v>34</v>
      </c>
      <c r="F78" s="133" t="s">
        <v>35</v>
      </c>
      <c r="G78" s="133" t="s">
        <v>36</v>
      </c>
      <c r="H78" s="105" t="str">
        <f>HYPERLINK("http://www.mediafire.com/download/atq3sxiiex9lkf9/1987-04-29_-_Nectar%27s_-_Burlington%2C_VT.rar", "download link")</f>
        <v>download link</v>
      </c>
      <c r="I78" s="134" t="s">
        <v>23</v>
      </c>
      <c r="J78" s="106"/>
    </row>
    <row r="79">
      <c r="A79" s="142">
        <v>31907.0</v>
      </c>
      <c r="B79" s="144"/>
      <c r="C79" s="116" t="str">
        <f t="shared" si="5"/>
        <v>setlist</v>
      </c>
      <c r="D79" s="118" t="s">
        <v>54</v>
      </c>
      <c r="E79" s="118" t="s">
        <v>34</v>
      </c>
      <c r="F79" s="115" t="s">
        <v>35</v>
      </c>
      <c r="G79" s="144"/>
      <c r="H79" s="145"/>
      <c r="I79" s="146"/>
      <c r="J79" s="146"/>
    </row>
    <row r="80">
      <c r="A80" s="130">
        <v>31908.0</v>
      </c>
      <c r="B80" s="131"/>
      <c r="C80" s="105" t="str">
        <f t="shared" si="5"/>
        <v>setlist</v>
      </c>
      <c r="D80" s="132" t="s">
        <v>54</v>
      </c>
      <c r="E80" s="132" t="s">
        <v>34</v>
      </c>
      <c r="F80" s="133" t="s">
        <v>35</v>
      </c>
      <c r="G80" s="133" t="s">
        <v>36</v>
      </c>
      <c r="H80" s="105" t="str">
        <f>HYPERLINK("http://www.mediafire.com/file/za6gresoc8o84qy/1987-05-11_-_Nectar%27s_-_Burlington%2C_VT.rar", "download link")</f>
        <v>download link</v>
      </c>
      <c r="I80" s="134" t="s">
        <v>109</v>
      </c>
      <c r="J80" s="106" t="s">
        <v>117</v>
      </c>
    </row>
    <row r="81">
      <c r="A81" s="142">
        <v>31909.0</v>
      </c>
      <c r="B81" s="144"/>
      <c r="C81" s="116" t="str">
        <f t="shared" si="5"/>
        <v>setlist</v>
      </c>
      <c r="D81" s="118" t="s">
        <v>54</v>
      </c>
      <c r="E81" s="118" t="s">
        <v>34</v>
      </c>
      <c r="F81" s="115" t="s">
        <v>35</v>
      </c>
      <c r="G81" s="144"/>
      <c r="H81" s="145"/>
      <c r="I81" s="146"/>
      <c r="J81" s="146"/>
    </row>
    <row r="82">
      <c r="A82" s="103">
        <v>31913.0</v>
      </c>
      <c r="B82" s="104"/>
      <c r="C82" s="105" t="str">
        <f t="shared" si="5"/>
        <v>setlist</v>
      </c>
      <c r="D82" s="134" t="s">
        <v>97</v>
      </c>
      <c r="E82" s="106" t="s">
        <v>71</v>
      </c>
      <c r="F82" s="107" t="s">
        <v>35</v>
      </c>
      <c r="G82" s="104"/>
      <c r="H82" s="108"/>
      <c r="I82" s="109"/>
      <c r="J82" s="109"/>
    </row>
    <row r="83">
      <c r="A83" s="142">
        <v>31917.0</v>
      </c>
      <c r="B83" s="144"/>
      <c r="C83" s="116" t="str">
        <f t="shared" si="5"/>
        <v>setlist</v>
      </c>
      <c r="D83" s="118" t="s">
        <v>103</v>
      </c>
      <c r="E83" s="118" t="s">
        <v>104</v>
      </c>
      <c r="F83" s="115" t="s">
        <v>35</v>
      </c>
      <c r="G83" s="115" t="s">
        <v>36</v>
      </c>
      <c r="H83" s="116" t="str">
        <f>HYPERLINK("http://www.mediafire.com/download/pyaun9cbcep77qu/1987-05-20_-_The_Ranch_-_Shelburne%2C_VT.rar", "download link")</f>
        <v>download link</v>
      </c>
      <c r="I83" s="117" t="s">
        <v>118</v>
      </c>
      <c r="J83" s="118" t="s">
        <v>53</v>
      </c>
    </row>
    <row r="84">
      <c r="A84" s="154" t="s">
        <v>119</v>
      </c>
      <c r="B84" s="107" t="s">
        <v>32</v>
      </c>
      <c r="C84" s="155" t="s">
        <v>40</v>
      </c>
      <c r="D84" s="106" t="s">
        <v>120</v>
      </c>
      <c r="E84" s="106" t="s">
        <v>121</v>
      </c>
      <c r="F84" s="107" t="s">
        <v>59</v>
      </c>
      <c r="G84" s="107" t="s">
        <v>36</v>
      </c>
      <c r="H84" s="105" t="str">
        <f>HYPERLINK("http://www.mediafire.com/download/uz39ubrw4rmgdsw/1987-06-xx_-_Ernest_Anastasio_Demo.rar", "download link")</f>
        <v>download link</v>
      </c>
      <c r="I84" s="134" t="s">
        <v>122</v>
      </c>
      <c r="J84" s="106" t="s">
        <v>123</v>
      </c>
    </row>
    <row r="85">
      <c r="A85" s="150">
        <v>31998.0</v>
      </c>
      <c r="B85" s="156"/>
      <c r="C85" s="116" t="str">
        <f t="shared" ref="C85:C107" si="6">HYPERLINK("http://www.phish.net/setlists/?d="&amp;RIGHT(TEXT(A85,"mm/dd/yyyy"),4)&amp;"-"&amp;LEFT(TEXT(A85,"mm/dd/yyyy"),2)&amp;"-"&amp;MID(TEXT(A85,"mm/dd/yyyy"),4,2), "setlist")</f>
        <v>setlist</v>
      </c>
      <c r="D85" s="153" t="s">
        <v>54</v>
      </c>
      <c r="E85" s="153" t="s">
        <v>34</v>
      </c>
      <c r="F85" s="151" t="s">
        <v>35</v>
      </c>
      <c r="G85" s="151" t="s">
        <v>36</v>
      </c>
      <c r="H85" s="116" t="str">
        <f>HYPERLINK("http://www.mediafire.com/download/7mup84rnpytk4nv/1987-08-09_-_Nectar%27s_-_Burlington%2C_VT.rar", "download link")</f>
        <v>download link</v>
      </c>
      <c r="I85" s="117" t="s">
        <v>124</v>
      </c>
      <c r="J85" s="118" t="s">
        <v>125</v>
      </c>
    </row>
    <row r="86">
      <c r="A86" s="103">
        <v>31999.0</v>
      </c>
      <c r="B86" s="104"/>
      <c r="C86" s="105" t="str">
        <f t="shared" si="6"/>
        <v>setlist</v>
      </c>
      <c r="D86" s="106" t="s">
        <v>54</v>
      </c>
      <c r="E86" s="106" t="s">
        <v>34</v>
      </c>
      <c r="F86" s="107" t="s">
        <v>35</v>
      </c>
      <c r="G86" s="107" t="s">
        <v>36</v>
      </c>
      <c r="H86" s="105" t="str">
        <f>HYPERLINK("http://www.mediafire.com/download/19alk6a49wdpgum/1987-08-10_-_Nectar%27s_-_Burlington%2C_VT.rar", "download link")</f>
        <v>download link</v>
      </c>
      <c r="I86" s="134" t="s">
        <v>126</v>
      </c>
      <c r="J86" s="109"/>
    </row>
    <row r="87">
      <c r="A87" s="142">
        <v>32010.0</v>
      </c>
      <c r="B87" s="144"/>
      <c r="C87" s="116" t="str">
        <f t="shared" si="6"/>
        <v>setlist</v>
      </c>
      <c r="D87" s="117" t="s">
        <v>127</v>
      </c>
      <c r="E87" s="118" t="s">
        <v>128</v>
      </c>
      <c r="F87" s="115" t="s">
        <v>129</v>
      </c>
      <c r="G87" s="115" t="s">
        <v>36</v>
      </c>
      <c r="H87" s="116" t="str">
        <f>HYPERLINK("http://www.mediafire.com/download/c7rypp33uolu72y/1987-08-21_-_Ian_McLean%27s_Farm_-_Hebron%2C_NY.rar", "download link")</f>
        <v>download link</v>
      </c>
      <c r="I87" s="117" t="s">
        <v>130</v>
      </c>
      <c r="J87" s="146"/>
    </row>
    <row r="88">
      <c r="A88" s="103">
        <v>32011.0</v>
      </c>
      <c r="B88" s="104"/>
      <c r="C88" s="105" t="str">
        <f t="shared" si="6"/>
        <v>setlist</v>
      </c>
      <c r="D88" s="106" t="s">
        <v>131</v>
      </c>
      <c r="E88" s="106" t="s">
        <v>132</v>
      </c>
      <c r="F88" s="107" t="s">
        <v>35</v>
      </c>
      <c r="G88" s="104"/>
      <c r="H88" s="108"/>
      <c r="I88" s="109"/>
      <c r="J88" s="109"/>
    </row>
    <row r="89">
      <c r="A89" s="142">
        <v>32018.0</v>
      </c>
      <c r="B89" s="115" t="s">
        <v>32</v>
      </c>
      <c r="C89" s="116" t="str">
        <f t="shared" si="6"/>
        <v>setlist</v>
      </c>
      <c r="D89" s="118" t="s">
        <v>103</v>
      </c>
      <c r="E89" s="118" t="s">
        <v>104</v>
      </c>
      <c r="F89" s="115" t="s">
        <v>35</v>
      </c>
      <c r="G89" s="115" t="s">
        <v>36</v>
      </c>
      <c r="H89" s="116" t="str">
        <f>HYPERLINK("http://www.mediafire.com/download/csw833n80jh5wkv/1987-08-29_-_The_Ranch_-_Shelburne%2C_VT.rar", "download link")</f>
        <v>download link</v>
      </c>
      <c r="I89" s="117" t="s">
        <v>133</v>
      </c>
      <c r="J89" s="146"/>
    </row>
    <row r="90">
      <c r="A90" s="130">
        <v>32022.0</v>
      </c>
      <c r="B90" s="133" t="s">
        <v>32</v>
      </c>
      <c r="C90" s="105" t="str">
        <f t="shared" si="6"/>
        <v>setlist</v>
      </c>
      <c r="D90" s="132" t="s">
        <v>63</v>
      </c>
      <c r="E90" s="132" t="s">
        <v>34</v>
      </c>
      <c r="F90" s="133" t="s">
        <v>35</v>
      </c>
      <c r="G90" s="133" t="s">
        <v>36</v>
      </c>
      <c r="H90" s="105" t="str">
        <f>HYPERLINK("http://www.mediafire.com/download/axee3j3iw00jdjm/1987-09-02_-_Hunt%27s_-_Burlington%2C_VT.rar", "download link")</f>
        <v>download link</v>
      </c>
      <c r="I90" s="134" t="s">
        <v>134</v>
      </c>
      <c r="J90" s="106" t="s">
        <v>135</v>
      </c>
    </row>
    <row r="91">
      <c r="A91" s="142">
        <v>32023.0</v>
      </c>
      <c r="B91" s="144"/>
      <c r="C91" s="116" t="str">
        <f t="shared" si="6"/>
        <v>setlist</v>
      </c>
      <c r="D91" s="118" t="s">
        <v>63</v>
      </c>
      <c r="E91" s="118" t="s">
        <v>34</v>
      </c>
      <c r="F91" s="115" t="s">
        <v>35</v>
      </c>
      <c r="G91" s="144"/>
      <c r="H91" s="145"/>
      <c r="I91" s="146"/>
      <c r="J91" s="146"/>
    </row>
    <row r="92">
      <c r="A92" s="103">
        <v>32024.0</v>
      </c>
      <c r="B92" s="104"/>
      <c r="C92" s="105" t="str">
        <f t="shared" si="6"/>
        <v>setlist</v>
      </c>
      <c r="D92" s="106" t="s">
        <v>70</v>
      </c>
      <c r="E92" s="106" t="s">
        <v>71</v>
      </c>
      <c r="F92" s="107" t="s">
        <v>35</v>
      </c>
      <c r="G92" s="104"/>
      <c r="H92" s="108"/>
      <c r="I92" s="109"/>
      <c r="J92" s="109"/>
    </row>
    <row r="93">
      <c r="A93" s="142">
        <v>32039.0</v>
      </c>
      <c r="B93" s="144"/>
      <c r="C93" s="116" t="str">
        <f t="shared" si="6"/>
        <v>setlist</v>
      </c>
      <c r="D93" s="118" t="s">
        <v>70</v>
      </c>
      <c r="E93" s="118" t="s">
        <v>71</v>
      </c>
      <c r="F93" s="115" t="s">
        <v>35</v>
      </c>
      <c r="G93" s="144"/>
      <c r="H93" s="145"/>
      <c r="I93" s="146"/>
      <c r="J93" s="146"/>
    </row>
    <row r="94">
      <c r="A94" s="103">
        <v>32040.0</v>
      </c>
      <c r="B94" s="104"/>
      <c r="C94" s="105" t="str">
        <f t="shared" si="6"/>
        <v>setlist</v>
      </c>
      <c r="D94" s="106" t="s">
        <v>54</v>
      </c>
      <c r="E94" s="106" t="s">
        <v>34</v>
      </c>
      <c r="F94" s="107" t="s">
        <v>35</v>
      </c>
      <c r="G94" s="104"/>
      <c r="H94" s="108"/>
      <c r="I94" s="109"/>
      <c r="J94" s="109"/>
    </row>
    <row r="95">
      <c r="A95" s="142">
        <v>32041.0</v>
      </c>
      <c r="B95" s="144"/>
      <c r="C95" s="116" t="str">
        <f t="shared" si="6"/>
        <v>setlist</v>
      </c>
      <c r="D95" s="118" t="s">
        <v>54</v>
      </c>
      <c r="E95" s="118" t="s">
        <v>34</v>
      </c>
      <c r="F95" s="115" t="s">
        <v>35</v>
      </c>
      <c r="G95" s="115" t="s">
        <v>36</v>
      </c>
      <c r="H95" s="116" t="str">
        <f>HYPERLINK("http://www.mediafire.com/download/2cf716dj54r4aah/1987-09-21_-_Nectar%27s_-_Burlington%2C_VT.rar", "download link")</f>
        <v>download link</v>
      </c>
      <c r="I95" s="117" t="s">
        <v>136</v>
      </c>
      <c r="J95" s="146"/>
    </row>
    <row r="96">
      <c r="A96" s="103">
        <v>32060.0</v>
      </c>
      <c r="B96" s="104"/>
      <c r="C96" s="105" t="str">
        <f t="shared" si="6"/>
        <v>setlist</v>
      </c>
      <c r="D96" s="106" t="s">
        <v>103</v>
      </c>
      <c r="E96" s="106" t="s">
        <v>104</v>
      </c>
      <c r="F96" s="107" t="s">
        <v>35</v>
      </c>
      <c r="G96" s="104"/>
      <c r="H96" s="108"/>
      <c r="I96" s="109"/>
      <c r="J96" s="109"/>
    </row>
    <row r="97">
      <c r="A97" s="142">
        <v>32064.0</v>
      </c>
      <c r="B97" s="115" t="s">
        <v>32</v>
      </c>
      <c r="C97" s="116" t="str">
        <f t="shared" si="6"/>
        <v>setlist</v>
      </c>
      <c r="D97" s="118" t="s">
        <v>63</v>
      </c>
      <c r="E97" s="118" t="s">
        <v>34</v>
      </c>
      <c r="F97" s="115" t="s">
        <v>35</v>
      </c>
      <c r="G97" s="115" t="s">
        <v>36</v>
      </c>
      <c r="H97" s="116" t="str">
        <f>HYPERLINK("http://www.mediafire.com/download/92pzbhy2rczgxrb/1987-10-14_-_Hunt%27s_-_Burlington%2C_VT.rar", "download link")</f>
        <v>download link</v>
      </c>
      <c r="I97" s="117" t="s">
        <v>122</v>
      </c>
      <c r="J97" s="118" t="s">
        <v>81</v>
      </c>
    </row>
    <row r="98">
      <c r="A98" s="103">
        <v>32068.0</v>
      </c>
      <c r="B98" s="104"/>
      <c r="C98" s="105" t="str">
        <f t="shared" si="6"/>
        <v>setlist</v>
      </c>
      <c r="D98" s="106" t="s">
        <v>54</v>
      </c>
      <c r="E98" s="106" t="s">
        <v>34</v>
      </c>
      <c r="F98" s="107" t="s">
        <v>35</v>
      </c>
      <c r="G98" s="104"/>
      <c r="H98" s="108"/>
      <c r="I98" s="109"/>
      <c r="J98" s="109"/>
    </row>
    <row r="99">
      <c r="A99" s="142">
        <v>32069.0</v>
      </c>
      <c r="B99" s="144"/>
      <c r="C99" s="116" t="str">
        <f t="shared" si="6"/>
        <v>setlist</v>
      </c>
      <c r="D99" s="118" t="s">
        <v>54</v>
      </c>
      <c r="E99" s="118" t="s">
        <v>34</v>
      </c>
      <c r="F99" s="115" t="s">
        <v>35</v>
      </c>
      <c r="G99" s="144"/>
      <c r="H99" s="145"/>
      <c r="I99" s="146"/>
      <c r="J99" s="146"/>
    </row>
    <row r="100">
      <c r="A100" s="103">
        <v>32073.0</v>
      </c>
      <c r="B100" s="104"/>
      <c r="C100" s="105" t="str">
        <f t="shared" si="6"/>
        <v>setlist</v>
      </c>
      <c r="D100" s="134" t="s">
        <v>137</v>
      </c>
      <c r="E100" s="106" t="s">
        <v>34</v>
      </c>
      <c r="F100" s="107" t="s">
        <v>35</v>
      </c>
      <c r="G100" s="104"/>
      <c r="H100" s="108"/>
      <c r="I100" s="109"/>
      <c r="J100" s="109"/>
    </row>
    <row r="101">
      <c r="A101" s="142">
        <v>32074.0</v>
      </c>
      <c r="B101" s="144"/>
      <c r="C101" s="116" t="str">
        <f t="shared" si="6"/>
        <v>setlist</v>
      </c>
      <c r="D101" s="117" t="s">
        <v>137</v>
      </c>
      <c r="E101" s="118" t="s">
        <v>34</v>
      </c>
      <c r="F101" s="115" t="s">
        <v>35</v>
      </c>
      <c r="G101" s="144"/>
      <c r="H101" s="145"/>
      <c r="I101" s="146"/>
      <c r="J101" s="146"/>
    </row>
    <row r="102">
      <c r="A102" s="103">
        <v>32081.0</v>
      </c>
      <c r="B102" s="104"/>
      <c r="C102" s="105" t="str">
        <f t="shared" si="6"/>
        <v>setlist</v>
      </c>
      <c r="D102" s="134" t="s">
        <v>100</v>
      </c>
      <c r="E102" s="106" t="s">
        <v>71</v>
      </c>
      <c r="F102" s="107" t="s">
        <v>35</v>
      </c>
      <c r="G102" s="107" t="s">
        <v>36</v>
      </c>
      <c r="H102" s="105" t="str">
        <f>HYPERLINK("http://www.mediafire.com/download/yj93tmrb8ykluil/1987-10-31_-_Sculpture_Room%2C_Goddard_College_-_Plainfield%2C_VT.rar", "download link")</f>
        <v>download link</v>
      </c>
      <c r="I102" s="134" t="s">
        <v>138</v>
      </c>
      <c r="J102" s="109"/>
    </row>
    <row r="103">
      <c r="A103" s="142">
        <v>32099.0</v>
      </c>
      <c r="B103" s="144"/>
      <c r="C103" s="116" t="str">
        <f t="shared" si="6"/>
        <v>setlist</v>
      </c>
      <c r="D103" s="118" t="s">
        <v>63</v>
      </c>
      <c r="E103" s="118" t="s">
        <v>34</v>
      </c>
      <c r="F103" s="115" t="s">
        <v>35</v>
      </c>
      <c r="G103" s="115" t="s">
        <v>36</v>
      </c>
      <c r="H103" s="116" t="str">
        <f>HYPERLINK("http://www.mediafire.com/download/oc1k644z8i6hdw3/1987-11-18_-_Hunt%27s_-_Burlington%2C_VT.rar", "download link")</f>
        <v>download link</v>
      </c>
      <c r="I103" s="117" t="s">
        <v>124</v>
      </c>
      <c r="J103" s="118" t="s">
        <v>139</v>
      </c>
    </row>
    <row r="104">
      <c r="A104" s="103">
        <v>32100.0</v>
      </c>
      <c r="B104" s="107" t="s">
        <v>32</v>
      </c>
      <c r="C104" s="105" t="str">
        <f t="shared" si="6"/>
        <v>setlist</v>
      </c>
      <c r="D104" s="106" t="s">
        <v>63</v>
      </c>
      <c r="E104" s="106" t="s">
        <v>34</v>
      </c>
      <c r="F104" s="107" t="s">
        <v>35</v>
      </c>
      <c r="G104" s="107" t="s">
        <v>36</v>
      </c>
      <c r="H104" s="105" t="str">
        <f>HYPERLINK("http://www.mediafire.com/download/idrfeqk9qqcz7ze/1987-11-19_-_Hunt%27s_-_Burlington%2C_VT.rar", "download link")</f>
        <v>download link</v>
      </c>
      <c r="I104" s="134" t="s">
        <v>140</v>
      </c>
      <c r="J104" s="109"/>
    </row>
    <row r="105">
      <c r="A105" s="142">
        <v>32102.0</v>
      </c>
      <c r="B105" s="144"/>
      <c r="C105" s="116" t="str">
        <f t="shared" si="6"/>
        <v>setlist</v>
      </c>
      <c r="D105" s="118" t="s">
        <v>54</v>
      </c>
      <c r="E105" s="118" t="s">
        <v>34</v>
      </c>
      <c r="F105" s="115" t="s">
        <v>35</v>
      </c>
      <c r="G105" s="144"/>
      <c r="H105" s="145"/>
      <c r="I105" s="146"/>
      <c r="J105" s="146"/>
    </row>
    <row r="106">
      <c r="A106" s="103">
        <v>32103.0</v>
      </c>
      <c r="B106" s="104"/>
      <c r="C106" s="105" t="str">
        <f t="shared" si="6"/>
        <v>setlist</v>
      </c>
      <c r="D106" s="106" t="s">
        <v>54</v>
      </c>
      <c r="E106" s="106" t="s">
        <v>34</v>
      </c>
      <c r="F106" s="107" t="s">
        <v>35</v>
      </c>
      <c r="G106" s="104"/>
      <c r="H106" s="108"/>
      <c r="I106" s="109"/>
      <c r="J106" s="109"/>
    </row>
    <row r="107">
      <c r="A107" s="142">
        <v>32104.0</v>
      </c>
      <c r="B107" s="144"/>
      <c r="C107" s="116" t="str">
        <f t="shared" si="6"/>
        <v>setlist</v>
      </c>
      <c r="D107" s="118" t="s">
        <v>54</v>
      </c>
      <c r="E107" s="118" t="s">
        <v>34</v>
      </c>
      <c r="F107" s="115" t="s">
        <v>35</v>
      </c>
      <c r="G107" s="144"/>
      <c r="H107" s="145"/>
      <c r="I107" s="146"/>
      <c r="J107" s="146"/>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2662</v>
      </c>
      <c r="E4" s="238"/>
      <c r="F4" s="93"/>
      <c r="G4" s="93"/>
      <c r="H4" s="164"/>
      <c r="I4" s="238"/>
      <c r="J4" s="238"/>
    </row>
    <row r="5">
      <c r="A5" s="336">
        <v>43298.0</v>
      </c>
      <c r="B5" s="156"/>
      <c r="C5" s="116" t="str">
        <f t="shared" ref="C5:C25" si="1">HYPERLINK("http://phish.net/setlists/?d="&amp;RIGHT(TEXT(A5,"mm/dd/yyyy"),4)&amp;"-"&amp;LEFT(TEXT(A5,"mm/dd/yyyy"),2)&amp;"-"&amp;MID(TEXT(A5,"mm/dd/yyyy"),4,2), "setlist")</f>
        <v>setlist</v>
      </c>
      <c r="D5" s="291" t="s">
        <v>2451</v>
      </c>
      <c r="E5" s="291" t="s">
        <v>2452</v>
      </c>
      <c r="F5" s="196" t="s">
        <v>1805</v>
      </c>
      <c r="G5" s="196" t="s">
        <v>36</v>
      </c>
      <c r="H5" s="116" t="str">
        <f>HYPERLINK("http://www.mediafire.com/file/3a788aossby8rrw/2018-07-17_-_Lake_Tahoe_Outdoor_Arena_at_Harveys_-_Stateline%252C_NV.rar/file", "download link")</f>
        <v>download link</v>
      </c>
      <c r="I5" s="291" t="s">
        <v>2663</v>
      </c>
      <c r="J5" s="292"/>
    </row>
    <row r="6">
      <c r="A6" s="335">
        <v>43299.0</v>
      </c>
      <c r="B6" s="131"/>
      <c r="C6" s="105" t="str">
        <f t="shared" si="1"/>
        <v>setlist</v>
      </c>
      <c r="D6" s="288" t="s">
        <v>2451</v>
      </c>
      <c r="E6" s="288" t="s">
        <v>2452</v>
      </c>
      <c r="F6" s="195" t="s">
        <v>1805</v>
      </c>
      <c r="G6" s="195" t="s">
        <v>36</v>
      </c>
      <c r="H6" s="105" t="str">
        <f>HYPERLINK("http://www.mediafire.com/file/zx4c4721vj0c3lk/2018-07-18_-_Lake_Tahoe_Outdoor_Arena_at_Harveys_-_Stateline%252C_NV.rar/file", "download link")</f>
        <v>download link</v>
      </c>
      <c r="I6" s="288" t="s">
        <v>2663</v>
      </c>
      <c r="J6" s="289"/>
    </row>
    <row r="7">
      <c r="A7" s="336">
        <v>43301.0</v>
      </c>
      <c r="B7" s="156"/>
      <c r="C7" s="116" t="str">
        <f t="shared" si="1"/>
        <v>setlist</v>
      </c>
      <c r="D7" s="291" t="s">
        <v>1918</v>
      </c>
      <c r="E7" s="291" t="s">
        <v>1919</v>
      </c>
      <c r="F7" s="196" t="s">
        <v>701</v>
      </c>
      <c r="G7" s="196" t="s">
        <v>36</v>
      </c>
      <c r="H7" s="116" t="str">
        <f>HYPERLINK("http://www.mediafire.com/file/wqbd51ru30dkxk4/2018-07-20_-_Gorge_Amphitheatre_-_George%252C_WA.rar/file", "download link")</f>
        <v>download link</v>
      </c>
      <c r="I7" s="291" t="s">
        <v>2664</v>
      </c>
      <c r="J7" s="292"/>
    </row>
    <row r="8">
      <c r="A8" s="335">
        <v>43302.0</v>
      </c>
      <c r="B8" s="131"/>
      <c r="C8" s="105" t="str">
        <f t="shared" si="1"/>
        <v>setlist</v>
      </c>
      <c r="D8" s="288" t="s">
        <v>1918</v>
      </c>
      <c r="E8" s="288" t="s">
        <v>1919</v>
      </c>
      <c r="F8" s="195" t="s">
        <v>701</v>
      </c>
      <c r="G8" s="195" t="s">
        <v>36</v>
      </c>
      <c r="H8" s="105" t="str">
        <f>HYPERLINK("http://www.mediafire.com/file/2s60g8qdg7adaii/2018-07-21_-_Gorge_Amphitheatre_-_George%252C_WA.rar/file", "download link")</f>
        <v>download link</v>
      </c>
      <c r="I8" s="288" t="s">
        <v>2665</v>
      </c>
      <c r="J8" s="289"/>
    </row>
    <row r="9">
      <c r="A9" s="336">
        <v>43303.0</v>
      </c>
      <c r="B9" s="156"/>
      <c r="C9" s="116" t="str">
        <f t="shared" si="1"/>
        <v>setlist</v>
      </c>
      <c r="D9" s="291" t="s">
        <v>1918</v>
      </c>
      <c r="E9" s="291" t="s">
        <v>1919</v>
      </c>
      <c r="F9" s="196" t="s">
        <v>701</v>
      </c>
      <c r="G9" s="196" t="s">
        <v>36</v>
      </c>
      <c r="H9" s="116" t="str">
        <f>HYPERLINK("http://www.mediafire.com/file/l0hnj4519f3zyk5/2018-07-22_-_Gorge_Amphitheatre_-_George%252C_WA.rar/file", "download link")</f>
        <v>download link</v>
      </c>
      <c r="I9" s="291" t="s">
        <v>2666</v>
      </c>
      <c r="J9" s="292"/>
    </row>
    <row r="10">
      <c r="A10" s="335">
        <v>43305.0</v>
      </c>
      <c r="B10" s="131"/>
      <c r="C10" s="105" t="str">
        <f t="shared" si="1"/>
        <v>setlist</v>
      </c>
      <c r="D10" s="288" t="s">
        <v>2481</v>
      </c>
      <c r="E10" s="288" t="s">
        <v>683</v>
      </c>
      <c r="F10" s="195" t="s">
        <v>679</v>
      </c>
      <c r="G10" s="195" t="s">
        <v>36</v>
      </c>
      <c r="H10" s="105" t="str">
        <f>HYPERLINK("http://www.mediafire.com/file/neud4tque34r3l1/2018-07-24_-_Bill_Graham_Civic_Auditorium_-_San_Francisco%252C_CA.rar/file", "download link")</f>
        <v>download link</v>
      </c>
      <c r="I10" s="288" t="s">
        <v>2667</v>
      </c>
      <c r="J10" s="289"/>
    </row>
    <row r="11">
      <c r="A11" s="336">
        <v>43306.0</v>
      </c>
      <c r="B11" s="156"/>
      <c r="C11" s="116" t="str">
        <f t="shared" si="1"/>
        <v>setlist</v>
      </c>
      <c r="D11" s="291" t="s">
        <v>2481</v>
      </c>
      <c r="E11" s="291" t="s">
        <v>683</v>
      </c>
      <c r="F11" s="196" t="s">
        <v>679</v>
      </c>
      <c r="G11" s="196" t="s">
        <v>36</v>
      </c>
      <c r="H11" s="116" t="str">
        <f>HYPERLINK("http://www.mediafire.com/file/2wulx8i7tf2w9j8/2018-07-25_-_Bill_Graham_Civic_Auditorium_-_San_Francisco%252C_CA.rar/file", "download link")</f>
        <v>download link</v>
      </c>
      <c r="I11" s="291" t="s">
        <v>2667</v>
      </c>
      <c r="J11" s="292"/>
    </row>
    <row r="12">
      <c r="A12" s="335">
        <v>43308.0</v>
      </c>
      <c r="B12" s="131"/>
      <c r="C12" s="105" t="str">
        <f t="shared" si="1"/>
        <v>setlist</v>
      </c>
      <c r="D12" s="288" t="s">
        <v>1724</v>
      </c>
      <c r="E12" s="288" t="s">
        <v>2232</v>
      </c>
      <c r="F12" s="195" t="s">
        <v>679</v>
      </c>
      <c r="G12" s="195" t="s">
        <v>36</v>
      </c>
      <c r="H12" s="105" t="str">
        <f>HYPERLINK("http://www.mediafire.com/file/5u7dmc2gt5wlqxi/2018-07-27_-_The_Forum_-_Inglewood%252C_CA.rar/file", "download link")</f>
        <v>download link</v>
      </c>
      <c r="I12" s="288" t="s">
        <v>2668</v>
      </c>
      <c r="J12" s="289"/>
    </row>
    <row r="13">
      <c r="A13" s="336">
        <v>43309.0</v>
      </c>
      <c r="B13" s="156"/>
      <c r="C13" s="116" t="str">
        <f t="shared" si="1"/>
        <v>setlist</v>
      </c>
      <c r="D13" s="291" t="s">
        <v>1724</v>
      </c>
      <c r="E13" s="291" t="s">
        <v>2232</v>
      </c>
      <c r="F13" s="196" t="s">
        <v>679</v>
      </c>
      <c r="G13" s="196" t="s">
        <v>36</v>
      </c>
      <c r="H13" s="116" t="str">
        <f>HYPERLINK("http://www.mediafire.com/file/qtzx4b4k5nzi8s5/2018-07-28_-_The_Forum_-_Inglewood%252C_CA.rar/file", "download link")</f>
        <v>download link</v>
      </c>
      <c r="I13" s="291" t="s">
        <v>2669</v>
      </c>
      <c r="J13" s="292"/>
    </row>
    <row r="14">
      <c r="A14" s="335">
        <v>43312.0</v>
      </c>
      <c r="B14" s="131"/>
      <c r="C14" s="105" t="str">
        <f t="shared" si="1"/>
        <v>setlist</v>
      </c>
      <c r="D14" s="288" t="s">
        <v>2574</v>
      </c>
      <c r="E14" s="288" t="s">
        <v>2575</v>
      </c>
      <c r="F14" s="195" t="s">
        <v>589</v>
      </c>
      <c r="G14" s="195" t="s">
        <v>36</v>
      </c>
      <c r="H14" s="105" t="str">
        <f>HYPERLINK("http://www.mediafire.com/file/tg286k528l4ahth/2018-07-31_-_Austin360_Amphitheater_-_Del_Valle%252C_TX.rar/file", "download link")</f>
        <v>download link</v>
      </c>
      <c r="I14" s="288" t="s">
        <v>2670</v>
      </c>
      <c r="J14" s="289"/>
    </row>
    <row r="15">
      <c r="A15" s="336">
        <v>43315.0</v>
      </c>
      <c r="B15" s="156"/>
      <c r="C15" s="116" t="str">
        <f t="shared" si="1"/>
        <v>setlist</v>
      </c>
      <c r="D15" s="291" t="s">
        <v>2393</v>
      </c>
      <c r="E15" s="291" t="s">
        <v>2394</v>
      </c>
      <c r="F15" s="196" t="s">
        <v>433</v>
      </c>
      <c r="G15" s="196" t="s">
        <v>36</v>
      </c>
      <c r="H15" s="116" t="str">
        <f>HYPERLINK("http://www.mediafire.com/file/ddvbqczdthns53s/2018-08-03_-_Verizon_Wireless_Amphitheatre_at_Encore_Park_-_Alpharetta%252C_GA.rar/file", "download link")</f>
        <v>download link</v>
      </c>
      <c r="I15" s="291" t="s">
        <v>2671</v>
      </c>
      <c r="J15" s="292"/>
    </row>
    <row r="16">
      <c r="A16" s="335">
        <v>43316.0</v>
      </c>
      <c r="B16" s="131"/>
      <c r="C16" s="105" t="str">
        <f t="shared" si="1"/>
        <v>setlist</v>
      </c>
      <c r="D16" s="288" t="s">
        <v>2393</v>
      </c>
      <c r="E16" s="288" t="s">
        <v>2394</v>
      </c>
      <c r="F16" s="195" t="s">
        <v>433</v>
      </c>
      <c r="G16" s="195" t="s">
        <v>36</v>
      </c>
      <c r="H16" s="105" t="str">
        <f>HYPERLINK("http://www.mediafire.com/file/81f44au178jx3s3/2018-08-04_-_Verizon_Wireless_Amphitheatre_at_Encore_Park_-_Alpharetta%252C_GA.rar/file", "download link")</f>
        <v>download link</v>
      </c>
      <c r="I16" s="288" t="s">
        <v>2671</v>
      </c>
      <c r="J16" s="289"/>
    </row>
    <row r="17">
      <c r="A17" s="336">
        <v>43317.0</v>
      </c>
      <c r="B17" s="156"/>
      <c r="C17" s="116" t="str">
        <f t="shared" si="1"/>
        <v>setlist</v>
      </c>
      <c r="D17" s="291" t="s">
        <v>2393</v>
      </c>
      <c r="E17" s="291" t="s">
        <v>2394</v>
      </c>
      <c r="F17" s="196" t="s">
        <v>433</v>
      </c>
      <c r="G17" s="196" t="s">
        <v>36</v>
      </c>
      <c r="H17" s="116" t="str">
        <f>HYPERLINK("http://www.mediafire.com/file/59gvvbzxcvipvxa/2018-08-05_-_Verizon_Wireless_Amphitheatre_at_Encore_Park_-_Alpharetta%252C_GA.rar/file", "download link")</f>
        <v>download link</v>
      </c>
      <c r="I17" s="291" t="s">
        <v>2672</v>
      </c>
      <c r="J17" s="292"/>
    </row>
    <row r="18">
      <c r="A18" s="335">
        <v>43319.0</v>
      </c>
      <c r="B18" s="131"/>
      <c r="C18" s="105" t="str">
        <f t="shared" si="1"/>
        <v>setlist</v>
      </c>
      <c r="D18" s="288" t="s">
        <v>2673</v>
      </c>
      <c r="E18" s="288" t="s">
        <v>2070</v>
      </c>
      <c r="F18" s="195" t="s">
        <v>43</v>
      </c>
      <c r="G18" s="195" t="s">
        <v>36</v>
      </c>
      <c r="H18" s="105" t="str">
        <f>HYPERLINK("http://www.mediafire.com/file/ap46xh9xfqcae8n/2018-08-07_-_BB%2526T_Pavilion_-_Camden%252C_NJ.rar/file", "download link")</f>
        <v>download link</v>
      </c>
      <c r="I18" s="288" t="s">
        <v>2674</v>
      </c>
      <c r="J18" s="289"/>
    </row>
    <row r="19">
      <c r="A19" s="336">
        <v>43320.0</v>
      </c>
      <c r="B19" s="156"/>
      <c r="C19" s="116" t="str">
        <f t="shared" si="1"/>
        <v>setlist</v>
      </c>
      <c r="D19" s="291" t="s">
        <v>2673</v>
      </c>
      <c r="E19" s="291" t="s">
        <v>2070</v>
      </c>
      <c r="F19" s="196" t="s">
        <v>43</v>
      </c>
      <c r="G19" s="196" t="s">
        <v>36</v>
      </c>
      <c r="H19" s="116" t="str">
        <f>HYPERLINK("http://www.mediafire.com/file/yw88267ehb37kgp/2018-08-08_-_BB%2526T_Pavilion_-_Camden%252C_NJ.rar/file", "download link")</f>
        <v>download link</v>
      </c>
      <c r="I19" s="291" t="s">
        <v>2675</v>
      </c>
      <c r="J19" s="292"/>
    </row>
    <row r="20">
      <c r="A20" s="335">
        <v>43322.0</v>
      </c>
      <c r="B20" s="131"/>
      <c r="C20" s="105" t="str">
        <f t="shared" si="1"/>
        <v>setlist</v>
      </c>
      <c r="D20" s="288" t="s">
        <v>2676</v>
      </c>
      <c r="E20" s="288" t="s">
        <v>536</v>
      </c>
      <c r="F20" s="195" t="s">
        <v>443</v>
      </c>
      <c r="G20" s="195" t="s">
        <v>36</v>
      </c>
      <c r="H20" s="105" t="str">
        <f>HYPERLINK("http://www.mediafire.com/file/a1vsppkmqm1p15v/2018-08-10_-_Coastal_Credit_Union_Music_Park_at_Walnut_Creek_-_Raleigh%252C_NC.rar/file", "download link")</f>
        <v>download link</v>
      </c>
      <c r="I20" s="288" t="s">
        <v>2677</v>
      </c>
      <c r="J20" s="289"/>
    </row>
    <row r="21">
      <c r="A21" s="336">
        <v>43323.0</v>
      </c>
      <c r="B21" s="156"/>
      <c r="C21" s="116" t="str">
        <f t="shared" si="1"/>
        <v>setlist</v>
      </c>
      <c r="D21" s="291" t="s">
        <v>1000</v>
      </c>
      <c r="E21" s="291" t="s">
        <v>439</v>
      </c>
      <c r="F21" s="196" t="s">
        <v>397</v>
      </c>
      <c r="G21" s="196" t="s">
        <v>36</v>
      </c>
      <c r="H21" s="116" t="str">
        <f>HYPERLINK("http://www.mediafire.com/file/4uh74q6zz4bt9e2/2018-08-11_-_Merriweather_Post_Pavilion_-_Columbia%252C_MD.rar/file", "download link")</f>
        <v>download link</v>
      </c>
      <c r="I21" s="291" t="s">
        <v>2678</v>
      </c>
      <c r="J21" s="292"/>
    </row>
    <row r="22">
      <c r="A22" s="335">
        <v>43324.0</v>
      </c>
      <c r="B22" s="131"/>
      <c r="C22" s="105" t="str">
        <f t="shared" si="1"/>
        <v>setlist</v>
      </c>
      <c r="D22" s="288" t="s">
        <v>1000</v>
      </c>
      <c r="E22" s="288" t="s">
        <v>439</v>
      </c>
      <c r="F22" s="195" t="s">
        <v>397</v>
      </c>
      <c r="G22" s="195" t="s">
        <v>36</v>
      </c>
      <c r="H22" s="105" t="str">
        <f>HYPERLINK("http://www.mediafire.com/file/7435bl3r5joeaju/2018-08-12_-_Merriweather_Post_Pavilion_-_Columbia%252C_MD.rar/file", "download link")</f>
        <v>download link</v>
      </c>
      <c r="I22" s="288" t="s">
        <v>2678</v>
      </c>
      <c r="J22" s="289"/>
    </row>
    <row r="23">
      <c r="A23" s="336">
        <v>43343.0</v>
      </c>
      <c r="B23" s="156"/>
      <c r="C23" s="116" t="str">
        <f t="shared" si="1"/>
        <v>setlist</v>
      </c>
      <c r="D23" s="291" t="s">
        <v>2457</v>
      </c>
      <c r="E23" s="291" t="s">
        <v>2458</v>
      </c>
      <c r="F23" s="196" t="s">
        <v>203</v>
      </c>
      <c r="G23" s="196" t="s">
        <v>36</v>
      </c>
      <c r="H23" s="116" t="str">
        <f>HYPERLINK("http://www.mediafire.com/file/cdr6hbg6fid09i6/2018-08-31_-_D%2Ack%2527s_Sporting_Goods_Park_-_Commerce_City%252C_CO.rar/file", "download link")</f>
        <v>download link</v>
      </c>
      <c r="I23" s="291" t="s">
        <v>2679</v>
      </c>
      <c r="J23" s="291" t="s">
        <v>287</v>
      </c>
    </row>
    <row r="24">
      <c r="A24" s="338">
        <v>43344.0</v>
      </c>
      <c r="B24" s="339"/>
      <c r="C24" s="340" t="str">
        <f t="shared" si="1"/>
        <v>setlist</v>
      </c>
      <c r="D24" s="341" t="s">
        <v>2457</v>
      </c>
      <c r="E24" s="341" t="s">
        <v>2458</v>
      </c>
      <c r="F24" s="342" t="s">
        <v>203</v>
      </c>
      <c r="G24" s="342" t="s">
        <v>36</v>
      </c>
      <c r="H24" s="340" t="str">
        <f>HYPERLINK("http://www.mediafire.com/file/sdb829zprrv63e6/2018-09-01_-_D%2Ack%2527s_Sporting_Goods_Park_-_Commerce_City%252C_CO.rar/file", "download link")</f>
        <v>download link</v>
      </c>
      <c r="I24" s="341" t="s">
        <v>2679</v>
      </c>
      <c r="J24" s="343"/>
    </row>
    <row r="25">
      <c r="A25" s="336">
        <v>43345.0</v>
      </c>
      <c r="B25" s="156"/>
      <c r="C25" s="116" t="str">
        <f t="shared" si="1"/>
        <v>setlist</v>
      </c>
      <c r="D25" s="291" t="s">
        <v>2457</v>
      </c>
      <c r="E25" s="291" t="s">
        <v>2458</v>
      </c>
      <c r="F25" s="196" t="s">
        <v>203</v>
      </c>
      <c r="G25" s="196" t="s">
        <v>36</v>
      </c>
      <c r="H25" s="116" t="str">
        <f>HYPERLINK("http://www.mediafire.com/file/1kca0ucc0dg9l66/2018-09-02_-_D%2Ack%2527s_Sporting_Goods_Park_-_Commerce_City%252C_CO.rar/file", "download link")</f>
        <v>download link</v>
      </c>
      <c r="I25" s="291" t="s">
        <v>2679</v>
      </c>
      <c r="J25" s="291" t="s">
        <v>287</v>
      </c>
    </row>
    <row r="26">
      <c r="A26" s="92"/>
      <c r="B26" s="93"/>
      <c r="C26" s="93"/>
      <c r="D26" s="264" t="s">
        <v>2680</v>
      </c>
      <c r="E26" s="238"/>
      <c r="F26" s="93"/>
      <c r="G26" s="93"/>
      <c r="H26" s="164"/>
      <c r="I26" s="238"/>
      <c r="J26" s="238"/>
    </row>
    <row r="27">
      <c r="A27" s="336">
        <v>43389.0</v>
      </c>
      <c r="B27" s="156"/>
      <c r="C27" s="116" t="str">
        <f t="shared" ref="C27:C40" si="2">HYPERLINK("http://phish.net/setlists/?d="&amp;RIGHT(TEXT(A27,"mm/dd/yyyy"),4)&amp;"-"&amp;LEFT(TEXT(A27,"mm/dd/yyyy"),2)&amp;"-"&amp;MID(TEXT(A27,"mm/dd/yyyy"),4,2), "setlist")</f>
        <v>setlist</v>
      </c>
      <c r="D27" s="291" t="s">
        <v>2366</v>
      </c>
      <c r="E27" s="291" t="s">
        <v>309</v>
      </c>
      <c r="F27" s="196" t="s">
        <v>129</v>
      </c>
      <c r="G27" s="196" t="s">
        <v>36</v>
      </c>
      <c r="H27" s="116" t="str">
        <f>HYPERLINK("http://www.mediafire.com/file/m213t6rdc6d048z/2018-10-16_-_Times_Union_Center_-_Albany%252C_NY.rar/file", "download link")</f>
        <v>download link</v>
      </c>
      <c r="I27" s="291" t="s">
        <v>2681</v>
      </c>
      <c r="J27" s="292"/>
    </row>
    <row r="28">
      <c r="A28" s="335">
        <v>43390.0</v>
      </c>
      <c r="B28" s="131"/>
      <c r="C28" s="105" t="str">
        <f t="shared" si="2"/>
        <v>setlist</v>
      </c>
      <c r="D28" s="288" t="s">
        <v>2366</v>
      </c>
      <c r="E28" s="288" t="s">
        <v>309</v>
      </c>
      <c r="F28" s="195" t="s">
        <v>129</v>
      </c>
      <c r="G28" s="195" t="s">
        <v>36</v>
      </c>
      <c r="H28" s="105" t="str">
        <f>HYPERLINK("http://www.mediafire.com/file/d31vk8gx4cc0fvs/2018-10-17-_Times_Union_Center_-_Albany%252C_NY.rar/file", "download link")</f>
        <v>download link</v>
      </c>
      <c r="I28" s="288" t="s">
        <v>2681</v>
      </c>
      <c r="J28" s="289"/>
    </row>
    <row r="29">
      <c r="A29" s="336">
        <v>43392.0</v>
      </c>
      <c r="B29" s="156"/>
      <c r="C29" s="116" t="str">
        <f t="shared" si="2"/>
        <v>setlist</v>
      </c>
      <c r="D29" s="291" t="s">
        <v>1659</v>
      </c>
      <c r="E29" s="291" t="s">
        <v>1660</v>
      </c>
      <c r="F29" s="196" t="s">
        <v>446</v>
      </c>
      <c r="G29" s="196" t="s">
        <v>36</v>
      </c>
      <c r="H29" s="116" t="str">
        <f>HYPERLINK("http://www.mediafire.com/file/jpti2v311a7bg17/2018-10-19_-_Hampton_Coliseum_-_Hampton%252C_VA.rar/file", "download link")</f>
        <v>download link</v>
      </c>
      <c r="I29" s="291" t="s">
        <v>2682</v>
      </c>
      <c r="J29" s="292"/>
    </row>
    <row r="30">
      <c r="A30" s="335">
        <v>43393.0</v>
      </c>
      <c r="B30" s="131"/>
      <c r="C30" s="105" t="str">
        <f t="shared" si="2"/>
        <v>setlist</v>
      </c>
      <c r="D30" s="288" t="s">
        <v>1659</v>
      </c>
      <c r="E30" s="288" t="s">
        <v>1660</v>
      </c>
      <c r="F30" s="195" t="s">
        <v>446</v>
      </c>
      <c r="G30" s="195" t="s">
        <v>36</v>
      </c>
      <c r="H30" s="105" t="str">
        <f>HYPERLINK("http://www.mediafire.com/file/fq3nk7aq7u94ham/2018-10-20_-_Hampton_Coliseum_-_Hampton%252C_VA.rar/file", "download link")</f>
        <v>download link</v>
      </c>
      <c r="I30" s="288" t="s">
        <v>2683</v>
      </c>
      <c r="J30" s="289"/>
    </row>
    <row r="31">
      <c r="A31" s="336">
        <v>43394.0</v>
      </c>
      <c r="B31" s="156"/>
      <c r="C31" s="116" t="str">
        <f t="shared" si="2"/>
        <v>setlist</v>
      </c>
      <c r="D31" s="291" t="s">
        <v>1659</v>
      </c>
      <c r="E31" s="291" t="s">
        <v>1660</v>
      </c>
      <c r="F31" s="196" t="s">
        <v>446</v>
      </c>
      <c r="G31" s="196" t="s">
        <v>36</v>
      </c>
      <c r="H31" s="116" t="str">
        <f>HYPERLINK("http://www.mediafire.com/file/82i12kmua4n32tr/2018-10-21_-_Hampton_Coliseum_-_Hampton%252C_VA.rar/file", "download link")</f>
        <v>download link</v>
      </c>
      <c r="I31" s="291" t="s">
        <v>2683</v>
      </c>
      <c r="J31" s="292"/>
    </row>
    <row r="32">
      <c r="A32" s="335">
        <v>43396.0</v>
      </c>
      <c r="B32" s="131"/>
      <c r="C32" s="105" t="str">
        <f t="shared" si="2"/>
        <v>setlist</v>
      </c>
      <c r="D32" s="288" t="s">
        <v>2582</v>
      </c>
      <c r="E32" s="288" t="s">
        <v>652</v>
      </c>
      <c r="F32" s="195" t="s">
        <v>650</v>
      </c>
      <c r="G32" s="195" t="s">
        <v>36</v>
      </c>
      <c r="H32" s="105" t="str">
        <f>HYPERLINK("http://www.mediafire.com/file/7b7k11k6m3a9cz3/2018-10-23_-_Ascend_Amphitheater_-_Nashville%252C_TN.rar/file", "download link")</f>
        <v>download link</v>
      </c>
      <c r="I32" s="288" t="s">
        <v>2684</v>
      </c>
      <c r="J32" s="289"/>
    </row>
    <row r="33">
      <c r="A33" s="336">
        <v>43397.0</v>
      </c>
      <c r="B33" s="156"/>
      <c r="C33" s="116" t="str">
        <f t="shared" si="2"/>
        <v>setlist</v>
      </c>
      <c r="D33" s="291" t="s">
        <v>2582</v>
      </c>
      <c r="E33" s="291" t="s">
        <v>652</v>
      </c>
      <c r="F33" s="196" t="s">
        <v>650</v>
      </c>
      <c r="G33" s="196" t="s">
        <v>36</v>
      </c>
      <c r="H33" s="116" t="str">
        <f>HYPERLINK("http://www.mediafire.com/file/a1c838o0fpz2232/2018-10-24_-_Ascend_Amphitheater_-_Nashville%252C_TN.rar/file", "download link")</f>
        <v>download link</v>
      </c>
      <c r="I33" s="291" t="s">
        <v>2684</v>
      </c>
      <c r="J33" s="292"/>
    </row>
    <row r="34">
      <c r="A34" s="335">
        <v>43399.0</v>
      </c>
      <c r="B34" s="131"/>
      <c r="C34" s="105" t="str">
        <f t="shared" si="2"/>
        <v>setlist</v>
      </c>
      <c r="D34" s="288" t="s">
        <v>2117</v>
      </c>
      <c r="E34" s="288" t="s">
        <v>1636</v>
      </c>
      <c r="F34" s="195" t="s">
        <v>480</v>
      </c>
      <c r="G34" s="195" t="s">
        <v>36</v>
      </c>
      <c r="H34" s="105" t="str">
        <f>HYPERLINK("http://www.mediafire.com/file/8sk887fschc945i/2018-10-26_-_Allstate_Arena_-_Chicago%252C_IL.rar/file", "download link")</f>
        <v>download link</v>
      </c>
      <c r="I34" s="288" t="s">
        <v>2682</v>
      </c>
      <c r="J34" s="289"/>
    </row>
    <row r="35">
      <c r="A35" s="336">
        <v>43400.0</v>
      </c>
      <c r="B35" s="156"/>
      <c r="C35" s="116" t="str">
        <f t="shared" si="2"/>
        <v>setlist</v>
      </c>
      <c r="D35" s="291" t="s">
        <v>2117</v>
      </c>
      <c r="E35" s="291" t="s">
        <v>1636</v>
      </c>
      <c r="F35" s="196" t="s">
        <v>480</v>
      </c>
      <c r="G35" s="196" t="s">
        <v>36</v>
      </c>
      <c r="H35" s="116" t="str">
        <f>HYPERLINK("http://www.mediafire.com/file/um4dlygqmecql8h/2018-10-27_-_Allstate_Arena_-_Chicago%252C_IL.rar/file", "download link")</f>
        <v>download link</v>
      </c>
      <c r="I35" s="291" t="s">
        <v>2682</v>
      </c>
      <c r="J35" s="292"/>
    </row>
    <row r="36">
      <c r="A36" s="335">
        <v>43401.0</v>
      </c>
      <c r="B36" s="131"/>
      <c r="C36" s="105" t="str">
        <f t="shared" si="2"/>
        <v>setlist</v>
      </c>
      <c r="D36" s="288" t="s">
        <v>2117</v>
      </c>
      <c r="E36" s="288" t="s">
        <v>1636</v>
      </c>
      <c r="F36" s="195" t="s">
        <v>480</v>
      </c>
      <c r="G36" s="195" t="s">
        <v>36</v>
      </c>
      <c r="H36" s="105" t="str">
        <f>HYPERLINK("http://www.mediafire.com/file/2lpdwkvz47co12n/2018-10-28_-_Allstate_Arena_-_Chicago%252C_IL.rar/file", "download link")</f>
        <v>download link</v>
      </c>
      <c r="I36" s="288" t="s">
        <v>2661</v>
      </c>
      <c r="J36" s="289"/>
    </row>
    <row r="37">
      <c r="A37" s="336">
        <v>43404.0</v>
      </c>
      <c r="B37" s="156"/>
      <c r="C37" s="116" t="str">
        <f t="shared" si="2"/>
        <v>setlist</v>
      </c>
      <c r="D37" s="291" t="s">
        <v>2562</v>
      </c>
      <c r="E37" s="291" t="s">
        <v>1804</v>
      </c>
      <c r="F37" s="196" t="s">
        <v>1805</v>
      </c>
      <c r="G37" s="196" t="s">
        <v>36</v>
      </c>
      <c r="H37" s="116" t="str">
        <f>HYPERLINK("http://www.mediafire.com/file/zidj6n1imq132d1/2018-10-31_-_MGM_Grand_Garden_Arena_-_Las_Vegas%252C_NV.rar/file", "download link")</f>
        <v>download link</v>
      </c>
      <c r="I37" s="291" t="s">
        <v>2674</v>
      </c>
      <c r="J37" s="292"/>
    </row>
    <row r="38">
      <c r="A38" s="335">
        <v>43405.0</v>
      </c>
      <c r="B38" s="131"/>
      <c r="C38" s="105" t="str">
        <f t="shared" si="2"/>
        <v>setlist</v>
      </c>
      <c r="D38" s="288" t="s">
        <v>2562</v>
      </c>
      <c r="E38" s="288" t="s">
        <v>1804</v>
      </c>
      <c r="F38" s="195" t="s">
        <v>1805</v>
      </c>
      <c r="G38" s="195" t="s">
        <v>36</v>
      </c>
      <c r="H38" s="105" t="str">
        <f>HYPERLINK("http://www.mediafire.com/file/9r78ux5l9asxoqi/2018-11-01_-_MGM_Grand_Garden_Arena_-_Las_Vegas%252C_NV.rar/file", "download link")</f>
        <v>download link</v>
      </c>
      <c r="I38" s="288" t="s">
        <v>2684</v>
      </c>
      <c r="J38" s="289"/>
    </row>
    <row r="39">
      <c r="A39" s="336">
        <v>43406.0</v>
      </c>
      <c r="B39" s="156"/>
      <c r="C39" s="116" t="str">
        <f t="shared" si="2"/>
        <v>setlist</v>
      </c>
      <c r="D39" s="291" t="s">
        <v>2562</v>
      </c>
      <c r="E39" s="291" t="s">
        <v>1804</v>
      </c>
      <c r="F39" s="196" t="s">
        <v>1805</v>
      </c>
      <c r="G39" s="196" t="s">
        <v>36</v>
      </c>
      <c r="H39" s="116" t="str">
        <f>HYPERLINK("http://www.mediafire.com/file/76d93ou1orj96zd/2018-11-02_-_MGM_Grand_Garden_Arena_-_Las_Vegas%252C_NV.rar/file", "download link")</f>
        <v>download link</v>
      </c>
      <c r="I39" s="291" t="s">
        <v>2685</v>
      </c>
      <c r="J39" s="292"/>
    </row>
    <row r="40">
      <c r="A40" s="335">
        <v>43407.0</v>
      </c>
      <c r="B40" s="131"/>
      <c r="C40" s="105" t="str">
        <f t="shared" si="2"/>
        <v>setlist</v>
      </c>
      <c r="D40" s="288" t="s">
        <v>2562</v>
      </c>
      <c r="E40" s="288" t="s">
        <v>1804</v>
      </c>
      <c r="F40" s="195" t="s">
        <v>1805</v>
      </c>
      <c r="G40" s="195" t="s">
        <v>36</v>
      </c>
      <c r="H40" s="105" t="str">
        <f>HYPERLINK("http://www.mediafire.com/file/v4w3i93vpzq1nez/2018-11-03_-_MGM_Grand_Garden_Arena_-_Las_Vegas%252C_NV.rar/file", "download link")</f>
        <v>download link</v>
      </c>
      <c r="I40" s="288" t="s">
        <v>2686</v>
      </c>
      <c r="J40" s="289"/>
    </row>
    <row r="41">
      <c r="A41" s="92"/>
      <c r="B41" s="93"/>
      <c r="C41" s="93"/>
      <c r="D41" s="264" t="s">
        <v>2687</v>
      </c>
      <c r="E41" s="238"/>
      <c r="F41" s="93"/>
      <c r="G41" s="93"/>
      <c r="H41" s="164"/>
      <c r="I41" s="238"/>
      <c r="J41" s="238"/>
    </row>
    <row r="42">
      <c r="A42" s="336">
        <v>43462.0</v>
      </c>
      <c r="B42" s="156"/>
      <c r="C42" s="116" t="str">
        <f t="shared" ref="C42:C45" si="3">HYPERLINK("http://phish.net/setlists/?d="&amp;RIGHT(TEXT(A42,"mm/dd/yyyy"),4)&amp;"-"&amp;LEFT(TEXT(A42,"mm/dd/yyyy"),2)&amp;"-"&amp;MID(TEXT(A42,"mm/dd/yyyy"),4,2), "setlist")</f>
        <v>setlist</v>
      </c>
      <c r="D42" s="291" t="s">
        <v>1553</v>
      </c>
      <c r="E42" s="291" t="s">
        <v>162</v>
      </c>
      <c r="F42" s="196" t="s">
        <v>129</v>
      </c>
      <c r="G42" s="196" t="s">
        <v>36</v>
      </c>
      <c r="H42" s="116" t="str">
        <f>HYPERLINK("http://www.mediafire.com/file/8or0galsxxo0kei/2018-12-28_-_Madison_Square_Garden_-_New_York%252C_NY.rar/file", "download link")</f>
        <v>download link</v>
      </c>
      <c r="I42" s="291" t="s">
        <v>2688</v>
      </c>
      <c r="J42" s="292"/>
    </row>
    <row r="43">
      <c r="A43" s="335">
        <v>43463.0</v>
      </c>
      <c r="B43" s="131"/>
      <c r="C43" s="105" t="str">
        <f t="shared" si="3"/>
        <v>setlist</v>
      </c>
      <c r="D43" s="288" t="s">
        <v>1553</v>
      </c>
      <c r="E43" s="288" t="s">
        <v>162</v>
      </c>
      <c r="F43" s="195" t="s">
        <v>129</v>
      </c>
      <c r="G43" s="195" t="s">
        <v>36</v>
      </c>
      <c r="H43" s="105" t="str">
        <f>HYPERLINK("http://www.mediafire.com/file/zs6c6635j6cr2zq/2018-12-29_-_Madison_Square_Garden_-_New_York%252C_NY.rar/file", "download link")</f>
        <v>download link</v>
      </c>
      <c r="I43" s="288" t="s">
        <v>2689</v>
      </c>
      <c r="J43" s="289"/>
    </row>
    <row r="44">
      <c r="A44" s="336">
        <v>43464.0</v>
      </c>
      <c r="B44" s="156"/>
      <c r="C44" s="116" t="str">
        <f t="shared" si="3"/>
        <v>setlist</v>
      </c>
      <c r="D44" s="291" t="s">
        <v>1553</v>
      </c>
      <c r="E44" s="291" t="s">
        <v>162</v>
      </c>
      <c r="F44" s="196" t="s">
        <v>129</v>
      </c>
      <c r="G44" s="196" t="s">
        <v>36</v>
      </c>
      <c r="H44" s="116" t="str">
        <f>HYPERLINK("http://www.mediafire.com/file/lo39m53bistwjma/2018-12-30_-_Madison_Square_Garden_-_New_York%252C_NY.rar/file", "download link")</f>
        <v>download link</v>
      </c>
      <c r="I44" s="291" t="s">
        <v>2690</v>
      </c>
      <c r="J44" s="292"/>
    </row>
    <row r="45">
      <c r="A45" s="335">
        <v>43465.0</v>
      </c>
      <c r="B45" s="131"/>
      <c r="C45" s="105" t="str">
        <f t="shared" si="3"/>
        <v>setlist</v>
      </c>
      <c r="D45" s="288" t="s">
        <v>1553</v>
      </c>
      <c r="E45" s="288" t="s">
        <v>162</v>
      </c>
      <c r="F45" s="195" t="s">
        <v>129</v>
      </c>
      <c r="G45" s="195" t="s">
        <v>36</v>
      </c>
      <c r="H45" s="105" t="str">
        <f>HYPERLINK("http://www.mediafire.com/file/5p746kr8pbk6016/2018-12-31_-_Madison_Square_Garden_-_New_York%252C_NY.rar/file", "download link")</f>
        <v>download link</v>
      </c>
      <c r="I45" s="288" t="s">
        <v>2660</v>
      </c>
      <c r="J45" s="289"/>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2691</v>
      </c>
      <c r="E4" s="238"/>
      <c r="F4" s="93"/>
      <c r="G4" s="93"/>
      <c r="H4" s="164"/>
      <c r="I4" s="238"/>
      <c r="J4" s="238"/>
    </row>
    <row r="5">
      <c r="A5" s="336">
        <v>43517.0</v>
      </c>
      <c r="B5" s="156"/>
      <c r="C5" s="116" t="str">
        <f t="shared" ref="C5:C7" si="1">HYPERLINK("http://phish.net/setlists/?d="&amp;RIGHT(TEXT(A5,"mm/dd/yyyy"),4)&amp;"-"&amp;LEFT(TEXT(A5,"mm/dd/yyyy"),2)&amp;"-"&amp;MID(TEXT(A5,"mm/dd/yyyy"),4,2), "setlist")</f>
        <v>setlist</v>
      </c>
      <c r="D5" s="291" t="s">
        <v>2601</v>
      </c>
      <c r="E5" s="291" t="s">
        <v>2602</v>
      </c>
      <c r="F5" s="196" t="s">
        <v>2603</v>
      </c>
      <c r="G5" s="196" t="s">
        <v>36</v>
      </c>
      <c r="H5" s="116" t="str">
        <f>HYPERLINK("http://www.mediafire.com/file/ydw74ydmhhspsgw/2019-02-21_-_Barcel%25C3%25B3_Maya_Beach_-_Riviera_Maya%252C_Quintana_Roo%252C_Mexico.rar/file", "download link")</f>
        <v>download link</v>
      </c>
      <c r="I5" s="291" t="s">
        <v>2692</v>
      </c>
      <c r="J5" s="292"/>
    </row>
    <row r="6">
      <c r="A6" s="335">
        <v>43518.0</v>
      </c>
      <c r="B6" s="131"/>
      <c r="C6" s="105" t="str">
        <f t="shared" si="1"/>
        <v>setlist</v>
      </c>
      <c r="D6" s="288" t="s">
        <v>2601</v>
      </c>
      <c r="E6" s="288" t="s">
        <v>2602</v>
      </c>
      <c r="F6" s="195" t="s">
        <v>2603</v>
      </c>
      <c r="G6" s="195" t="s">
        <v>36</v>
      </c>
      <c r="H6" s="105" t="str">
        <f>HYPERLINK("http://www.mediafire.com/file/bonddv6633vrvk8/2019-02-22_-_Barcel%25C3%25B3_Maya_Beach_-_Riviera_Maya%252C_Quintana_Roo%252C_Mexico.rar/file", "download link")</f>
        <v>download link</v>
      </c>
      <c r="I6" s="288" t="s">
        <v>2692</v>
      </c>
      <c r="J6" s="289"/>
    </row>
    <row r="7">
      <c r="A7" s="336">
        <v>43519.0</v>
      </c>
      <c r="B7" s="156"/>
      <c r="C7" s="116" t="str">
        <f t="shared" si="1"/>
        <v>setlist</v>
      </c>
      <c r="D7" s="291" t="s">
        <v>2601</v>
      </c>
      <c r="E7" s="291" t="s">
        <v>2602</v>
      </c>
      <c r="F7" s="196" t="s">
        <v>2603</v>
      </c>
      <c r="G7" s="196" t="s">
        <v>36</v>
      </c>
      <c r="H7" s="116" t="str">
        <f>HYPERLINK("http://www.mediafire.com/file/648k4tr5xojzd00/2019-02-23_-_Barcel%25C3%25B3_Maya_Beach_-_Riviera_Maya%252C_Quintana_Roo%252C_Mexico.rar/file", "download link")</f>
        <v>download link</v>
      </c>
      <c r="I7" s="291" t="s">
        <v>2692</v>
      </c>
      <c r="J7" s="292"/>
    </row>
    <row r="8">
      <c r="A8" s="92"/>
      <c r="B8" s="93"/>
      <c r="C8" s="93"/>
      <c r="D8" s="264" t="s">
        <v>2693</v>
      </c>
      <c r="E8" s="238"/>
      <c r="F8" s="93"/>
      <c r="G8" s="93"/>
      <c r="H8" s="164"/>
      <c r="I8" s="238"/>
      <c r="J8" s="238"/>
    </row>
    <row r="9">
      <c r="A9" s="336">
        <v>43627.0</v>
      </c>
      <c r="B9" s="156"/>
      <c r="C9" s="116" t="str">
        <f t="shared" ref="C9:C34" si="2">HYPERLINK("http://phish.net/setlists/?d="&amp;RIGHT(TEXT(A7,"mm/dd/yyyy"),4)&amp;"-"&amp;LEFT(TEXT(A7,"mm/dd/yyyy"),2)&amp;"-"&amp;MID(TEXT(A7,"mm/dd/yyyy"),4,2), "setlist")</f>
        <v>setlist</v>
      </c>
      <c r="D9" s="291" t="s">
        <v>2694</v>
      </c>
      <c r="E9" s="291" t="s">
        <v>885</v>
      </c>
      <c r="F9" s="196" t="s">
        <v>886</v>
      </c>
      <c r="G9" s="196" t="s">
        <v>36</v>
      </c>
      <c r="H9" s="116" t="str">
        <f>HYPERLINK("http://www.mediafire.com/file/rs693v0i9ylgte8/2019-06-11_-_Chaifetz_Arena%252C_Saint_Louis_University_-_St._Louis%252C_MO.rar/file", "download link")</f>
        <v>download link</v>
      </c>
      <c r="I9" s="291" t="s">
        <v>2661</v>
      </c>
      <c r="J9" s="292"/>
    </row>
    <row r="10">
      <c r="A10" s="335">
        <v>43628.0</v>
      </c>
      <c r="B10" s="131"/>
      <c r="C10" s="105" t="str">
        <f t="shared" si="2"/>
        <v>setlist</v>
      </c>
      <c r="D10" s="288" t="s">
        <v>2694</v>
      </c>
      <c r="E10" s="288" t="s">
        <v>885</v>
      </c>
      <c r="F10" s="195" t="s">
        <v>886</v>
      </c>
      <c r="G10" s="195" t="s">
        <v>36</v>
      </c>
      <c r="H10" s="105" t="str">
        <f>HYPERLINK("http://www.mediafire.com/file/7cwd5ct3f885ik6/2019-06-12_-_Chaifetz_Arena%252C_Saint_Louis_University_-_St._Louis%252C_MO.rar/file", "download link")</f>
        <v>download link</v>
      </c>
      <c r="I10" s="288" t="s">
        <v>2661</v>
      </c>
      <c r="J10" s="289"/>
    </row>
    <row r="11">
      <c r="A11" s="336">
        <v>43630.0</v>
      </c>
      <c r="B11" s="156"/>
      <c r="C11" s="116" t="str">
        <f t="shared" si="2"/>
        <v>setlist</v>
      </c>
      <c r="D11" s="291" t="s">
        <v>2333</v>
      </c>
      <c r="E11" s="291" t="s">
        <v>2332</v>
      </c>
      <c r="F11" s="196" t="s">
        <v>650</v>
      </c>
      <c r="G11" s="196"/>
      <c r="H11" s="197"/>
      <c r="I11" s="291"/>
      <c r="J11" s="292"/>
    </row>
    <row r="12">
      <c r="A12" s="335">
        <v>43632.0</v>
      </c>
      <c r="B12" s="131"/>
      <c r="C12" s="105" t="str">
        <f t="shared" si="2"/>
        <v>setlist</v>
      </c>
      <c r="D12" s="288" t="s">
        <v>2333</v>
      </c>
      <c r="E12" s="288" t="s">
        <v>2332</v>
      </c>
      <c r="F12" s="195" t="s">
        <v>650</v>
      </c>
      <c r="G12" s="195"/>
      <c r="H12" s="143"/>
      <c r="I12" s="288"/>
      <c r="J12" s="289"/>
    </row>
    <row r="13">
      <c r="A13" s="336">
        <v>43634.0</v>
      </c>
      <c r="B13" s="156"/>
      <c r="C13" s="116" t="str">
        <f t="shared" si="2"/>
        <v>setlist</v>
      </c>
      <c r="D13" s="291" t="s">
        <v>2695</v>
      </c>
      <c r="E13" s="291" t="s">
        <v>1090</v>
      </c>
      <c r="F13" s="196" t="s">
        <v>1091</v>
      </c>
      <c r="G13" s="196" t="s">
        <v>36</v>
      </c>
      <c r="H13" s="116" t="str">
        <f>HYPERLINK("http://www.mediafire.com/file/6laap34xic3ox1c/2019-06-18_-_Budweiser_Stage_-_Toronto%252C_Ontario%252C_Canada.rar/file", "download link")</f>
        <v>download link</v>
      </c>
      <c r="I13" s="291" t="s">
        <v>2696</v>
      </c>
      <c r="J13" s="292"/>
    </row>
    <row r="14">
      <c r="A14" s="335">
        <v>43635.0</v>
      </c>
      <c r="B14" s="131"/>
      <c r="C14" s="105" t="str">
        <f t="shared" si="2"/>
        <v>setlist</v>
      </c>
      <c r="D14" s="288" t="s">
        <v>1023</v>
      </c>
      <c r="E14" s="288" t="s">
        <v>1024</v>
      </c>
      <c r="F14" s="195" t="s">
        <v>472</v>
      </c>
      <c r="G14" s="195" t="s">
        <v>36</v>
      </c>
      <c r="H14" s="105" t="str">
        <f>HYPERLINK("http://www.mediafire.com/file/6y94n45tcosag5s/2019-06-19_-_Blossom_Music_Center_-_Cuyahoga_Falls%252C_OH.rar/file", "download link")</f>
        <v>download link</v>
      </c>
      <c r="I14" s="288" t="s">
        <v>2697</v>
      </c>
      <c r="J14" s="289"/>
    </row>
    <row r="15">
      <c r="A15" s="336">
        <v>43637.0</v>
      </c>
      <c r="B15" s="156"/>
      <c r="C15" s="116" t="str">
        <f t="shared" si="2"/>
        <v>setlist</v>
      </c>
      <c r="D15" s="291" t="s">
        <v>2544</v>
      </c>
      <c r="E15" s="291" t="s">
        <v>541</v>
      </c>
      <c r="F15" s="196" t="s">
        <v>443</v>
      </c>
      <c r="G15" s="196" t="s">
        <v>36</v>
      </c>
      <c r="H15" s="116" t="str">
        <f>HYPERLINK("http://www.mediafire.com/file/3h751i0y29e00lh/2019-06-21_-_PNC_Music_Pavilion_-_Charlotte%252C_NC.rar/file", "download link")</f>
        <v>download link</v>
      </c>
      <c r="I15" s="291" t="s">
        <v>2660</v>
      </c>
      <c r="J15" s="292"/>
    </row>
    <row r="16">
      <c r="A16" s="335">
        <v>43638.0</v>
      </c>
      <c r="B16" s="131"/>
      <c r="C16" s="105" t="str">
        <f t="shared" si="2"/>
        <v>setlist</v>
      </c>
      <c r="D16" s="288" t="s">
        <v>1000</v>
      </c>
      <c r="E16" s="288" t="s">
        <v>439</v>
      </c>
      <c r="F16" s="195" t="s">
        <v>397</v>
      </c>
      <c r="G16" s="195" t="s">
        <v>36</v>
      </c>
      <c r="H16" s="105" t="str">
        <f>HYPERLINK("http://www.mediafire.com/file/wvir4t5yd43yyt5/2019-06-22_-_Merriweather_Post_Pavilion_-_Columbia%252C_MD.rar/file", "download link")</f>
        <v>download link</v>
      </c>
      <c r="I16" s="288" t="s">
        <v>2698</v>
      </c>
      <c r="J16" s="289"/>
    </row>
    <row r="17">
      <c r="A17" s="336">
        <v>43639.0</v>
      </c>
      <c r="B17" s="156"/>
      <c r="C17" s="116" t="str">
        <f t="shared" si="2"/>
        <v>setlist</v>
      </c>
      <c r="D17" s="291" t="s">
        <v>1000</v>
      </c>
      <c r="E17" s="291" t="s">
        <v>439</v>
      </c>
      <c r="F17" s="196" t="s">
        <v>397</v>
      </c>
      <c r="G17" s="196" t="s">
        <v>36</v>
      </c>
      <c r="H17" s="116" t="str">
        <f>HYPERLINK("http://www.mediafire.com/file/ckg408mjqbmbm91/2019-06-23_-_Merriweather_Post_Pavilion_-_Columbia%252C_MD.rar/file", "download link")</f>
        <v>download link</v>
      </c>
      <c r="I17" s="291" t="s">
        <v>2660</v>
      </c>
      <c r="J17" s="292"/>
    </row>
    <row r="18">
      <c r="A18" s="335">
        <v>43641.0</v>
      </c>
      <c r="B18" s="131"/>
      <c r="C18" s="105" t="str">
        <f t="shared" si="2"/>
        <v>setlist</v>
      </c>
      <c r="D18" s="288" t="s">
        <v>2500</v>
      </c>
      <c r="E18" s="288" t="s">
        <v>1236</v>
      </c>
      <c r="F18" s="195" t="s">
        <v>257</v>
      </c>
      <c r="G18" s="195" t="s">
        <v>36</v>
      </c>
      <c r="H18" s="105" t="str">
        <f>HYPERLINK("http://www.mediafire.com/file/b3w6kjpd1a0eidi/2019-06-25_-_Darling%2527s_Waterfront_Pavilion_-_Bangor%252C_ME.rar/file", "download link")</f>
        <v>download link</v>
      </c>
      <c r="I18" s="288" t="s">
        <v>2699</v>
      </c>
      <c r="J18" s="289"/>
    </row>
    <row r="19">
      <c r="A19" s="336">
        <v>43642.0</v>
      </c>
      <c r="B19" s="156"/>
      <c r="C19" s="116" t="str">
        <f t="shared" si="2"/>
        <v>setlist</v>
      </c>
      <c r="D19" s="291" t="s">
        <v>2500</v>
      </c>
      <c r="E19" s="291" t="s">
        <v>1236</v>
      </c>
      <c r="F19" s="196" t="s">
        <v>257</v>
      </c>
      <c r="G19" s="196" t="s">
        <v>36</v>
      </c>
      <c r="H19" s="116" t="str">
        <f>HYPERLINK("http://www.mediafire.com/file/e83hzp1nirvdrpi/2019-06-26_-_Darling%2527s_Waterfront_Pavilion_-_Bangor%252C_ME.rar/file", "download link")</f>
        <v>download link</v>
      </c>
      <c r="I19" s="291" t="s">
        <v>2700</v>
      </c>
      <c r="J19" s="292"/>
    </row>
    <row r="20">
      <c r="A20" s="335">
        <v>43644.0</v>
      </c>
      <c r="B20" s="131"/>
      <c r="C20" s="105" t="str">
        <f t="shared" si="2"/>
        <v>setlist</v>
      </c>
      <c r="D20" s="288" t="s">
        <v>2673</v>
      </c>
      <c r="E20" s="288" t="s">
        <v>2070</v>
      </c>
      <c r="F20" s="195" t="s">
        <v>43</v>
      </c>
      <c r="G20" s="195" t="s">
        <v>36</v>
      </c>
      <c r="H20" s="105" t="str">
        <f>HYPERLINK("http://www.mediafire.com/file/26gjeslyklnz593/2019-06-28_-_BB%2526T_Pavilion_-_Camden%252C_NJ.rar/file", "download link")</f>
        <v>download link</v>
      </c>
      <c r="I20" s="288" t="s">
        <v>2701</v>
      </c>
      <c r="J20" s="289"/>
    </row>
    <row r="21">
      <c r="A21" s="336">
        <v>43645.0</v>
      </c>
      <c r="B21" s="156"/>
      <c r="C21" s="116" t="str">
        <f t="shared" si="2"/>
        <v>setlist</v>
      </c>
      <c r="D21" s="291" t="s">
        <v>2673</v>
      </c>
      <c r="E21" s="291" t="s">
        <v>2070</v>
      </c>
      <c r="F21" s="196" t="s">
        <v>43</v>
      </c>
      <c r="G21" s="196" t="s">
        <v>36</v>
      </c>
      <c r="H21" s="116" t="str">
        <f>HYPERLINK("http://www.mediafire.com/file/2yc1y7rw2bef9b1/2019-06-29_-_BB%2526T_Pavilion_-_Camden%252C_NJ.rar/file", "download link")</f>
        <v>download link</v>
      </c>
      <c r="I21" s="291" t="s">
        <v>2701</v>
      </c>
      <c r="J21" s="292"/>
    </row>
    <row r="22">
      <c r="A22" s="335">
        <v>43646.0</v>
      </c>
      <c r="B22" s="131"/>
      <c r="C22" s="105" t="str">
        <f t="shared" si="2"/>
        <v>setlist</v>
      </c>
      <c r="D22" s="288" t="s">
        <v>2673</v>
      </c>
      <c r="E22" s="288" t="s">
        <v>2070</v>
      </c>
      <c r="F22" s="195" t="s">
        <v>43</v>
      </c>
      <c r="G22" s="195" t="s">
        <v>36</v>
      </c>
      <c r="H22" s="105" t="str">
        <f>HYPERLINK("http://www.mediafire.com/file/63yd8xsvus6bk5u/2019-06-30_-_BB%2526T_Pavilion_-_Camden%252C_NJ.rar/file", "download link")</f>
        <v>download link</v>
      </c>
      <c r="I22" s="288" t="s">
        <v>2690</v>
      </c>
      <c r="J22" s="289"/>
    </row>
    <row r="23">
      <c r="A23" s="336">
        <v>43648.0</v>
      </c>
      <c r="B23" s="156"/>
      <c r="C23" s="116" t="str">
        <f t="shared" si="2"/>
        <v>setlist</v>
      </c>
      <c r="D23" s="291" t="s">
        <v>1015</v>
      </c>
      <c r="E23" s="291" t="s">
        <v>465</v>
      </c>
      <c r="F23" s="196" t="s">
        <v>129</v>
      </c>
      <c r="G23" s="196" t="s">
        <v>36</v>
      </c>
      <c r="H23" s="116" t="str">
        <f>HYPERLINK("http://www.mediafire.com/file/cid08ir9b1mvoje/2019-07-02_-_Saratoga_Performing_Arts_Center_-_Saratoga_Springs%252C_NY.rar/file", "download link")</f>
        <v>download link</v>
      </c>
      <c r="I23" s="291" t="s">
        <v>2702</v>
      </c>
      <c r="J23" s="292"/>
    </row>
    <row r="24">
      <c r="A24" s="335">
        <v>43649.0</v>
      </c>
      <c r="B24" s="131"/>
      <c r="C24" s="105" t="str">
        <f t="shared" si="2"/>
        <v>setlist</v>
      </c>
      <c r="D24" s="288" t="s">
        <v>1015</v>
      </c>
      <c r="E24" s="288" t="s">
        <v>465</v>
      </c>
      <c r="F24" s="195" t="s">
        <v>129</v>
      </c>
      <c r="G24" s="195" t="s">
        <v>36</v>
      </c>
      <c r="H24" s="105" t="str">
        <f>HYPERLINK("http://www.mediafire.com/file/wjuajb1x6uvcl55/2019-07-03_-_Saratoga_Performing_Arts_Center_-_Saratoga_Springs%252C_NY.rar/file", "download link")</f>
        <v>download link</v>
      </c>
      <c r="I24" s="288" t="s">
        <v>2703</v>
      </c>
      <c r="J24" s="289"/>
    </row>
    <row r="25">
      <c r="A25" s="336">
        <v>43651.0</v>
      </c>
      <c r="B25" s="156"/>
      <c r="C25" s="116" t="str">
        <f t="shared" si="2"/>
        <v>setlist</v>
      </c>
      <c r="D25" s="291" t="s">
        <v>2318</v>
      </c>
      <c r="E25" s="291" t="s">
        <v>94</v>
      </c>
      <c r="F25" s="196" t="s">
        <v>95</v>
      </c>
      <c r="G25" s="196" t="s">
        <v>36</v>
      </c>
      <c r="H25" s="116" t="str">
        <f>HYPERLINK("http://www.mediafire.com/file/3ccc51c2v503uhs/2019-07-05_-_Fenway_Park_-_Boston%252C_MA.rar/file", "download link")</f>
        <v>download link</v>
      </c>
      <c r="I25" s="291" t="s">
        <v>2704</v>
      </c>
      <c r="J25" s="292"/>
    </row>
    <row r="26">
      <c r="A26" s="335">
        <v>43652.0</v>
      </c>
      <c r="B26" s="131"/>
      <c r="C26" s="105" t="str">
        <f t="shared" si="2"/>
        <v>setlist</v>
      </c>
      <c r="D26" s="288" t="s">
        <v>2318</v>
      </c>
      <c r="E26" s="288" t="s">
        <v>94</v>
      </c>
      <c r="F26" s="195" t="s">
        <v>95</v>
      </c>
      <c r="G26" s="195" t="s">
        <v>36</v>
      </c>
      <c r="H26" s="105" t="str">
        <f>HYPERLINK("http://www.mediafire.com/file/2xi4rbj5jaqn9t8/2019-07-06_-_Fenway_Park_-_Boston%252C_MA.rar/file", "download link")</f>
        <v>download link</v>
      </c>
      <c r="I26" s="288" t="s">
        <v>2704</v>
      </c>
      <c r="J26" s="289"/>
    </row>
    <row r="27">
      <c r="A27" s="336">
        <v>43655.0</v>
      </c>
      <c r="B27" s="156"/>
      <c r="C27" s="116" t="str">
        <f t="shared" si="2"/>
        <v>setlist</v>
      </c>
      <c r="D27" s="291" t="s">
        <v>2705</v>
      </c>
      <c r="E27" s="291" t="s">
        <v>2706</v>
      </c>
      <c r="F27" s="196" t="s">
        <v>171</v>
      </c>
      <c r="G27" s="196" t="s">
        <v>36</v>
      </c>
      <c r="H27" s="116" t="str">
        <f>HYPERLINK("http://www.mediafire.com/file/5e99rvd67m82f3g/2019-07-09_-_Mohegan_Sun_Arena_-_Uncasville%252C_CT.rar/file", "download link")</f>
        <v>download link</v>
      </c>
      <c r="I27" s="291" t="s">
        <v>2707</v>
      </c>
      <c r="J27" s="292"/>
    </row>
    <row r="28">
      <c r="A28" s="335">
        <v>43656.0</v>
      </c>
      <c r="B28" s="131"/>
      <c r="C28" s="105" t="str">
        <f t="shared" si="2"/>
        <v>setlist</v>
      </c>
      <c r="D28" s="288" t="s">
        <v>2705</v>
      </c>
      <c r="E28" s="288" t="s">
        <v>2706</v>
      </c>
      <c r="F28" s="195" t="s">
        <v>171</v>
      </c>
      <c r="G28" s="195" t="s">
        <v>36</v>
      </c>
      <c r="H28" s="105" t="str">
        <f>HYPERLINK("http://www.mediafire.com/file/bj49mj96ujhcsx8/2019-07-10_-_Mohegan_Sun_Arena_-_Uncasville%252C_CT.rar/file", "download link")</f>
        <v>download link</v>
      </c>
      <c r="I28" s="288" t="s">
        <v>2707</v>
      </c>
      <c r="J28" s="289"/>
    </row>
    <row r="29">
      <c r="A29" s="336">
        <v>43658.0</v>
      </c>
      <c r="B29" s="156"/>
      <c r="C29" s="116" t="str">
        <f t="shared" si="2"/>
        <v>setlist</v>
      </c>
      <c r="D29" s="291" t="s">
        <v>1737</v>
      </c>
      <c r="E29" s="291" t="s">
        <v>1738</v>
      </c>
      <c r="F29" s="196" t="s">
        <v>483</v>
      </c>
      <c r="G29" s="196" t="s">
        <v>36</v>
      </c>
      <c r="H29" s="116" t="str">
        <f>HYPERLINK("http://www.mediafire.com/file/dze43cpkvc5aeti/2019-07-12_-_Alpine_Valley_Music_Theatre_-_East_Troy%252C_WI.rar/file", "download link")</f>
        <v>download link</v>
      </c>
      <c r="I29" s="291" t="s">
        <v>2660</v>
      </c>
      <c r="J29" s="292"/>
    </row>
    <row r="30">
      <c r="A30" s="335">
        <v>43659.0</v>
      </c>
      <c r="B30" s="131"/>
      <c r="C30" s="105" t="str">
        <f t="shared" si="2"/>
        <v>setlist</v>
      </c>
      <c r="D30" s="288" t="s">
        <v>1737</v>
      </c>
      <c r="E30" s="288" t="s">
        <v>1738</v>
      </c>
      <c r="F30" s="195" t="s">
        <v>483</v>
      </c>
      <c r="G30" s="195" t="s">
        <v>36</v>
      </c>
      <c r="H30" s="105" t="str">
        <f>HYPERLINK("http://www.mediafire.com/file/qirt054147gzssu/2019-07-13_-_Alpine_Valley_Music_Theatre_-_East_Troy%252C_WI.rar/file", "download link")</f>
        <v>download link</v>
      </c>
      <c r="I30" s="288" t="s">
        <v>2660</v>
      </c>
      <c r="J30" s="289"/>
    </row>
    <row r="31">
      <c r="A31" s="336">
        <v>43660.0</v>
      </c>
      <c r="B31" s="156"/>
      <c r="C31" s="116" t="str">
        <f t="shared" si="2"/>
        <v>setlist</v>
      </c>
      <c r="D31" s="291" t="s">
        <v>1737</v>
      </c>
      <c r="E31" s="291" t="s">
        <v>1738</v>
      </c>
      <c r="F31" s="196" t="s">
        <v>483</v>
      </c>
      <c r="G31" s="196" t="s">
        <v>36</v>
      </c>
      <c r="H31" s="116" t="str">
        <f>HYPERLINK("http://www.mediafire.com/file/de8cyb29i5qvzaz/2019-07-14_-_Alpine_Valley_Music_Theatre_-_East_Troy%252C_WI.rar/file", "download link")</f>
        <v>download link</v>
      </c>
      <c r="I31" s="291" t="s">
        <v>2660</v>
      </c>
      <c r="J31" s="292"/>
    </row>
    <row r="32">
      <c r="A32" s="335">
        <v>43707.0</v>
      </c>
      <c r="B32" s="131"/>
      <c r="C32" s="105" t="str">
        <f t="shared" si="2"/>
        <v>setlist</v>
      </c>
      <c r="D32" s="288" t="s">
        <v>2457</v>
      </c>
      <c r="E32" s="288" t="s">
        <v>2458</v>
      </c>
      <c r="F32" s="195" t="s">
        <v>203</v>
      </c>
      <c r="G32" s="195" t="s">
        <v>36</v>
      </c>
      <c r="H32" s="105" t="str">
        <f>HYPERLINK("http://www.mediafire.com/file/xvfxh335gb4gsn2/2019-08-30_-_D%2Ack%2527s_Sporting_Goods_Park_-_Commerce_City%252C_CO.rar/file", "download link")</f>
        <v>download link</v>
      </c>
      <c r="I32" s="288" t="s">
        <v>2661</v>
      </c>
      <c r="J32" s="289"/>
    </row>
    <row r="33">
      <c r="A33" s="336">
        <v>43708.0</v>
      </c>
      <c r="B33" s="156"/>
      <c r="C33" s="116" t="str">
        <f t="shared" si="2"/>
        <v>setlist</v>
      </c>
      <c r="D33" s="291" t="s">
        <v>2457</v>
      </c>
      <c r="E33" s="291" t="s">
        <v>2458</v>
      </c>
      <c r="F33" s="196" t="s">
        <v>203</v>
      </c>
      <c r="G33" s="196" t="s">
        <v>36</v>
      </c>
      <c r="H33" s="116" t="str">
        <f>HYPERLINK("http://www.mediafire.com/file/8qu006e5i9ofzjn/2019-08-31_-_D%2Ack%2527s_Sporting_Goods_Park_-_Commerce_City%252C_CO.rar/file", "download link")</f>
        <v>download link</v>
      </c>
      <c r="I33" s="291" t="s">
        <v>2708</v>
      </c>
      <c r="J33" s="292"/>
    </row>
    <row r="34">
      <c r="A34" s="335">
        <v>43709.0</v>
      </c>
      <c r="B34" s="131"/>
      <c r="C34" s="105" t="str">
        <f t="shared" si="2"/>
        <v>setlist</v>
      </c>
      <c r="D34" s="288" t="s">
        <v>2457</v>
      </c>
      <c r="E34" s="288" t="s">
        <v>2458</v>
      </c>
      <c r="F34" s="195" t="s">
        <v>203</v>
      </c>
      <c r="G34" s="195" t="s">
        <v>36</v>
      </c>
      <c r="H34" s="105" t="str">
        <f>HYPERLINK("http://www.mediafire.com/file/825nykjjjvi78xi/2019-09-01_-_D%2Ack%2527s_Sporting_Goods_Park_-_Commerce_City%252C_CO.rar/file", "download link")</f>
        <v>download link</v>
      </c>
      <c r="I34" s="288" t="s">
        <v>2661</v>
      </c>
      <c r="J34" s="289"/>
    </row>
    <row r="35">
      <c r="A35" s="92"/>
      <c r="B35" s="93"/>
      <c r="C35" s="93"/>
      <c r="D35" s="264" t="s">
        <v>2709</v>
      </c>
      <c r="E35" s="238"/>
      <c r="F35" s="93"/>
      <c r="G35" s="93"/>
      <c r="H35" s="164"/>
      <c r="I35" s="238"/>
      <c r="J35" s="238"/>
    </row>
    <row r="36">
      <c r="A36" s="336">
        <v>43798.0</v>
      </c>
      <c r="B36" s="156"/>
      <c r="C36" s="116" t="str">
        <f>HYPERLINK("http://phish.net/setlists/?d="&amp;RIGHT(TEXT(A31,"mm/dd/yyyy"),4)&amp;"-"&amp;LEFT(TEXT(A31,"mm/dd/yyyy"),2)&amp;"-"&amp;MID(TEXT(A31,"mm/dd/yyyy"),4,2), "setlist")</f>
        <v>setlist</v>
      </c>
      <c r="D36" s="291" t="s">
        <v>2415</v>
      </c>
      <c r="E36" s="291" t="s">
        <v>297</v>
      </c>
      <c r="F36" s="196" t="s">
        <v>298</v>
      </c>
      <c r="G36" s="196" t="s">
        <v>36</v>
      </c>
      <c r="H36" s="116" t="str">
        <f>HYPERLINK("http://www.mediafire.com/file/kr1wlou3n7a164b/2019-11-29_-_Dunkin%2527_Donuts_Center_-_Providence%252C_RI.rar/file", "download link")</f>
        <v>download link</v>
      </c>
      <c r="I36" s="291" t="s">
        <v>2710</v>
      </c>
      <c r="J36" s="292"/>
    </row>
    <row r="37">
      <c r="A37" s="335">
        <v>43799.0</v>
      </c>
      <c r="B37" s="131"/>
      <c r="C37" s="105" t="str">
        <f>HYPERLINK("http://phish.net/setlists/?d="&amp;RIGHT(TEXT(A31,"mm/dd/yyyy"),4)&amp;"-"&amp;LEFT(TEXT(A31,"mm/dd/yyyy"),2)&amp;"-"&amp;MID(TEXT(A31,"mm/dd/yyyy"),4,2), "setlist")</f>
        <v>setlist</v>
      </c>
      <c r="D37" s="288" t="s">
        <v>2415</v>
      </c>
      <c r="E37" s="288" t="s">
        <v>297</v>
      </c>
      <c r="F37" s="195" t="s">
        <v>298</v>
      </c>
      <c r="G37" s="195" t="s">
        <v>36</v>
      </c>
      <c r="H37" s="105" t="str">
        <f>HYPERLINK("http://www.mediafire.com/file/ol5nqpgd4vp14iq/2019-11-30_-_Dunkin%2527_Donuts_Center_-_Providence%252C_RI.rar/file", "download link")</f>
        <v>download link</v>
      </c>
      <c r="I37" s="288" t="s">
        <v>2711</v>
      </c>
      <c r="J37" s="289"/>
    </row>
    <row r="38">
      <c r="A38" s="336">
        <v>43800.0</v>
      </c>
      <c r="B38" s="156"/>
      <c r="C38" s="116" t="str">
        <f>HYPERLINK("http://phish.net/setlists/?d="&amp;RIGHT(TEXT(A31,"mm/dd/yyyy"),4)&amp;"-"&amp;LEFT(TEXT(A31,"mm/dd/yyyy"),2)&amp;"-"&amp;MID(TEXT(A31,"mm/dd/yyyy"),4,2), "setlist")</f>
        <v>setlist</v>
      </c>
      <c r="D38" s="291" t="s">
        <v>2712</v>
      </c>
      <c r="E38" s="291" t="s">
        <v>1966</v>
      </c>
      <c r="F38" s="196" t="s">
        <v>129</v>
      </c>
      <c r="G38" s="196" t="s">
        <v>36</v>
      </c>
      <c r="H38" s="116" t="str">
        <f>HYPERLINK("http://www.mediafire.com/file/s6rm5iznn6501pc/2019-12-01_-_Nassau_Veterans_Memorial_Coliseum_-_Uniondale%252C_NY.rar/file", "download link")</f>
        <v>download link</v>
      </c>
      <c r="I38" s="291" t="s">
        <v>2713</v>
      </c>
      <c r="J38" s="292"/>
    </row>
    <row r="39">
      <c r="A39" s="335">
        <v>43802.0</v>
      </c>
      <c r="B39" s="131"/>
      <c r="C39" s="105" t="str">
        <f>HYPERLINK("http://phish.net/setlists/?d="&amp;RIGHT(TEXT(A31,"mm/dd/yyyy"),4)&amp;"-"&amp;LEFT(TEXT(A31,"mm/dd/yyyy"),2)&amp;"-"&amp;MID(TEXT(A31,"mm/dd/yyyy"),4,2), "setlist")</f>
        <v>setlist</v>
      </c>
      <c r="D39" s="288" t="s">
        <v>2714</v>
      </c>
      <c r="E39" s="288" t="s">
        <v>871</v>
      </c>
      <c r="F39" s="195" t="s">
        <v>212</v>
      </c>
      <c r="G39" s="195" t="s">
        <v>36</v>
      </c>
      <c r="H39" s="105" t="str">
        <f>HYPERLINK("http://www.mediafire.com/file/6h433dcndggq8oo/2019-12-03_-_Met_Philadelphia_-_Philadelphia%252C_PA.rar/file", "download link")</f>
        <v>download link</v>
      </c>
      <c r="I39" s="288" t="s">
        <v>272</v>
      </c>
      <c r="J39" s="289"/>
    </row>
    <row r="40">
      <c r="A40" s="336">
        <v>43803.0</v>
      </c>
      <c r="B40" s="156"/>
      <c r="C40" s="116" t="str">
        <f>HYPERLINK("http://phish.net/setlists/?d="&amp;RIGHT(TEXT(A31,"mm/dd/yyyy"),4)&amp;"-"&amp;LEFT(TEXT(A31,"mm/dd/yyyy"),2)&amp;"-"&amp;MID(TEXT(A31,"mm/dd/yyyy"),4,2), "setlist")</f>
        <v>setlist</v>
      </c>
      <c r="D40" s="291" t="s">
        <v>2654</v>
      </c>
      <c r="E40" s="291" t="s">
        <v>1073</v>
      </c>
      <c r="F40" s="196" t="s">
        <v>212</v>
      </c>
      <c r="G40" s="196" t="s">
        <v>36</v>
      </c>
      <c r="H40" s="116" t="str">
        <f>HYPERLINK("http://www.mediafire.com/file/ci78y4loy52pvpm/2019-12-04_-_Petersen_Events_Center_-_PIttsburgh%252C_PA.rar/file", "download link")</f>
        <v>download link</v>
      </c>
      <c r="I40" s="291" t="s">
        <v>2660</v>
      </c>
      <c r="J40" s="292"/>
    </row>
    <row r="41">
      <c r="A41" s="335">
        <v>43805.0</v>
      </c>
      <c r="B41" s="131"/>
      <c r="C41" s="105" t="str">
        <f>HYPERLINK("http://phish.net/setlists/?d="&amp;RIGHT(TEXT(A31,"mm/dd/yyyy"),4)&amp;"-"&amp;LEFT(TEXT(A31,"mm/dd/yyyy"),2)&amp;"-"&amp;MID(TEXT(A31,"mm/dd/yyyy"),4,2), "setlist")</f>
        <v>setlist</v>
      </c>
      <c r="D41" s="288" t="s">
        <v>1647</v>
      </c>
      <c r="E41" s="288" t="s">
        <v>1648</v>
      </c>
      <c r="F41" s="195" t="s">
        <v>430</v>
      </c>
      <c r="G41" s="195" t="s">
        <v>36</v>
      </c>
      <c r="H41" s="105" t="str">
        <f>HYPERLINK("http://www.mediafire.com/file/zr0m2hzeesh78h4/2019-12-06_-_North_Charleston_Coliseum_-_North_Charleston%252C_SC.rar/file", "download link")</f>
        <v>download link</v>
      </c>
      <c r="I41" s="288" t="s">
        <v>2661</v>
      </c>
      <c r="J41" s="289"/>
    </row>
    <row r="42">
      <c r="A42" s="336">
        <v>43806.0</v>
      </c>
      <c r="B42" s="156"/>
      <c r="C42" s="116" t="str">
        <f>HYPERLINK("http://phish.net/setlists/?d="&amp;RIGHT(TEXT(A31,"mm/dd/yyyy"),4)&amp;"-"&amp;LEFT(TEXT(A31,"mm/dd/yyyy"),2)&amp;"-"&amp;MID(TEXT(A31,"mm/dd/yyyy"),4,2), "setlist")</f>
        <v>setlist</v>
      </c>
      <c r="D42" s="291" t="s">
        <v>1647</v>
      </c>
      <c r="E42" s="291" t="s">
        <v>1648</v>
      </c>
      <c r="F42" s="196" t="s">
        <v>430</v>
      </c>
      <c r="G42" s="196" t="s">
        <v>36</v>
      </c>
      <c r="H42" s="116" t="str">
        <f>HYPERLINK("http://www.mediafire.com/file/jjowt6div5klx0b/2019-12-07_-_North_Charleston_Coliseum_-_North_Charleston%252C_SC.rar/file", "download link")</f>
        <v>download link</v>
      </c>
      <c r="I42" s="291" t="s">
        <v>2690</v>
      </c>
      <c r="J42" s="292"/>
    </row>
    <row r="43">
      <c r="A43" s="335">
        <v>43807.0</v>
      </c>
      <c r="B43" s="131"/>
      <c r="C43" s="105" t="str">
        <f>HYPERLINK("http://phish.net/setlists/?d="&amp;RIGHT(TEXT(A31,"mm/dd/yyyy"),4)&amp;"-"&amp;LEFT(TEXT(A31,"mm/dd/yyyy"),2)&amp;"-"&amp;MID(TEXT(A31,"mm/dd/yyyy"),4,2), "setlist")</f>
        <v>setlist</v>
      </c>
      <c r="D43" s="288" t="s">
        <v>1647</v>
      </c>
      <c r="E43" s="288" t="s">
        <v>1648</v>
      </c>
      <c r="F43" s="195" t="s">
        <v>430</v>
      </c>
      <c r="G43" s="195" t="s">
        <v>36</v>
      </c>
      <c r="H43" s="105" t="str">
        <f>HYPERLINK("http://www.mediafire.com/file/7buewwg521q0i69/2019-12-08_-_North_Charleston_Coliseum_-_North_Charleston%252C_SC.rar/file", "download link")</f>
        <v>download link</v>
      </c>
      <c r="I43" s="288" t="s">
        <v>2704</v>
      </c>
      <c r="J43" s="289"/>
    </row>
    <row r="44">
      <c r="A44" s="92"/>
      <c r="B44" s="93"/>
      <c r="C44" s="93"/>
      <c r="D44" s="264" t="s">
        <v>2715</v>
      </c>
      <c r="E44" s="238"/>
      <c r="F44" s="93"/>
      <c r="G44" s="93"/>
      <c r="H44" s="164"/>
      <c r="I44" s="238"/>
      <c r="J44" s="238"/>
    </row>
    <row r="45">
      <c r="A45" s="336">
        <v>43827.0</v>
      </c>
      <c r="B45" s="156"/>
      <c r="C45" s="116" t="str">
        <f>HYPERLINK("http://phish.net/setlists/?d="&amp;RIGHT(TEXT(A31,"mm/dd/yyyy"),4)&amp;"-"&amp;LEFT(TEXT(A31,"mm/dd/yyyy"),2)&amp;"-"&amp;MID(TEXT(A31,"mm/dd/yyyy"),4,2), "setlist")</f>
        <v>setlist</v>
      </c>
      <c r="D45" s="291" t="s">
        <v>1553</v>
      </c>
      <c r="E45" s="291" t="s">
        <v>162</v>
      </c>
      <c r="F45" s="196" t="s">
        <v>129</v>
      </c>
      <c r="G45" s="196" t="s">
        <v>36</v>
      </c>
      <c r="H45" s="116" t="str">
        <f>HYPERLINK("http://www.mediafire.com/file/ig1t3wajxusckuc/2019-12-28_-_Madison_Square_Garden_-_New_York%252C_NY.rar/file", "download link")</f>
        <v>download link</v>
      </c>
      <c r="I45" s="291" t="s">
        <v>2660</v>
      </c>
      <c r="J45" s="292"/>
    </row>
    <row r="46">
      <c r="A46" s="335">
        <v>43828.0</v>
      </c>
      <c r="B46" s="131"/>
      <c r="C46" s="105" t="str">
        <f>HYPERLINK("http://phish.net/setlists/?d="&amp;RIGHT(TEXT(A31,"mm/dd/yyyy"),4)&amp;"-"&amp;LEFT(TEXT(A31,"mm/dd/yyyy"),2)&amp;"-"&amp;MID(TEXT(A31,"mm/dd/yyyy"),4,2), "setlist")</f>
        <v>setlist</v>
      </c>
      <c r="D46" s="288" t="s">
        <v>1553</v>
      </c>
      <c r="E46" s="288" t="s">
        <v>162</v>
      </c>
      <c r="F46" s="195" t="s">
        <v>129</v>
      </c>
      <c r="G46" s="195" t="s">
        <v>36</v>
      </c>
      <c r="H46" s="105" t="str">
        <f>HYPERLINK("http://www.mediafire.com/file/jtvsbglct91tvnr/2019-12-29_-_Madison_Square_Garden_-_New_York%252C_NY.rar/file", "download link")</f>
        <v>download link</v>
      </c>
      <c r="I46" s="288" t="s">
        <v>2690</v>
      </c>
      <c r="J46" s="289"/>
    </row>
    <row r="47">
      <c r="A47" s="336">
        <v>43829.0</v>
      </c>
      <c r="B47" s="156"/>
      <c r="C47" s="116" t="str">
        <f>HYPERLINK("http://phish.net/setlists/?d="&amp;RIGHT(TEXT(A31,"mm/dd/yyyy"),4)&amp;"-"&amp;LEFT(TEXT(A31,"mm/dd/yyyy"),2)&amp;"-"&amp;MID(TEXT(A31,"mm/dd/yyyy"),4,2), "setlist")</f>
        <v>setlist</v>
      </c>
      <c r="D47" s="291" t="s">
        <v>1553</v>
      </c>
      <c r="E47" s="291" t="s">
        <v>162</v>
      </c>
      <c r="F47" s="196" t="s">
        <v>129</v>
      </c>
      <c r="G47" s="196" t="s">
        <v>36</v>
      </c>
      <c r="H47" s="116" t="str">
        <f>HYPERLINK("http://www.mediafire.com/file/kos31deq79mt94n/2019-12-30_-_Madison_Square_Garden_-_New_York%252C_NY.rar/file", "download link")</f>
        <v>download link</v>
      </c>
      <c r="I47" s="291" t="s">
        <v>2690</v>
      </c>
      <c r="J47" s="292"/>
    </row>
    <row r="48">
      <c r="A48" s="335">
        <v>43830.0</v>
      </c>
      <c r="B48" s="131"/>
      <c r="C48" s="105" t="str">
        <f>HYPERLINK("http://phish.net/setlists/?d="&amp;RIGHT(TEXT(A31,"mm/dd/yyyy"),4)&amp;"-"&amp;LEFT(TEXT(A31,"mm/dd/yyyy"),2)&amp;"-"&amp;MID(TEXT(A31,"mm/dd/yyyy"),4,2), "setlist")</f>
        <v>setlist</v>
      </c>
      <c r="D48" s="288" t="s">
        <v>1553</v>
      </c>
      <c r="E48" s="288" t="s">
        <v>162</v>
      </c>
      <c r="F48" s="195" t="s">
        <v>129</v>
      </c>
      <c r="G48" s="195" t="s">
        <v>36</v>
      </c>
      <c r="H48" s="105" t="str">
        <f>HYPERLINK("http://www.mediafire.com/file/tdc1g8ugtyv9i7q/2019-12-31_-_Madison_Square_Garden_-_New_York%252C_NY.rar/file", "download link")</f>
        <v>download link</v>
      </c>
      <c r="I48" s="288" t="s">
        <v>2660</v>
      </c>
      <c r="J48" s="28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2716</v>
      </c>
      <c r="E4" s="238"/>
      <c r="F4" s="93"/>
      <c r="G4" s="93"/>
      <c r="H4" s="164"/>
      <c r="I4" s="238"/>
      <c r="J4" s="238"/>
    </row>
    <row r="5">
      <c r="A5" s="336">
        <v>43881.0</v>
      </c>
      <c r="B5" s="156"/>
      <c r="C5" s="116" t="str">
        <f t="shared" ref="C5:C8" si="1">HYPERLINK("http://phish.net/setlists/?d="&amp;RIGHT(TEXT(A5,"mm/dd/yyyy"),4)&amp;"-"&amp;LEFT(TEXT(A5,"mm/dd/yyyy"),2)&amp;"-"&amp;MID(TEXT(A5,"mm/dd/yyyy"),4,2), "setlist")</f>
        <v>setlist</v>
      </c>
      <c r="D5" s="291" t="s">
        <v>2717</v>
      </c>
      <c r="E5" s="291" t="s">
        <v>2718</v>
      </c>
      <c r="F5" s="196" t="s">
        <v>2603</v>
      </c>
      <c r="G5" s="196" t="s">
        <v>36</v>
      </c>
      <c r="H5" s="116" t="str">
        <f>HYPERLINK("http://www.mediafire.com/file/42x6d2vlwdd7g2a/2020-02-20_-_Moon_Palace_-_Cancun%252C_Quintana_Roo%252C_Mexico.rar/file", "download link")</f>
        <v>download link</v>
      </c>
      <c r="I5" s="291" t="s">
        <v>2719</v>
      </c>
      <c r="J5" s="292"/>
    </row>
    <row r="6">
      <c r="A6" s="335">
        <v>43882.0</v>
      </c>
      <c r="B6" s="131"/>
      <c r="C6" s="105" t="str">
        <f t="shared" si="1"/>
        <v>setlist</v>
      </c>
      <c r="D6" s="288" t="s">
        <v>2717</v>
      </c>
      <c r="E6" s="288" t="s">
        <v>2718</v>
      </c>
      <c r="F6" s="195" t="s">
        <v>2603</v>
      </c>
      <c r="G6" s="195" t="s">
        <v>36</v>
      </c>
      <c r="H6" s="105" t="str">
        <f>HYPERLINK("http://www.mediafire.com/file/6h5jmcvjfg01ycr/2020-02-21_-_Moon_Palace_-_Cancun%252C_Quintana_Roo%252C_Mexico.rar/file", "download link")</f>
        <v>download link</v>
      </c>
      <c r="I6" s="288" t="s">
        <v>2719</v>
      </c>
      <c r="J6" s="289"/>
    </row>
    <row r="7">
      <c r="A7" s="336">
        <v>43883.0</v>
      </c>
      <c r="B7" s="156"/>
      <c r="C7" s="116" t="str">
        <f t="shared" si="1"/>
        <v>setlist</v>
      </c>
      <c r="D7" s="291" t="s">
        <v>2717</v>
      </c>
      <c r="E7" s="291" t="s">
        <v>2718</v>
      </c>
      <c r="F7" s="196" t="s">
        <v>2603</v>
      </c>
      <c r="G7" s="196" t="s">
        <v>36</v>
      </c>
      <c r="H7" s="116" t="str">
        <f>HYPERLINK("http://www.mediafire.com/file/7c439pcmmkodeqy/2020-02-22_-_Moon_Palace_-_Cancun%252C_Quintana_Roo%252C_Mexico.rar/file", "download link")</f>
        <v>download link</v>
      </c>
      <c r="I7" s="291" t="s">
        <v>2719</v>
      </c>
      <c r="J7" s="292"/>
    </row>
    <row r="8">
      <c r="A8" s="335">
        <v>43884.0</v>
      </c>
      <c r="B8" s="131"/>
      <c r="C8" s="105" t="str">
        <f t="shared" si="1"/>
        <v>setlist</v>
      </c>
      <c r="D8" s="288" t="s">
        <v>2717</v>
      </c>
      <c r="E8" s="288" t="s">
        <v>2718</v>
      </c>
      <c r="F8" s="195" t="s">
        <v>2603</v>
      </c>
      <c r="G8" s="195" t="s">
        <v>36</v>
      </c>
      <c r="H8" s="105" t="str">
        <f>HYPERLINK("http://www.mediafire.com/file/kggiknpt6lipm1v/2020-02-23_-_Moon_Palace_-_Cancun%252C_Quintana_Roo%252C_Mexico.rar/file", "download link")</f>
        <v>download link</v>
      </c>
      <c r="I8" s="288" t="s">
        <v>2719</v>
      </c>
      <c r="J8" s="28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2720</v>
      </c>
      <c r="E4" s="238"/>
      <c r="F4" s="93"/>
      <c r="G4" s="93"/>
      <c r="H4" s="164"/>
      <c r="I4" s="238"/>
      <c r="J4" s="238"/>
    </row>
    <row r="5">
      <c r="A5" s="336">
        <v>44405.0</v>
      </c>
      <c r="B5" s="156"/>
      <c r="C5" s="116" t="str">
        <f t="shared" ref="C5:C7" si="1">HYPERLINK("http://phish.net/setlists/?d="&amp;RIGHT(TEXT(A5,"mm/dd/yyyy"),4)&amp;"-"&amp;LEFT(TEXT(A5,"mm/dd/yyyy"),2)&amp;"-"&amp;MID(TEXT(A5,"mm/dd/yyyy"),4,2), "setlist")</f>
        <v>setlist</v>
      </c>
      <c r="D5" s="291" t="s">
        <v>2721</v>
      </c>
      <c r="E5" s="291" t="s">
        <v>2722</v>
      </c>
      <c r="F5" s="196" t="s">
        <v>2723</v>
      </c>
      <c r="G5" s="196" t="s">
        <v>36</v>
      </c>
      <c r="H5" s="116" t="str">
        <f>HYPERLINK("https://www.mediafire.com/file/a4dmnp4089rtyje/2021-07-28_-_Walmart_Arkansas_Music_Pavilion_-_Rogers%252C_AR.rar/file", "download link")</f>
        <v>download link</v>
      </c>
      <c r="I5" s="291" t="s">
        <v>2724</v>
      </c>
      <c r="J5" s="292"/>
    </row>
    <row r="6">
      <c r="A6" s="335">
        <v>44407.0</v>
      </c>
      <c r="B6" s="131"/>
      <c r="C6" s="105" t="str">
        <f t="shared" si="1"/>
        <v>setlist</v>
      </c>
      <c r="D6" s="288" t="s">
        <v>1460</v>
      </c>
      <c r="E6" s="288" t="s">
        <v>1461</v>
      </c>
      <c r="F6" s="195" t="s">
        <v>583</v>
      </c>
      <c r="G6" s="195" t="s">
        <v>36</v>
      </c>
      <c r="H6" s="105" t="str">
        <f>HYPERLINK("https://www.mediafire.com/file/77jumi6pd24a756/2021-07-30_-_Oak_Mountain_Amphitheatre_-_Pelham%252C_AL.rar/file", "download link")</f>
        <v>download link</v>
      </c>
      <c r="I6" s="288" t="s">
        <v>2724</v>
      </c>
      <c r="J6" s="289"/>
    </row>
    <row r="7">
      <c r="A7" s="336">
        <v>44408.0</v>
      </c>
      <c r="B7" s="156"/>
      <c r="C7" s="116" t="str">
        <f t="shared" si="1"/>
        <v>setlist</v>
      </c>
      <c r="D7" s="291" t="s">
        <v>2725</v>
      </c>
      <c r="E7" s="291" t="s">
        <v>2394</v>
      </c>
      <c r="F7" s="196" t="s">
        <v>433</v>
      </c>
      <c r="G7" s="196" t="s">
        <v>36</v>
      </c>
      <c r="H7" s="116" t="str">
        <f>HYPERLINK("https://www.mediafire.com/file/2n2o1m670iek37d/2021-07-31_-_Ameris_Bank_Amphitheatre_-_Alpharetta%252C_GA.rar/file", "download link")</f>
        <v>download link</v>
      </c>
      <c r="I7" s="291" t="s">
        <v>2704</v>
      </c>
      <c r="J7" s="292"/>
    </row>
    <row r="8">
      <c r="A8" s="335">
        <v>44409.0</v>
      </c>
      <c r="B8" s="131"/>
      <c r="C8" s="105" t="str">
        <f>HYPERLINK("http://phish.net/setlists/?d="&amp;RIGHT(TEXT(A8,"mm/dd/yyyy"),4)&amp;"-"&amp;LEFT(TEXT(A8,"mm/dd/yyyy"),2)&amp;"-"&amp;MID(TEXT(A8,"mm/dd/yyyy"),4,2), "setlist")</f>
        <v>setlist</v>
      </c>
      <c r="D8" s="288" t="s">
        <v>2725</v>
      </c>
      <c r="E8" s="288" t="s">
        <v>2394</v>
      </c>
      <c r="F8" s="195" t="s">
        <v>433</v>
      </c>
      <c r="G8" s="195" t="s">
        <v>36</v>
      </c>
      <c r="H8" s="105" t="str">
        <f>HYPERLINK("https://www.mediafire.com/file/4unflwubsx96e95/2021-08-01_-_Ameris_Bank_Amphitheatre_-_Alpharetta%252C_GA.rar/file", "download link")</f>
        <v>download link</v>
      </c>
      <c r="I8" s="288" t="s">
        <v>2704</v>
      </c>
      <c r="J8" s="289"/>
    </row>
    <row r="9">
      <c r="A9" s="336">
        <v>44411.0</v>
      </c>
      <c r="B9" s="156"/>
      <c r="C9" s="116" t="str">
        <f>HYPERLINK("http://phish.net/setlists/?d="&amp;RIGHT(TEXT(A8,"mm/dd/yyyy"),4)&amp;"-"&amp;LEFT(TEXT(A8,"mm/dd/yyyy"),2)&amp;"-"&amp;MID(TEXT(A8,"mm/dd/yyyy"),4,2), "setlist")</f>
        <v>setlist</v>
      </c>
      <c r="D9" s="291" t="s">
        <v>2582</v>
      </c>
      <c r="E9" s="291" t="s">
        <v>652</v>
      </c>
      <c r="F9" s="196" t="s">
        <v>650</v>
      </c>
      <c r="G9" s="196" t="s">
        <v>36</v>
      </c>
      <c r="H9" s="116" t="str">
        <f>HYPERLINK("https://www.mediafire.com/file/mcvsuulfmv4z6tf/2021-08-03_-_Ascend_Amphitheater_-_Nashville%252C_TN.rar/file", "download link")</f>
        <v>download link</v>
      </c>
      <c r="I9" s="291" t="s">
        <v>2724</v>
      </c>
      <c r="J9" s="291" t="s">
        <v>287</v>
      </c>
    </row>
    <row r="10">
      <c r="A10" s="335">
        <v>44412.0</v>
      </c>
      <c r="B10" s="131"/>
      <c r="C10" s="105" t="str">
        <f>HYPERLINK("http://phish.net/setlists/?d="&amp;RIGHT(TEXT(A8,"mm/dd/yyyy"),4)&amp;"-"&amp;LEFT(TEXT(A8,"mm/dd/yyyy"),2)&amp;"-"&amp;MID(TEXT(A8,"mm/dd/yyyy"),4,2), "setlist")</f>
        <v>setlist</v>
      </c>
      <c r="D10" s="288" t="s">
        <v>2582</v>
      </c>
      <c r="E10" s="288" t="s">
        <v>652</v>
      </c>
      <c r="F10" s="195" t="s">
        <v>650</v>
      </c>
      <c r="G10" s="195" t="s">
        <v>36</v>
      </c>
      <c r="H10" s="105" t="str">
        <f>HYPERLINK("https://www.mediafire.com/file/kjn67kcda63gx9a/2021-08-04_-_Ascend_Amphitheater_-_Nashville%252C_TN.rar/file", "download link")</f>
        <v>download link</v>
      </c>
      <c r="I10" s="288" t="s">
        <v>2724</v>
      </c>
      <c r="J10" s="288" t="s">
        <v>287</v>
      </c>
    </row>
    <row r="11">
      <c r="A11" s="336">
        <v>44414.0</v>
      </c>
      <c r="B11" s="156"/>
      <c r="C11" s="116" t="str">
        <f>HYPERLINK("http://phish.net/setlists/?d="&amp;RIGHT(TEXT(A8,"mm/dd/yyyy"),4)&amp;"-"&amp;LEFT(TEXT(A8,"mm/dd/yyyy"),2)&amp;"-"&amp;MID(TEXT(A8,"mm/dd/yyyy"),4,2), "setlist")</f>
        <v>setlist</v>
      </c>
      <c r="D11" s="291" t="s">
        <v>2726</v>
      </c>
      <c r="E11" s="291" t="s">
        <v>1579</v>
      </c>
      <c r="F11" s="196" t="s">
        <v>508</v>
      </c>
      <c r="G11" s="196" t="s">
        <v>36</v>
      </c>
      <c r="H11" s="116" t="str">
        <f>HYPERLINK("https://www.mediafire.com/file/we3pzgj3pg6rglq/2021-08-06_-_Ruoff_Music_Center_-_Noblesville%252C_IN.rar/file", "download link")</f>
        <v>download link</v>
      </c>
      <c r="I11" s="291" t="s">
        <v>2727</v>
      </c>
      <c r="J11" s="292"/>
    </row>
    <row r="12">
      <c r="A12" s="335">
        <v>44415.0</v>
      </c>
      <c r="B12" s="131"/>
      <c r="C12" s="105" t="str">
        <f>HYPERLINK("http://phish.net/setlists/?d="&amp;RIGHT(TEXT(A8,"mm/dd/yyyy"),4)&amp;"-"&amp;LEFT(TEXT(A8,"mm/dd/yyyy"),2)&amp;"-"&amp;MID(TEXT(A8,"mm/dd/yyyy"),4,2), "setlist")</f>
        <v>setlist</v>
      </c>
      <c r="D12" s="288" t="s">
        <v>2726</v>
      </c>
      <c r="E12" s="288" t="s">
        <v>1579</v>
      </c>
      <c r="F12" s="195" t="s">
        <v>508</v>
      </c>
      <c r="G12" s="195" t="s">
        <v>36</v>
      </c>
      <c r="H12" s="105" t="str">
        <f>HYPERLINK("https://www.mediafire.com/file/s4qo8m6zbqji703/2021-08-07_-_Ruoff_Music_Center_-_Noblesville%252C_IN.rar/file", "download link")</f>
        <v>download link</v>
      </c>
      <c r="I12" s="288" t="s">
        <v>2727</v>
      </c>
      <c r="J12" s="289"/>
    </row>
    <row r="13">
      <c r="A13" s="336">
        <v>44416.0</v>
      </c>
      <c r="B13" s="156"/>
      <c r="C13" s="116" t="str">
        <f>HYPERLINK("http://phish.net/setlists/?d="&amp;RIGHT(TEXT(A8,"mm/dd/yyyy"),4)&amp;"-"&amp;LEFT(TEXT(A8,"mm/dd/yyyy"),2)&amp;"-"&amp;MID(TEXT(A8,"mm/dd/yyyy"),4,2), "setlist")</f>
        <v>setlist</v>
      </c>
      <c r="D13" s="291" t="s">
        <v>2726</v>
      </c>
      <c r="E13" s="291" t="s">
        <v>1579</v>
      </c>
      <c r="F13" s="196" t="s">
        <v>508</v>
      </c>
      <c r="G13" s="196" t="s">
        <v>36</v>
      </c>
      <c r="H13" s="116" t="str">
        <f>HYPERLINK("https://www.mediafire.com/file/zmnthk7p0o4z9nd/2021-08-08_-_Ruoff_Music_Center_-_Noblesville%252C_IN.rar/file", "download link")</f>
        <v>download link</v>
      </c>
      <c r="I13" s="291" t="s">
        <v>2727</v>
      </c>
      <c r="J13" s="292"/>
    </row>
    <row r="14">
      <c r="A14" s="335">
        <v>44418.0</v>
      </c>
      <c r="B14" s="131"/>
      <c r="C14" s="105" t="str">
        <f>HYPERLINK("http://phish.net/setlists/?d="&amp;RIGHT(TEXT(A8,"mm/dd/yyyy"),4)&amp;"-"&amp;LEFT(TEXT(A8,"mm/dd/yyyy"),2)&amp;"-"&amp;MID(TEXT(A8,"mm/dd/yyyy"),4,2), "setlist")</f>
        <v>setlist</v>
      </c>
      <c r="D14" s="288" t="s">
        <v>1741</v>
      </c>
      <c r="E14" s="288" t="s">
        <v>1667</v>
      </c>
      <c r="F14" s="195" t="s">
        <v>212</v>
      </c>
      <c r="G14" s="195" t="s">
        <v>36</v>
      </c>
      <c r="H14" s="105" t="str">
        <f>HYPERLINK("https://www.mediafire.com/file/5jzdqu9p06hc2mu/2021-08-10_-_Hersheypark_Stadium_-_Hershey%252C_PA.rar/file", "download link")</f>
        <v>download link</v>
      </c>
      <c r="I14" s="288" t="s">
        <v>2728</v>
      </c>
      <c r="J14" s="289"/>
    </row>
    <row r="15">
      <c r="A15" s="336">
        <v>44419.0</v>
      </c>
      <c r="B15" s="156"/>
      <c r="C15" s="116" t="str">
        <f>HYPERLINK("http://phish.net/setlists/?d="&amp;RIGHT(TEXT(A8,"mm/dd/yyyy"),4)&amp;"-"&amp;LEFT(TEXT(A8,"mm/dd/yyyy"),2)&amp;"-"&amp;MID(TEXT(A8,"mm/dd/yyyy"),4,2), "setlist")</f>
        <v>setlist</v>
      </c>
      <c r="D15" s="291" t="s">
        <v>1741</v>
      </c>
      <c r="E15" s="291" t="s">
        <v>1667</v>
      </c>
      <c r="F15" s="196" t="s">
        <v>212</v>
      </c>
      <c r="G15" s="196" t="s">
        <v>36</v>
      </c>
      <c r="H15" s="116" t="str">
        <f>HYPERLINK("https://www.mediafire.com/file/m8v1kazhy6zgglm/2021-08-11_-_Hersheypark_Stadium_-_Hershey%252C_PA.rar/file", "download link")</f>
        <v>download link</v>
      </c>
      <c r="I15" s="291" t="s">
        <v>2729</v>
      </c>
      <c r="J15" s="292"/>
    </row>
    <row r="16">
      <c r="A16" s="335">
        <v>44421.0</v>
      </c>
      <c r="B16" s="131"/>
      <c r="C16" s="105" t="str">
        <f>HYPERLINK("http://phish.net/setlists/?d="&amp;RIGHT(TEXT(A8,"mm/dd/yyyy"),4)&amp;"-"&amp;LEFT(TEXT(A8,"mm/dd/yyyy"),2)&amp;"-"&amp;MID(TEXT(A8,"mm/dd/yyyy"),4,2), "setlist")</f>
        <v>setlist</v>
      </c>
      <c r="D16" s="288" t="s">
        <v>2730</v>
      </c>
      <c r="E16" s="288" t="s">
        <v>2421</v>
      </c>
      <c r="F16" s="195" t="s">
        <v>43</v>
      </c>
      <c r="G16" s="195" t="s">
        <v>36</v>
      </c>
      <c r="H16" s="105" t="str">
        <f>HYPERLINK("https://www.mediafire.com/file/9gzmfy270ethuan/2021-08-13_-_Atlantic_City_Beach_-_Atlantic_City%252C_NJ.rar/file", "download link")</f>
        <v>download link</v>
      </c>
      <c r="I16" s="288" t="s">
        <v>2731</v>
      </c>
      <c r="J16" s="289"/>
    </row>
    <row r="17">
      <c r="A17" s="336">
        <v>44422.0</v>
      </c>
      <c r="B17" s="156"/>
      <c r="C17" s="116" t="str">
        <f>HYPERLINK("http://phish.net/setlists/?d="&amp;RIGHT(TEXT(A8,"mm/dd/yyyy"),4)&amp;"-"&amp;LEFT(TEXT(A8,"mm/dd/yyyy"),2)&amp;"-"&amp;MID(TEXT(A8,"mm/dd/yyyy"),4,2), "setlist")</f>
        <v>setlist</v>
      </c>
      <c r="D17" s="291" t="s">
        <v>2730</v>
      </c>
      <c r="E17" s="291" t="s">
        <v>2421</v>
      </c>
      <c r="F17" s="196" t="s">
        <v>43</v>
      </c>
      <c r="G17" s="196" t="s">
        <v>36</v>
      </c>
      <c r="H17" s="116" t="str">
        <f>HYPERLINK("https://www.mediafire.com/file/5kjbx9ute3kq128/2021-08-14_-_Atlantic_City_Beach_-_Atlantic_City%252C_NJ.rar/file", "download link")</f>
        <v>download link</v>
      </c>
      <c r="I17" s="291" t="s">
        <v>2731</v>
      </c>
      <c r="J17" s="292"/>
    </row>
    <row r="18">
      <c r="A18" s="335">
        <v>44423.0</v>
      </c>
      <c r="B18" s="131"/>
      <c r="C18" s="105" t="str">
        <f>HYPERLINK("http://phish.net/setlists/?d="&amp;RIGHT(TEXT(A8,"mm/dd/yyyy"),4)&amp;"-"&amp;LEFT(TEXT(A8,"mm/dd/yyyy"),2)&amp;"-"&amp;MID(TEXT(A8,"mm/dd/yyyy"),4,2), "setlist")</f>
        <v>setlist</v>
      </c>
      <c r="D18" s="288" t="s">
        <v>2730</v>
      </c>
      <c r="E18" s="288" t="s">
        <v>2421</v>
      </c>
      <c r="F18" s="195" t="s">
        <v>43</v>
      </c>
      <c r="G18" s="195" t="s">
        <v>36</v>
      </c>
      <c r="H18" s="105" t="str">
        <f>HYPERLINK("https://www.mediafire.com/file/ovn8nhjhxs2s2pb/2021-08-15_-_Atlantic_City_Beach_-_Atlantic_City%252C_NJ.rar/file", "download link")</f>
        <v>download link</v>
      </c>
      <c r="I18" s="288" t="s">
        <v>2731</v>
      </c>
      <c r="J18" s="289"/>
    </row>
    <row r="19">
      <c r="A19" s="336">
        <v>44435.0</v>
      </c>
      <c r="B19" s="156"/>
      <c r="C19" s="116" t="str">
        <f>HYPERLINK("http://phish.net/setlists/?d="&amp;RIGHT(TEXT(A8,"mm/dd/yyyy"),4)&amp;"-"&amp;LEFT(TEXT(A8,"mm/dd/yyyy"),2)&amp;"-"&amp;MID(TEXT(A8,"mm/dd/yyyy"),4,2), "setlist")</f>
        <v>setlist</v>
      </c>
      <c r="D19" s="291" t="s">
        <v>1918</v>
      </c>
      <c r="E19" s="291" t="s">
        <v>1919</v>
      </c>
      <c r="F19" s="196" t="s">
        <v>701</v>
      </c>
      <c r="G19" s="196" t="s">
        <v>36</v>
      </c>
      <c r="H19" s="116" t="str">
        <f>HYPERLINK("https://www.mediafire.com/file/53l1yf7qip3vs3y/2021-08-27_-_Gorge_Amphitheatre_-_George%252C_WA.rar/file", "download link")</f>
        <v>download link</v>
      </c>
      <c r="I19" s="291" t="s">
        <v>2732</v>
      </c>
      <c r="J19" s="292"/>
    </row>
    <row r="20">
      <c r="A20" s="335">
        <v>44436.0</v>
      </c>
      <c r="B20" s="131"/>
      <c r="C20" s="105" t="str">
        <f>HYPERLINK("http://phish.net/setlists/?d="&amp;RIGHT(TEXT(A8,"mm/dd/yyyy"),4)&amp;"-"&amp;LEFT(TEXT(A8,"mm/dd/yyyy"),2)&amp;"-"&amp;MID(TEXT(A8,"mm/dd/yyyy"),4,2), "setlist")</f>
        <v>setlist</v>
      </c>
      <c r="D20" s="288" t="s">
        <v>1918</v>
      </c>
      <c r="E20" s="288" t="s">
        <v>1919</v>
      </c>
      <c r="F20" s="195" t="s">
        <v>701</v>
      </c>
      <c r="G20" s="195" t="s">
        <v>36</v>
      </c>
      <c r="H20" s="105" t="str">
        <f>HYPERLINK("https://www.mediafire.com/file/czo9laf1ac9czzu/2021-08-28_-_Gorge_Amphitheatre_-_George%252C_WA.rar/file", "download link")</f>
        <v>download link</v>
      </c>
      <c r="I20" s="288" t="s">
        <v>2732</v>
      </c>
      <c r="J20" s="289"/>
    </row>
    <row r="21">
      <c r="A21" s="336">
        <v>44437.0</v>
      </c>
      <c r="B21" s="156"/>
      <c r="C21" s="116" t="str">
        <f>HYPERLINK("http://phish.net/setlists/?d="&amp;RIGHT(TEXT(A8,"mm/dd/yyyy"),4)&amp;"-"&amp;LEFT(TEXT(A8,"mm/dd/yyyy"),2)&amp;"-"&amp;MID(TEXT(A8,"mm/dd/yyyy"),4,2), "setlist")</f>
        <v>setlist</v>
      </c>
      <c r="D21" s="291" t="s">
        <v>1918</v>
      </c>
      <c r="E21" s="291" t="s">
        <v>1919</v>
      </c>
      <c r="F21" s="196" t="s">
        <v>701</v>
      </c>
      <c r="G21" s="196" t="s">
        <v>36</v>
      </c>
      <c r="H21" s="116" t="str">
        <f>HYPERLINK("https://www.mediafire.com/file/sh435ojl0trep91/2021-08-29_-_Gorge_Amphitheatre_-_George%252C_WA.rar/file", "download link")</f>
        <v>download link</v>
      </c>
      <c r="I21" s="291" t="s">
        <v>2732</v>
      </c>
      <c r="J21" s="292"/>
    </row>
    <row r="22">
      <c r="A22" s="335">
        <v>44439.0</v>
      </c>
      <c r="B22" s="131"/>
      <c r="C22" s="105" t="str">
        <f>HYPERLINK("http://phish.net/setlists/?d="&amp;RIGHT(TEXT(A8,"mm/dd/yyyy"),4)&amp;"-"&amp;LEFT(TEXT(A8,"mm/dd/yyyy"),2)&amp;"-"&amp;MID(TEXT(A8,"mm/dd/yyyy"),4,2), "setlist")</f>
        <v>setlist</v>
      </c>
      <c r="D22" s="288" t="s">
        <v>1052</v>
      </c>
      <c r="E22" s="288" t="s">
        <v>1053</v>
      </c>
      <c r="F22" s="195" t="s">
        <v>679</v>
      </c>
      <c r="G22" s="195" t="s">
        <v>36</v>
      </c>
      <c r="H22" s="105" t="str">
        <f>HYPERLINK("https://www.mediafire.com/file/nh7kef70rn4h0oj/2021-08-31_-_Shoreline_Amphitheatre_-_Mountain_View%252C_CA.rar/file", "download link")</f>
        <v>download link</v>
      </c>
      <c r="I22" s="288" t="s">
        <v>2704</v>
      </c>
      <c r="J22" s="289"/>
    </row>
    <row r="23">
      <c r="A23" s="336">
        <v>44440.0</v>
      </c>
      <c r="B23" s="156"/>
      <c r="C23" s="116" t="str">
        <f>HYPERLINK("http://phish.net/setlists/?d="&amp;RIGHT(TEXT(A8,"mm/dd/yyyy"),4)&amp;"-"&amp;LEFT(TEXT(A8,"mm/dd/yyyy"),2)&amp;"-"&amp;MID(TEXT(A8,"mm/dd/yyyy"),4,2), "setlist")</f>
        <v>setlist</v>
      </c>
      <c r="D23" s="291" t="s">
        <v>1052</v>
      </c>
      <c r="E23" s="291" t="s">
        <v>1053</v>
      </c>
      <c r="F23" s="196" t="s">
        <v>679</v>
      </c>
      <c r="G23" s="196" t="s">
        <v>36</v>
      </c>
      <c r="H23" s="116" t="str">
        <f>HYPERLINK("https://www.mediafire.com/file/audz1r025tqp26y/2021-09-01_-_Shoreline_Amphitheatre_-_Mountain_View%252C_CA.rar/file", "download link")</f>
        <v>download link</v>
      </c>
      <c r="I23" s="291" t="s">
        <v>2704</v>
      </c>
      <c r="J23" s="292"/>
    </row>
    <row r="24">
      <c r="A24" s="335">
        <v>44442.0</v>
      </c>
      <c r="B24" s="131"/>
      <c r="C24" s="105" t="str">
        <f>HYPERLINK("http://phish.net/setlists/?d="&amp;RIGHT(TEXT(A8,"mm/dd/yyyy"),4)&amp;"-"&amp;LEFT(TEXT(A8,"mm/dd/yyyy"),2)&amp;"-"&amp;MID(TEXT(A8,"mm/dd/yyyy"),4,2), "setlist")</f>
        <v>setlist</v>
      </c>
      <c r="D24" s="288" t="s">
        <v>2457</v>
      </c>
      <c r="E24" s="288" t="s">
        <v>2458</v>
      </c>
      <c r="F24" s="195" t="s">
        <v>203</v>
      </c>
      <c r="G24" s="195" t="s">
        <v>36</v>
      </c>
      <c r="H24" s="105" t="str">
        <f>HYPERLINK("https://www.mediafire.com/file/t1i4gzf6efw8nvd/2021-09-03_-_D%2Ack%2527s_Sporting_Goods_Park_-_Commerce_City%252C_CO.rar/file", "download link")</f>
        <v>download link</v>
      </c>
      <c r="I24" s="288" t="s">
        <v>2704</v>
      </c>
      <c r="J24" s="289"/>
    </row>
    <row r="25">
      <c r="A25" s="336">
        <v>44443.0</v>
      </c>
      <c r="B25" s="156"/>
      <c r="C25" s="116" t="str">
        <f>HYPERLINK("http://phish.net/setlists/?d="&amp;RIGHT(TEXT(A8,"mm/dd/yyyy"),4)&amp;"-"&amp;LEFT(TEXT(A8,"mm/dd/yyyy"),2)&amp;"-"&amp;MID(TEXT(A8,"mm/dd/yyyy"),4,2), "setlist")</f>
        <v>setlist</v>
      </c>
      <c r="D25" s="291" t="s">
        <v>2457</v>
      </c>
      <c r="E25" s="291" t="s">
        <v>2458</v>
      </c>
      <c r="F25" s="196" t="s">
        <v>203</v>
      </c>
      <c r="G25" s="196" t="s">
        <v>36</v>
      </c>
      <c r="H25" s="116" t="str">
        <f>HYPERLINK("https://www.mediafire.com/file/ujtwzmtvxfbeewt/2021-09-04_-_D%2Ack%2527s_Sporting_Goods_Park_-_Commerce_City%252C_CO.rar/file", "download link")</f>
        <v>download link</v>
      </c>
      <c r="I25" s="291" t="s">
        <v>2704</v>
      </c>
      <c r="J25" s="292"/>
    </row>
    <row r="26">
      <c r="A26" s="335">
        <v>44444.0</v>
      </c>
      <c r="B26" s="131"/>
      <c r="C26" s="105" t="str">
        <f>HYPERLINK("http://phish.net/setlists/?d="&amp;RIGHT(TEXT(A8,"mm/dd/yyyy"),4)&amp;"-"&amp;LEFT(TEXT(A8,"mm/dd/yyyy"),2)&amp;"-"&amp;MID(TEXT(A8,"mm/dd/yyyy"),4,2), "setlist")</f>
        <v>setlist</v>
      </c>
      <c r="D26" s="288" t="s">
        <v>2457</v>
      </c>
      <c r="E26" s="288" t="s">
        <v>2458</v>
      </c>
      <c r="F26" s="195" t="s">
        <v>203</v>
      </c>
      <c r="G26" s="195" t="s">
        <v>36</v>
      </c>
      <c r="H26" s="105" t="str">
        <f>HYPERLINK("https://www.mediafire.com/file/4vlz0d2lyy49ddy/2021-09-05_-_D%2Ack%2527s_Sporting_Goods_Park_-_Commerce_City%252C_CO.rar/file", "download link")</f>
        <v>download link</v>
      </c>
      <c r="I26" s="288" t="s">
        <v>2704</v>
      </c>
      <c r="J26" s="288" t="s">
        <v>287</v>
      </c>
    </row>
    <row r="27">
      <c r="A27" s="92"/>
      <c r="B27" s="93"/>
      <c r="C27" s="93"/>
      <c r="D27" s="264" t="s">
        <v>2733</v>
      </c>
      <c r="E27" s="238"/>
      <c r="F27" s="93"/>
      <c r="G27" s="93"/>
      <c r="H27" s="164"/>
      <c r="I27" s="238"/>
      <c r="J27" s="238"/>
    </row>
    <row r="28">
      <c r="A28" s="336">
        <v>44484.0</v>
      </c>
      <c r="B28" s="156"/>
      <c r="C28" s="116" t="str">
        <f>HYPERLINK("http://phish.net/setlists/?d="&amp;RIGHT(TEXT(A8,"mm/dd/yyyy"),4)&amp;"-"&amp;LEFT(TEXT(A8,"mm/dd/yyyy"),2)&amp;"-"&amp;MID(TEXT(A8,"mm/dd/yyyy"),4,2), "setlist")</f>
        <v>setlist</v>
      </c>
      <c r="D28" s="291" t="s">
        <v>2734</v>
      </c>
      <c r="E28" s="291" t="s">
        <v>1056</v>
      </c>
      <c r="F28" s="196" t="s">
        <v>679</v>
      </c>
      <c r="G28" s="196" t="s">
        <v>36</v>
      </c>
      <c r="H28" s="116" t="str">
        <f>HYPERLINK("https://www.mediafire.com/file/skqk3qrnvn5l7f4/2021-10-15_-_Golden_1_Center_-_Sacramento%252C_CA.rar/file", "download link")</f>
        <v>download link</v>
      </c>
      <c r="I28" s="291" t="s">
        <v>2661</v>
      </c>
      <c r="J28" s="291"/>
    </row>
    <row r="29">
      <c r="A29" s="335">
        <v>44485.0</v>
      </c>
      <c r="B29" s="131"/>
      <c r="C29" s="105" t="str">
        <f>HYPERLINK("http://phish.net/setlists/?d="&amp;RIGHT(TEXT(A8,"mm/dd/yyyy"),4)&amp;"-"&amp;LEFT(TEXT(A8,"mm/dd/yyyy"),2)&amp;"-"&amp;MID(TEXT(A8,"mm/dd/yyyy"),4,2), "setlist")</f>
        <v>setlist</v>
      </c>
      <c r="D29" s="288" t="s">
        <v>2735</v>
      </c>
      <c r="E29" s="288" t="s">
        <v>683</v>
      </c>
      <c r="F29" s="195" t="s">
        <v>679</v>
      </c>
      <c r="G29" s="195" t="s">
        <v>36</v>
      </c>
      <c r="H29" s="105" t="str">
        <f>HYPERLINK("https://www.mediafire.com/file/aq9pq2ck92emzet/2021-10-16_-_Chase_Center_-_San_Francisco%252C_CA.rar/file", "download link")</f>
        <v>download link</v>
      </c>
      <c r="I29" s="288" t="s">
        <v>2736</v>
      </c>
      <c r="J29" s="288"/>
    </row>
    <row r="30">
      <c r="A30" s="336">
        <v>44486.0</v>
      </c>
      <c r="B30" s="156"/>
      <c r="C30" s="116" t="str">
        <f>HYPERLINK("http://phish.net/setlists/?d="&amp;RIGHT(TEXT(A8,"mm/dd/yyyy"),4)&amp;"-"&amp;LEFT(TEXT(A8,"mm/dd/yyyy"),2)&amp;"-"&amp;MID(TEXT(A8,"mm/dd/yyyy"),4,2), "setlist")</f>
        <v>setlist</v>
      </c>
      <c r="D30" s="291" t="s">
        <v>2735</v>
      </c>
      <c r="E30" s="291" t="s">
        <v>683</v>
      </c>
      <c r="F30" s="196" t="s">
        <v>679</v>
      </c>
      <c r="G30" s="196" t="s">
        <v>36</v>
      </c>
      <c r="H30" s="116" t="str">
        <f>HYPERLINK("https://www.mediafire.com/file/xb505k1if3isygg/2021-10-17_-_Chase_Center_-_San_Francisco%252C_CA.rar/file", "download link")</f>
        <v>download link</v>
      </c>
      <c r="I30" s="291" t="s">
        <v>2661</v>
      </c>
      <c r="J30" s="291"/>
    </row>
    <row r="31">
      <c r="A31" s="335">
        <v>44488.0</v>
      </c>
      <c r="B31" s="131"/>
      <c r="C31" s="105" t="str">
        <f>HYPERLINK("http://phish.net/setlists/?d="&amp;RIGHT(TEXT(A8,"mm/dd/yyyy"),4)&amp;"-"&amp;LEFT(TEXT(A8,"mm/dd/yyyy"),2)&amp;"-"&amp;MID(TEXT(A8,"mm/dd/yyyy"),4,2), "setlist")</f>
        <v>setlist</v>
      </c>
      <c r="D31" s="288" t="s">
        <v>2556</v>
      </c>
      <c r="E31" s="288" t="s">
        <v>695</v>
      </c>
      <c r="F31" s="195" t="s">
        <v>692</v>
      </c>
      <c r="G31" s="195" t="s">
        <v>36</v>
      </c>
      <c r="H31" s="105" t="str">
        <f>HYPERLINK("https://www.mediafire.com/file/m28kkhjp91b6y80/2021-10-19_-_Matthew_Knight_Arena_-_Eugene%252C_OR.rar/file", "download link")</f>
        <v>download link</v>
      </c>
      <c r="I31" s="288" t="s">
        <v>2690</v>
      </c>
      <c r="J31" s="288"/>
    </row>
    <row r="32">
      <c r="A32" s="336">
        <v>44489.0</v>
      </c>
      <c r="B32" s="156"/>
      <c r="C32" s="116" t="str">
        <f>HYPERLINK("http://phish.net/setlists/?d="&amp;RIGHT(TEXT(A8,"mm/dd/yyyy"),4)&amp;"-"&amp;LEFT(TEXT(A8,"mm/dd/yyyy"),2)&amp;"-"&amp;MID(TEXT(A8,"mm/dd/yyyy"),4,2), "setlist")</f>
        <v>setlist</v>
      </c>
      <c r="D32" s="291" t="s">
        <v>2556</v>
      </c>
      <c r="E32" s="291" t="s">
        <v>695</v>
      </c>
      <c r="F32" s="196" t="s">
        <v>692</v>
      </c>
      <c r="G32" s="196" t="s">
        <v>36</v>
      </c>
      <c r="H32" s="116" t="str">
        <f>HYPERLINK("https://www.mediafire.com/file/4x2ch2u9ep17u7t/2021-10-20_-_Matthew_Knight_Arena_-_Eugene%252C_OR.rar/file", "download link")</f>
        <v>download link</v>
      </c>
      <c r="I32" s="291" t="s">
        <v>2660</v>
      </c>
      <c r="J32" s="291"/>
    </row>
    <row r="33">
      <c r="A33" s="335">
        <v>44491.0</v>
      </c>
      <c r="B33" s="131"/>
      <c r="C33" s="105" t="str">
        <f>HYPERLINK("http://phish.net/setlists/?d="&amp;RIGHT(TEXT(A8,"mm/dd/yyyy"),4)&amp;"-"&amp;LEFT(TEXT(A8,"mm/dd/yyyy"),2)&amp;"-"&amp;MID(TEXT(A8,"mm/dd/yyyy"),4,2), "setlist")</f>
        <v>setlist</v>
      </c>
      <c r="D33" s="288" t="s">
        <v>2737</v>
      </c>
      <c r="E33" s="288" t="s">
        <v>1160</v>
      </c>
      <c r="F33" s="195" t="s">
        <v>805</v>
      </c>
      <c r="G33" s="195" t="s">
        <v>36</v>
      </c>
      <c r="H33" s="105" t="str">
        <f>HYPERLINK("https://www.mediafire.com/file/btjb71s2l5qxqrl/2021-10-22_-_Ak-Chin_Pavilion_-_Phoenix%252C_AZ.rar/file", "download link")</f>
        <v>download link</v>
      </c>
      <c r="I33" s="288" t="s">
        <v>2738</v>
      </c>
      <c r="J33" s="288"/>
    </row>
    <row r="34">
      <c r="A34" s="336">
        <v>44492.0</v>
      </c>
      <c r="B34" s="156"/>
      <c r="C34" s="116" t="str">
        <f>HYPERLINK("http://phish.net/setlists/?d="&amp;RIGHT(TEXT(A8,"mm/dd/yyyy"),4)&amp;"-"&amp;LEFT(TEXT(A8,"mm/dd/yyyy"),2)&amp;"-"&amp;MID(TEXT(A8,"mm/dd/yyyy"),4,2), "setlist")</f>
        <v>setlist</v>
      </c>
      <c r="D34" s="291" t="s">
        <v>2739</v>
      </c>
      <c r="E34" s="291" t="s">
        <v>2102</v>
      </c>
      <c r="F34" s="196" t="s">
        <v>679</v>
      </c>
      <c r="G34" s="196" t="s">
        <v>36</v>
      </c>
      <c r="H34" s="116" t="str">
        <f>HYPERLINK("https://www.mediafire.com/file/hd6c0151jmsa4ah/2021-10-23_-_North_Island_Credit_Union_Amphitheatre_-_Chula_Vista%252C_CA.rar/file", "download link")</f>
        <v>download link</v>
      </c>
      <c r="I34" s="291" t="s">
        <v>2740</v>
      </c>
      <c r="J34" s="291"/>
    </row>
    <row r="35">
      <c r="A35" s="335">
        <v>44493.0</v>
      </c>
      <c r="B35" s="131"/>
      <c r="C35" s="105" t="str">
        <f>HYPERLINK("http://phish.net/setlists/?d="&amp;RIGHT(TEXT(A8,"mm/dd/yyyy"),4)&amp;"-"&amp;LEFT(TEXT(A8,"mm/dd/yyyy"),2)&amp;"-"&amp;MID(TEXT(A8,"mm/dd/yyyy"),4,2), "setlist")</f>
        <v>setlist</v>
      </c>
      <c r="D35" s="288" t="s">
        <v>1724</v>
      </c>
      <c r="E35" s="288" t="s">
        <v>2232</v>
      </c>
      <c r="F35" s="195" t="s">
        <v>679</v>
      </c>
      <c r="G35" s="195" t="s">
        <v>36</v>
      </c>
      <c r="H35" s="105" t="str">
        <f>HYPERLINK("https://www.mediafire.com/file/1e80fuwig1i03po/2021-10-24_-_The_Forum_-_Inglewood%252C_CA.rar/file", "download link")</f>
        <v>download link</v>
      </c>
      <c r="I35" s="288" t="s">
        <v>2727</v>
      </c>
      <c r="J35" s="288"/>
    </row>
    <row r="36">
      <c r="A36" s="336">
        <v>44495.0</v>
      </c>
      <c r="B36" s="156"/>
      <c r="C36" s="116" t="str">
        <f>HYPERLINK("http://phish.net/setlists/?d="&amp;RIGHT(TEXT(A8,"mm/dd/yyyy"),4)&amp;"-"&amp;LEFT(TEXT(A8,"mm/dd/yyyy"),2)&amp;"-"&amp;MID(TEXT(A8,"mm/dd/yyyy"),4,2), "setlist")</f>
        <v>setlist</v>
      </c>
      <c r="D36" s="291" t="s">
        <v>2741</v>
      </c>
      <c r="E36" s="291" t="s">
        <v>913</v>
      </c>
      <c r="F36" s="196" t="s">
        <v>679</v>
      </c>
      <c r="G36" s="196" t="s">
        <v>36</v>
      </c>
      <c r="H36" s="116" t="str">
        <f>HYPERLINK("https://www.mediafire.com/file/u0qa0hzvg25avgl/2021-10-26_-_Santa_Barbara_Bowl_-_Santa_Barbara%252C_CA.rar/file", "download link")</f>
        <v>download link</v>
      </c>
      <c r="I36" s="291" t="s">
        <v>2740</v>
      </c>
      <c r="J36" s="291"/>
    </row>
    <row r="37">
      <c r="A37" s="335">
        <v>44497.0</v>
      </c>
      <c r="B37" s="131"/>
      <c r="C37" s="105" t="str">
        <f>HYPERLINK("http://phish.net/setlists/?d="&amp;RIGHT(TEXT(A8,"mm/dd/yyyy"),4)&amp;"-"&amp;LEFT(TEXT(A8,"mm/dd/yyyy"),2)&amp;"-"&amp;MID(TEXT(A8,"mm/dd/yyyy"),4,2), "setlist")</f>
        <v>setlist</v>
      </c>
      <c r="D37" s="288" t="s">
        <v>2562</v>
      </c>
      <c r="E37" s="288" t="s">
        <v>1804</v>
      </c>
      <c r="F37" s="195" t="s">
        <v>1805</v>
      </c>
      <c r="G37" s="195" t="s">
        <v>36</v>
      </c>
      <c r="H37" s="105" t="str">
        <f>HYPERLINK("https://www.mediafire.com/file/bsr0qp6jw99a72r/2021-10-28_-_MGM_Grand_Garden_Arena_-_Las_Vegas%252C_NV.rar/file", "download link")</f>
        <v>download link</v>
      </c>
      <c r="I37" s="288" t="s">
        <v>2742</v>
      </c>
      <c r="J37" s="288"/>
    </row>
    <row r="38">
      <c r="A38" s="336">
        <v>44498.0</v>
      </c>
      <c r="B38" s="156"/>
      <c r="C38" s="116" t="str">
        <f>HYPERLINK("http://phish.net/setlists/?d="&amp;RIGHT(TEXT(A8,"mm/dd/yyyy"),4)&amp;"-"&amp;LEFT(TEXT(A8,"mm/dd/yyyy"),2)&amp;"-"&amp;MID(TEXT(A8,"mm/dd/yyyy"),4,2), "setlist")</f>
        <v>setlist</v>
      </c>
      <c r="D38" s="291" t="s">
        <v>2562</v>
      </c>
      <c r="E38" s="291" t="s">
        <v>1804</v>
      </c>
      <c r="F38" s="196" t="s">
        <v>1805</v>
      </c>
      <c r="G38" s="196" t="s">
        <v>36</v>
      </c>
      <c r="H38" s="116" t="str">
        <f>HYPERLINK("https://www.mediafire.com/file/ejh3w5xeyqs1as6/2021-10-29_-_MGM_Grand_Garden_Arena_-_Las_Vegas%252C_NV.rar/file", "download link")</f>
        <v>download link</v>
      </c>
      <c r="I38" s="291" t="s">
        <v>2727</v>
      </c>
      <c r="J38" s="291"/>
    </row>
    <row r="39">
      <c r="A39" s="335">
        <v>44499.0</v>
      </c>
      <c r="B39" s="131"/>
      <c r="C39" s="105" t="str">
        <f>HYPERLINK("http://phish.net/setlists/?d="&amp;RIGHT(TEXT(A8,"mm/dd/yyyy"),4)&amp;"-"&amp;LEFT(TEXT(A8,"mm/dd/yyyy"),2)&amp;"-"&amp;MID(TEXT(A8,"mm/dd/yyyy"),4,2), "setlist")</f>
        <v>setlist</v>
      </c>
      <c r="D39" s="288" t="s">
        <v>2562</v>
      </c>
      <c r="E39" s="288" t="s">
        <v>1804</v>
      </c>
      <c r="F39" s="195" t="s">
        <v>1805</v>
      </c>
      <c r="G39" s="195" t="s">
        <v>36</v>
      </c>
      <c r="H39" s="105" t="str">
        <f>HYPERLINK("https://www.mediafire.com/file/x2dd0q269t8pvks/2021-10-30_-_MGM_Grand_Garden_Arena_-_Las_Vegas%252C_NV.rar/file", "download link")</f>
        <v>download link</v>
      </c>
      <c r="I39" s="288" t="s">
        <v>2727</v>
      </c>
      <c r="J39" s="288"/>
    </row>
    <row r="40">
      <c r="A40" s="336">
        <v>44500.0</v>
      </c>
      <c r="B40" s="156"/>
      <c r="C40" s="116" t="str">
        <f>HYPERLINK("http://phish.net/setlists/?d="&amp;RIGHT(TEXT(A8,"mm/dd/yyyy"),4)&amp;"-"&amp;LEFT(TEXT(A8,"mm/dd/yyyy"),2)&amp;"-"&amp;MID(TEXT(A8,"mm/dd/yyyy"),4,2), "setlist")</f>
        <v>setlist</v>
      </c>
      <c r="D40" s="291" t="s">
        <v>2562</v>
      </c>
      <c r="E40" s="291" t="s">
        <v>1804</v>
      </c>
      <c r="F40" s="196" t="s">
        <v>1805</v>
      </c>
      <c r="G40" s="196" t="s">
        <v>36</v>
      </c>
      <c r="H40" s="116" t="str">
        <f>HYPERLINK("https://www.mediafire.com/file/9p2vnj0xv3gi3v4/2021-10-31_-_MGM_Grand_Garden_Arena_-_Las_Vegas%252C_NV.rar/file", "download link")</f>
        <v>download link</v>
      </c>
      <c r="I40" s="291" t="s">
        <v>2727</v>
      </c>
      <c r="J40" s="291"/>
    </row>
    <row r="41">
      <c r="A41" s="92"/>
      <c r="B41" s="93"/>
      <c r="C41" s="93"/>
      <c r="D41" s="264" t="s">
        <v>2743</v>
      </c>
      <c r="E41" s="238"/>
      <c r="F41" s="93"/>
      <c r="G41" s="93"/>
      <c r="H41" s="164"/>
      <c r="I41" s="238"/>
      <c r="J41" s="238"/>
    </row>
    <row r="42">
      <c r="A42" s="336">
        <v>44561.0</v>
      </c>
      <c r="B42" s="156"/>
      <c r="C42" s="116" t="str">
        <f>HYPERLINK("http://phish.net/setlists/?d="&amp;RIGHT(TEXT(A8,"mm/dd/yyyy"),4)&amp;"-"&amp;LEFT(TEXT(A8,"mm/dd/yyyy"),2)&amp;"-"&amp;MID(TEXT(A8,"mm/dd/yyyy"),4,2), "setlist")</f>
        <v>setlist</v>
      </c>
      <c r="D42" s="291" t="s">
        <v>2744</v>
      </c>
      <c r="E42" s="291" t="s">
        <v>2745</v>
      </c>
      <c r="F42" s="196" t="s">
        <v>212</v>
      </c>
      <c r="G42" s="196" t="s">
        <v>36</v>
      </c>
      <c r="H42" s="197"/>
      <c r="I42" s="291"/>
      <c r="J42" s="291"/>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63"/>
  </cols>
  <sheetData>
    <row r="1">
      <c r="A1" s="309" t="s">
        <v>2467</v>
      </c>
      <c r="B1" s="81"/>
      <c r="C1" s="78"/>
      <c r="D1" s="82"/>
      <c r="E1" s="82"/>
      <c r="F1" s="81"/>
      <c r="G1" s="81"/>
      <c r="H1" s="293"/>
      <c r="I1" s="237"/>
      <c r="J1" s="237"/>
    </row>
    <row r="2">
      <c r="A2" s="83" t="s">
        <v>22</v>
      </c>
      <c r="B2" s="60" t="s">
        <v>23</v>
      </c>
      <c r="C2" s="60" t="s">
        <v>24</v>
      </c>
      <c r="D2" s="254" t="s">
        <v>25</v>
      </c>
      <c r="E2" s="254" t="s">
        <v>26</v>
      </c>
      <c r="F2" s="60" t="s">
        <v>27</v>
      </c>
      <c r="G2" s="60" t="s">
        <v>28</v>
      </c>
      <c r="H2" s="60" t="s">
        <v>29</v>
      </c>
      <c r="I2" s="264" t="s">
        <v>30</v>
      </c>
      <c r="J2" s="264" t="s">
        <v>31</v>
      </c>
    </row>
    <row r="3">
      <c r="A3" s="324"/>
      <c r="B3" s="126"/>
      <c r="C3" s="126"/>
      <c r="D3" s="265"/>
      <c r="E3" s="265"/>
      <c r="F3" s="126"/>
      <c r="G3" s="126"/>
      <c r="H3" s="180"/>
      <c r="I3" s="265"/>
      <c r="J3" s="265"/>
    </row>
    <row r="4">
      <c r="A4" s="92"/>
      <c r="B4" s="93"/>
      <c r="C4" s="93"/>
      <c r="D4" s="264" t="s">
        <v>2746</v>
      </c>
      <c r="E4" s="238"/>
      <c r="F4" s="93"/>
      <c r="G4" s="93"/>
      <c r="H4" s="164"/>
      <c r="I4" s="238"/>
      <c r="J4" s="238"/>
    </row>
    <row r="5">
      <c r="A5" s="336">
        <v>44615.0</v>
      </c>
      <c r="B5" s="156"/>
      <c r="C5" s="116" t="str">
        <f t="shared" ref="C5:C6" si="1">HYPERLINK("http://phish.net/setlists/?d="&amp;RIGHT(TEXT(A5,"mm/dd/yyyy"),4)&amp;"-"&amp;LEFT(TEXT(A5,"mm/dd/yyyy"),2)&amp;"-"&amp;MID(TEXT(A5,"mm/dd/yyyy"),4,2), "setlist")</f>
        <v>setlist</v>
      </c>
      <c r="D5" s="291" t="s">
        <v>2747</v>
      </c>
      <c r="E5" s="291" t="s">
        <v>2718</v>
      </c>
      <c r="F5" s="196" t="s">
        <v>2603</v>
      </c>
      <c r="G5" s="196" t="s">
        <v>36</v>
      </c>
      <c r="H5" s="116" t="str">
        <f>HYPERLINK("https://www.mediafire.com/file/vvxd6nzrmfyvzkh/2022-02-23_-_Moon_Palace_-_Soundcheck_-_Cancun%252C_Quintana_Roo%252C_Mexico.rar/file", "download link")</f>
        <v>download link</v>
      </c>
      <c r="I5" s="291" t="s">
        <v>2748</v>
      </c>
      <c r="J5" s="291" t="s">
        <v>2749</v>
      </c>
    </row>
    <row r="6">
      <c r="A6" s="335">
        <v>44616.0</v>
      </c>
      <c r="B6" s="131"/>
      <c r="C6" s="105" t="str">
        <f t="shared" si="1"/>
        <v>setlist</v>
      </c>
      <c r="D6" s="288" t="s">
        <v>2717</v>
      </c>
      <c r="E6" s="288" t="s">
        <v>2718</v>
      </c>
      <c r="F6" s="195" t="s">
        <v>2603</v>
      </c>
      <c r="G6" s="195" t="s">
        <v>36</v>
      </c>
      <c r="H6" s="105" t="str">
        <f>HYPERLINK("https://www.mediafire.com/file/wanjw1m5ocsa06z/2022-02-24_-_Moon_Palace_-_Cancun%252C_Quintana_Roo%252C_Mexico.rar/file", "download link")</f>
        <v>download link</v>
      </c>
      <c r="I6" s="288" t="s">
        <v>2750</v>
      </c>
      <c r="J6" s="289"/>
    </row>
    <row r="7">
      <c r="A7" s="336">
        <v>44617.0</v>
      </c>
      <c r="B7" s="156"/>
      <c r="C7" s="116" t="str">
        <f t="shared" ref="C7:C8" si="2">HYPERLINK("http://phish.net/setlists/?d="&amp;RIGHT(TEXT(A7,"mm/dd/yyyy"),4)&amp;"-"&amp;LEFT(TEXT(A7,"mm/dd/yyyy"),2)&amp;"-"&amp;MID(TEXT(A7,"mm/dd/yyyy"),4,2), "setlist")</f>
        <v>setlist</v>
      </c>
      <c r="D7" s="291" t="s">
        <v>2717</v>
      </c>
      <c r="E7" s="291" t="s">
        <v>2718</v>
      </c>
      <c r="F7" s="196" t="s">
        <v>2603</v>
      </c>
      <c r="G7" s="196" t="s">
        <v>36</v>
      </c>
      <c r="H7" s="116" t="str">
        <f>HYPERLINK("https://www.mediafire.com/file/7k53w51id880r2r/2022-02-25_-_Moon_Palace_-_Cancun%252C_Quintana_Roo%252C_Mexico.rar/file", "download link")</f>
        <v>download link</v>
      </c>
      <c r="I7" s="291" t="s">
        <v>2750</v>
      </c>
      <c r="J7" s="292"/>
    </row>
    <row r="8">
      <c r="A8" s="335">
        <v>44618.0</v>
      </c>
      <c r="B8" s="131"/>
      <c r="C8" s="105" t="str">
        <f t="shared" si="2"/>
        <v>setlist</v>
      </c>
      <c r="D8" s="288" t="s">
        <v>2717</v>
      </c>
      <c r="E8" s="288" t="s">
        <v>2718</v>
      </c>
      <c r="F8" s="195" t="s">
        <v>2603</v>
      </c>
      <c r="G8" s="195" t="s">
        <v>36</v>
      </c>
      <c r="H8" s="105" t="str">
        <f>HYPERLINK("https://www.mediafire.com/file/vi28uy3y5acxlvx/2022-02-26_-_Moon_Palace_-_Cancun%252C_Quintana_Roo%252C_Mexico.rar/file", "download link")</f>
        <v>download link</v>
      </c>
      <c r="I8" s="288" t="s">
        <v>2750</v>
      </c>
      <c r="J8" s="289"/>
    </row>
    <row r="9">
      <c r="A9" s="336">
        <v>44619.0</v>
      </c>
      <c r="B9" s="156"/>
      <c r="C9" s="116" t="str">
        <f>HYPERLINK("http://phish.net/setlists/?d="&amp;RIGHT(TEXT(A9,"mm/dd/yyyy"),4)&amp;"-"&amp;LEFT(TEXT(A9,"mm/dd/yyyy"),2)&amp;"-"&amp;MID(TEXT(A9,"mm/dd/yyyy"),4,2), "setlist")</f>
        <v>setlist</v>
      </c>
      <c r="D9" s="291" t="s">
        <v>2717</v>
      </c>
      <c r="E9" s="291" t="s">
        <v>2718</v>
      </c>
      <c r="F9" s="196" t="s">
        <v>2603</v>
      </c>
      <c r="G9" s="196" t="s">
        <v>36</v>
      </c>
      <c r="H9" s="116" t="str">
        <f>HYPERLINK("https://www.mediafire.com/file/6khxhvasu5osf5d/2022-02-27_-_Moon_Palace_-_Cancun%252C_Quintana_Roo%252C_Mexico.rar/file", "download link")</f>
        <v>download link</v>
      </c>
      <c r="I9" s="291" t="s">
        <v>2750</v>
      </c>
      <c r="J9" s="292"/>
    </row>
    <row r="10">
      <c r="A10" s="92"/>
      <c r="B10" s="93"/>
      <c r="C10" s="93"/>
      <c r="D10" s="264" t="s">
        <v>2751</v>
      </c>
      <c r="E10" s="238"/>
      <c r="F10" s="93"/>
      <c r="G10" s="93"/>
      <c r="H10" s="164"/>
      <c r="I10" s="238"/>
      <c r="J10" s="238"/>
    </row>
    <row r="11">
      <c r="A11" s="336">
        <v>44671.0</v>
      </c>
      <c r="B11" s="156"/>
      <c r="C11" s="116" t="str">
        <f>HYPERLINK("http://phish.net/setlists/?d="&amp;RIGHT(TEXT(A6,"mm/dd/yyyy"),4)&amp;"-"&amp;LEFT(TEXT(A6,"mm/dd/yyyy"),2)&amp;"-"&amp;MID(TEXT(A6,"mm/dd/yyyy"),4,2), "setlist")</f>
        <v>setlist</v>
      </c>
      <c r="D11" s="291" t="s">
        <v>1553</v>
      </c>
      <c r="E11" s="291" t="s">
        <v>162</v>
      </c>
      <c r="F11" s="196" t="s">
        <v>129</v>
      </c>
      <c r="G11" s="196" t="s">
        <v>36</v>
      </c>
      <c r="H11" s="116" t="str">
        <f>HYPERLINK("https://www.mediafire.com/file/1792tnlt1vv9pd7/2022-04-20_-_Madison_Square_Garden_-_New_York%252C_NY.rar/file", "download link")</f>
        <v>download link</v>
      </c>
      <c r="I11" s="291" t="s">
        <v>2690</v>
      </c>
      <c r="J11" s="292"/>
    </row>
    <row r="12">
      <c r="A12" s="335">
        <v>44672.0</v>
      </c>
      <c r="B12" s="131"/>
      <c r="C12" s="105" t="str">
        <f>HYPERLINK("http://phish.net/setlists/?d="&amp;RIGHT(TEXT(A6,"mm/dd/yyyy"),4)&amp;"-"&amp;LEFT(TEXT(A6,"mm/dd/yyyy"),2)&amp;"-"&amp;MID(TEXT(A6,"mm/dd/yyyy"),4,2), "setlist")</f>
        <v>setlist</v>
      </c>
      <c r="D12" s="288" t="s">
        <v>1553</v>
      </c>
      <c r="E12" s="288" t="s">
        <v>162</v>
      </c>
      <c r="F12" s="195" t="s">
        <v>129</v>
      </c>
      <c r="G12" s="195" t="s">
        <v>36</v>
      </c>
      <c r="H12" s="105" t="str">
        <f>HYPERLINK("https://www.mediafire.com/file/l9npx8fqx4b62mc/2022-04-21_-_Madison_Square_Garden_-_New_York%252C_NY.rar/file", "download link")</f>
        <v>download link</v>
      </c>
      <c r="I12" s="288" t="s">
        <v>2752</v>
      </c>
      <c r="J12" s="289"/>
    </row>
    <row r="13">
      <c r="A13" s="336">
        <v>44673.0</v>
      </c>
      <c r="B13" s="156"/>
      <c r="C13" s="116" t="str">
        <f>HYPERLINK("http://phish.net/setlists/?d="&amp;RIGHT(TEXT(A6,"mm/dd/yyyy"),4)&amp;"-"&amp;LEFT(TEXT(A6,"mm/dd/yyyy"),2)&amp;"-"&amp;MID(TEXT(A6,"mm/dd/yyyy"),4,2), "setlist")</f>
        <v>setlist</v>
      </c>
      <c r="D13" s="291" t="s">
        <v>1553</v>
      </c>
      <c r="E13" s="291" t="s">
        <v>162</v>
      </c>
      <c r="F13" s="196" t="s">
        <v>129</v>
      </c>
      <c r="G13" s="196" t="s">
        <v>36</v>
      </c>
      <c r="H13" s="116" t="str">
        <f>HYPERLINK("https://www.mediafire.com/file/k1wlj9pp9foj7fa/2022-04-22_-_Madison_Square_Garden_-_New_York%252C_NY.rar/file", "download link")</f>
        <v>download link</v>
      </c>
      <c r="I13" s="291" t="s">
        <v>2753</v>
      </c>
      <c r="J13" s="292"/>
    </row>
    <row r="14">
      <c r="A14" s="335">
        <v>44674.0</v>
      </c>
      <c r="B14" s="131"/>
      <c r="C14" s="105" t="str">
        <f>HYPERLINK("http://phish.net/setlists/?d="&amp;RIGHT(TEXT(A6,"mm/dd/yyyy"),4)&amp;"-"&amp;LEFT(TEXT(A6,"mm/dd/yyyy"),2)&amp;"-"&amp;MID(TEXT(A6,"mm/dd/yyyy"),4,2), "setlist")</f>
        <v>setlist</v>
      </c>
      <c r="D14" s="288" t="s">
        <v>1553</v>
      </c>
      <c r="E14" s="288" t="s">
        <v>162</v>
      </c>
      <c r="F14" s="195" t="s">
        <v>129</v>
      </c>
      <c r="G14" s="195" t="s">
        <v>36</v>
      </c>
      <c r="H14" s="105" t="str">
        <f>HYPERLINK("https://www.mediafire.com/file/49k5jiup8tv1289/2022-04-23_-_Madison_Square_Garden_-_New_York%252C_NY.rar/file", "download link")</f>
        <v>download link</v>
      </c>
      <c r="I14" s="288" t="s">
        <v>2754</v>
      </c>
      <c r="J14" s="289"/>
    </row>
    <row r="15">
      <c r="A15" s="92"/>
      <c r="B15" s="93"/>
      <c r="C15" s="93"/>
      <c r="D15" s="264" t="s">
        <v>2755</v>
      </c>
      <c r="E15" s="238"/>
      <c r="F15" s="93"/>
      <c r="G15" s="93"/>
      <c r="H15" s="164"/>
      <c r="I15" s="238"/>
      <c r="J15" s="238"/>
    </row>
    <row r="16">
      <c r="A16" s="336">
        <v>44708.0</v>
      </c>
      <c r="B16" s="156"/>
      <c r="C16" s="116" t="str">
        <f>HYPERLINK("http://phish.net/setlists/?d="&amp;RIGHT(TEXT(A6,"mm/dd/yyyy"),4)&amp;"-"&amp;LEFT(TEXT(A6,"mm/dd/yyyy"),2)&amp;"-"&amp;MID(TEXT(A6,"mm/dd/yyyy"),4,2), "setlist")</f>
        <v>setlist</v>
      </c>
      <c r="D16" s="291" t="s">
        <v>2756</v>
      </c>
      <c r="E16" s="291" t="s">
        <v>2549</v>
      </c>
      <c r="F16" s="196" t="s">
        <v>583</v>
      </c>
      <c r="G16" s="196" t="s">
        <v>36</v>
      </c>
      <c r="H16" s="116" t="str">
        <f>HYPERLINK("https://www.mediafire.com/file/35lskks9tpc349e/2022-05-27_-_The_Wharf_Amphitheater_-_Orange_Beach%252C_AL.rar/file", "download link")</f>
        <v>download link</v>
      </c>
      <c r="I16" s="291" t="s">
        <v>2736</v>
      </c>
      <c r="J16" s="291" t="s">
        <v>287</v>
      </c>
    </row>
    <row r="17">
      <c r="A17" s="335">
        <v>44709.0</v>
      </c>
      <c r="B17" s="131"/>
      <c r="C17" s="105" t="str">
        <f>HYPERLINK("http://phish.net/setlists/?d="&amp;RIGHT(TEXT(A6,"mm/dd/yyyy"),4)&amp;"-"&amp;LEFT(TEXT(A6,"mm/dd/yyyy"),2)&amp;"-"&amp;MID(TEXT(A6,"mm/dd/yyyy"),4,2), "setlist")</f>
        <v>setlist</v>
      </c>
      <c r="D17" s="288" t="s">
        <v>2756</v>
      </c>
      <c r="E17" s="288" t="s">
        <v>2549</v>
      </c>
      <c r="F17" s="195" t="s">
        <v>583</v>
      </c>
      <c r="G17" s="195" t="s">
        <v>36</v>
      </c>
      <c r="H17" s="105" t="str">
        <f>HYPERLINK("https://www.mediafire.com/file/l21ptcj4zwn16vr/2022-05-28_-_The_Wharf_Amphitheater_-_Orange_Beach%252C_AL.rar/file", "download link")</f>
        <v>download link</v>
      </c>
      <c r="I17" s="288" t="s">
        <v>2757</v>
      </c>
      <c r="J17" s="288" t="s">
        <v>287</v>
      </c>
    </row>
    <row r="18">
      <c r="A18" s="336">
        <v>44710.0</v>
      </c>
      <c r="B18" s="156"/>
      <c r="C18" s="116" t="str">
        <f>HYPERLINK("http://phish.net/setlists/?d="&amp;RIGHT(TEXT(A6,"mm/dd/yyyy"),4)&amp;"-"&amp;LEFT(TEXT(A6,"mm/dd/yyyy"),2)&amp;"-"&amp;MID(TEXT(A6,"mm/dd/yyyy"),4,2), "setlist")</f>
        <v>setlist</v>
      </c>
      <c r="D18" s="291" t="s">
        <v>2756</v>
      </c>
      <c r="E18" s="291" t="s">
        <v>2549</v>
      </c>
      <c r="F18" s="196" t="s">
        <v>583</v>
      </c>
      <c r="G18" s="196" t="s">
        <v>36</v>
      </c>
      <c r="H18" s="116" t="str">
        <f>HYPERLINK("https://www.mediafire.com/file/4uh95k11pcev416/2022-05-29_-_The_Wharf_Amphitheater_-_Orange_Beach%252C_AL.rar/file", "download link")</f>
        <v>download link</v>
      </c>
      <c r="I18" s="291" t="s">
        <v>2757</v>
      </c>
      <c r="J18" s="292"/>
    </row>
    <row r="19">
      <c r="A19" s="335">
        <v>44712.0</v>
      </c>
      <c r="B19" s="131"/>
      <c r="C19" s="105" t="str">
        <f>HYPERLINK("http://phish.net/setlists/?d="&amp;RIGHT(TEXT(A6,"mm/dd/yyyy"),4)&amp;"-"&amp;LEFT(TEXT(A6,"mm/dd/yyyy"),2)&amp;"-"&amp;MID(TEXT(A6,"mm/dd/yyyy"),4,2), "setlist")</f>
        <v>setlist</v>
      </c>
      <c r="D19" s="288" t="s">
        <v>2758</v>
      </c>
      <c r="E19" s="288" t="s">
        <v>429</v>
      </c>
      <c r="F19" s="195" t="s">
        <v>430</v>
      </c>
      <c r="G19" s="195" t="s">
        <v>36</v>
      </c>
      <c r="H19" s="105" t="str">
        <f>HYPERLINK("https://www.mediafire.com/file/c7uvk7vxvqclxnn/2022-05-31_-_Credit_One_Stadium_-_Charleston%252C_SC.rar/file", "download link")</f>
        <v>download link</v>
      </c>
      <c r="I19" s="288" t="s">
        <v>2690</v>
      </c>
      <c r="J19" s="289"/>
    </row>
    <row r="20">
      <c r="A20" s="336">
        <v>44713.0</v>
      </c>
      <c r="B20" s="156"/>
      <c r="C20" s="116" t="str">
        <f>HYPERLINK("http://phish.net/setlists/?d="&amp;RIGHT(TEXT(A6,"mm/dd/yyyy"),4)&amp;"-"&amp;LEFT(TEXT(A6,"mm/dd/yyyy"),2)&amp;"-"&amp;MID(TEXT(A6,"mm/dd/yyyy"),4,2), "setlist")</f>
        <v>setlist</v>
      </c>
      <c r="D20" s="291" t="s">
        <v>2758</v>
      </c>
      <c r="E20" s="291" t="s">
        <v>429</v>
      </c>
      <c r="F20" s="196" t="s">
        <v>430</v>
      </c>
      <c r="G20" s="196" t="s">
        <v>36</v>
      </c>
      <c r="H20" s="116" t="str">
        <f>HYPERLINK("https://www.mediafire.com/file/mybg5yxvklfpta9/2022-06-01_-_Credit_One_Stadium_-_Charleston%252C_SC.rar/file", "download link")</f>
        <v>download link</v>
      </c>
      <c r="I20" s="291" t="s">
        <v>2759</v>
      </c>
      <c r="J20" s="292"/>
    </row>
    <row r="21">
      <c r="A21" s="335">
        <v>44715.0</v>
      </c>
      <c r="B21" s="131"/>
      <c r="C21" s="105" t="str">
        <f>HYPERLINK("http://phish.net/setlists/?d="&amp;RIGHT(TEXT(A6,"mm/dd/yyyy"),4)&amp;"-"&amp;LEFT(TEXT(A6,"mm/dd/yyyy"),2)&amp;"-"&amp;MID(TEXT(A6,"mm/dd/yyyy"),4,2), "setlist")</f>
        <v>setlist</v>
      </c>
      <c r="D21" s="288" t="s">
        <v>2726</v>
      </c>
      <c r="E21" s="288" t="s">
        <v>1579</v>
      </c>
      <c r="F21" s="195" t="s">
        <v>508</v>
      </c>
      <c r="G21" s="195" t="s">
        <v>36</v>
      </c>
      <c r="H21" s="105" t="str">
        <f>HYPERLINK("https://www.mediafire.com/file/i7tifmc20lwzv4g/2022-06-03_-_Ruoff_Music_Center_-_Noblesville%252C_IN.rar/file", "download link")</f>
        <v>download link</v>
      </c>
      <c r="I21" s="288" t="s">
        <v>2760</v>
      </c>
      <c r="J21" s="289"/>
    </row>
    <row r="22">
      <c r="A22" s="336">
        <v>44716.0</v>
      </c>
      <c r="B22" s="156"/>
      <c r="C22" s="116" t="str">
        <f>HYPERLINK("http://phish.net/setlists/?d="&amp;RIGHT(TEXT(A6,"mm/dd/yyyy"),4)&amp;"-"&amp;LEFT(TEXT(A6,"mm/dd/yyyy"),2)&amp;"-"&amp;MID(TEXT(A6,"mm/dd/yyyy"),4,2), "setlist")</f>
        <v>setlist</v>
      </c>
      <c r="D22" s="291" t="s">
        <v>2726</v>
      </c>
      <c r="E22" s="291" t="s">
        <v>1579</v>
      </c>
      <c r="F22" s="196" t="s">
        <v>508</v>
      </c>
      <c r="G22" s="196" t="s">
        <v>36</v>
      </c>
      <c r="H22" s="116" t="str">
        <f>HYPERLINK("https://www.mediafire.com/file/v30zzmsa6xwy9fv/2022-06-04_-_Ruoff_Music_Center_-_Noblesville%252C_IN.rar/file", "download link")</f>
        <v>download link</v>
      </c>
      <c r="I22" s="291" t="s">
        <v>2760</v>
      </c>
      <c r="J22" s="292"/>
    </row>
    <row r="23">
      <c r="A23" s="335">
        <v>44717.0</v>
      </c>
      <c r="B23" s="131"/>
      <c r="C23" s="105" t="str">
        <f>HYPERLINK("http://phish.net/setlists/?d="&amp;RIGHT(TEXT(A6,"mm/dd/yyyy"),4)&amp;"-"&amp;LEFT(TEXT(A6,"mm/dd/yyyy"),2)&amp;"-"&amp;MID(TEXT(A6,"mm/dd/yyyy"),4,2), "setlist")</f>
        <v>setlist</v>
      </c>
      <c r="D23" s="288" t="s">
        <v>2726</v>
      </c>
      <c r="E23" s="288" t="s">
        <v>1579</v>
      </c>
      <c r="F23" s="195" t="s">
        <v>508</v>
      </c>
      <c r="G23" s="195" t="s">
        <v>36</v>
      </c>
      <c r="H23" s="105" t="str">
        <f>HYPERLINK("https://www.mediafire.com/file/bzwz681y3r1dw3b/2022-06-05_-_Ruoff_Music_Center_-_Noblesville%252C_IN.rar/file", "download link")</f>
        <v>download link</v>
      </c>
      <c r="I23" s="288" t="s">
        <v>2760</v>
      </c>
      <c r="J23" s="289"/>
    </row>
    <row r="24">
      <c r="A24" s="92"/>
      <c r="B24" s="93"/>
      <c r="C24" s="93"/>
      <c r="D24" s="264" t="s">
        <v>2761</v>
      </c>
      <c r="E24" s="238"/>
      <c r="F24" s="93"/>
      <c r="G24" s="93"/>
      <c r="H24" s="164"/>
      <c r="I24" s="238"/>
      <c r="J24" s="238"/>
    </row>
    <row r="25">
      <c r="A25" s="336">
        <v>44756.0</v>
      </c>
      <c r="B25" s="156"/>
      <c r="C25" s="116" t="str">
        <f>HYPERLINK("http://phish.net/setlists/?d="&amp;RIGHT(TEXT(A6,"mm/dd/yyyy"),4)&amp;"-"&amp;LEFT(TEXT(A6,"mm/dd/yyyy"),2)&amp;"-"&amp;MID(TEXT(A6,"mm/dd/yyyy"),4,2), "setlist")</f>
        <v>setlist</v>
      </c>
      <c r="D25" s="291" t="s">
        <v>2537</v>
      </c>
      <c r="E25" s="291" t="s">
        <v>1004</v>
      </c>
      <c r="F25" s="196" t="s">
        <v>95</v>
      </c>
      <c r="G25" s="196" t="s">
        <v>36</v>
      </c>
      <c r="H25" s="116" t="str">
        <f>HYPERLINK("https://www.mediafire.com/file/wrxumnpky48bxqs/2022-07-14_-_Xfinity_Center_-_Mansfield%252C_MA.rar/file", "download link")</f>
        <v>download link</v>
      </c>
      <c r="I25" s="291" t="s">
        <v>2762</v>
      </c>
      <c r="J25" s="292"/>
    </row>
    <row r="26">
      <c r="A26" s="335">
        <v>44757.0</v>
      </c>
      <c r="B26" s="131"/>
      <c r="C26" s="105" t="str">
        <f>HYPERLINK("http://phish.net/setlists/?d="&amp;RIGHT(TEXT(A6,"mm/dd/yyyy"),4)&amp;"-"&amp;LEFT(TEXT(A6,"mm/dd/yyyy"),2)&amp;"-"&amp;MID(TEXT(A6,"mm/dd/yyyy"),4,2), "setlist")</f>
        <v>setlist</v>
      </c>
      <c r="D26" s="288" t="s">
        <v>2537</v>
      </c>
      <c r="E26" s="288" t="s">
        <v>1004</v>
      </c>
      <c r="F26" s="195" t="s">
        <v>95</v>
      </c>
      <c r="G26" s="195" t="s">
        <v>36</v>
      </c>
      <c r="H26" s="105" t="str">
        <f>HYPERLINK("https://www.mediafire.com/file/gqbhz5tjwbu2hiu/2022-07-15_-_Xfinity_Center_-_Mansfield%252C_MA.rar/file�", "download link")</f>
        <v>download link</v>
      </c>
      <c r="I26" s="288" t="s">
        <v>2763</v>
      </c>
      <c r="J26" s="289"/>
    </row>
    <row r="27">
      <c r="A27" s="336">
        <v>44758.0</v>
      </c>
      <c r="B27" s="156"/>
      <c r="C27" s="116" t="str">
        <f>HYPERLINK("http://phish.net/setlists/?d="&amp;RIGHT(TEXT(A6,"mm/dd/yyyy"),4)&amp;"-"&amp;LEFT(TEXT(A6,"mm/dd/yyyy"),2)&amp;"-"&amp;MID(TEXT(A6,"mm/dd/yyyy"),4,2), "setlist")</f>
        <v>setlist</v>
      </c>
      <c r="D27" s="291" t="s">
        <v>2764</v>
      </c>
      <c r="E27" s="291" t="s">
        <v>1236</v>
      </c>
      <c r="F27" s="196" t="s">
        <v>257</v>
      </c>
      <c r="G27" s="196" t="s">
        <v>36</v>
      </c>
      <c r="H27" s="116" t="str">
        <f>HYPERLINK("https://www.mediafire.com/file/jeowmfxxy0ipahl/2022-07-16_-_Maine_Savings_Amphitheater_-_Bangor%252C_ME.rar/file", "download link")</f>
        <v>download link</v>
      </c>
      <c r="I27" s="291" t="s">
        <v>2690</v>
      </c>
      <c r="J27" s="291" t="s">
        <v>287</v>
      </c>
    </row>
    <row r="28">
      <c r="A28" s="335">
        <v>44761.0</v>
      </c>
      <c r="B28" s="131"/>
      <c r="C28" s="105" t="str">
        <f>HYPERLINK("http://phish.net/setlists/?d="&amp;RIGHT(TEXT(A6,"mm/dd/yyyy"),4)&amp;"-"&amp;LEFT(TEXT(A6,"mm/dd/yyyy"),2)&amp;"-"&amp;MID(TEXT(A6,"mm/dd/yyyy"),4,2), "setlist")</f>
        <v>setlist</v>
      </c>
      <c r="D28" s="288" t="s">
        <v>2765</v>
      </c>
      <c r="E28" s="288" t="s">
        <v>871</v>
      </c>
      <c r="F28" s="195" t="s">
        <v>212</v>
      </c>
      <c r="G28" s="195" t="s">
        <v>36</v>
      </c>
      <c r="H28" s="105" t="str">
        <f>HYPERLINK("https://www.mediafire.com/file/mnqonqthwtmzot5/2022-07-19_-_TD_Pavilion_at_The_Mann_-_Philadelphia%252C_PA.rar/file", "download link")</f>
        <v>download link</v>
      </c>
      <c r="I28" s="288" t="s">
        <v>2766</v>
      </c>
      <c r="J28" s="288" t="s">
        <v>287</v>
      </c>
    </row>
    <row r="29">
      <c r="A29" s="336">
        <v>44762.0</v>
      </c>
      <c r="B29" s="156"/>
      <c r="C29" s="116" t="str">
        <f>HYPERLINK("http://phish.net/setlists/?d="&amp;RIGHT(TEXT(A6,"mm/dd/yyyy"),4)&amp;"-"&amp;LEFT(TEXT(A6,"mm/dd/yyyy"),2)&amp;"-"&amp;MID(TEXT(A6,"mm/dd/yyyy"),4,2), "setlist")</f>
        <v>setlist</v>
      </c>
      <c r="D29" s="291" t="s">
        <v>2765</v>
      </c>
      <c r="E29" s="291" t="s">
        <v>871</v>
      </c>
      <c r="F29" s="196" t="s">
        <v>212</v>
      </c>
      <c r="G29" s="196" t="s">
        <v>36</v>
      </c>
      <c r="H29" s="116" t="str">
        <f>HYPERLINK("https://www.mediafire.com/file/lz6w11iaokctqyw/2022-07-20_-_TD_Pavilion_at_The_Mann_-_Philadelphia%252C_PA.rar/file", "download link")</f>
        <v>download link</v>
      </c>
      <c r="I29" s="291" t="s">
        <v>2767</v>
      </c>
      <c r="J29" s="292"/>
    </row>
    <row r="30">
      <c r="A30" s="335">
        <v>44764.0</v>
      </c>
      <c r="B30" s="131"/>
      <c r="C30" s="105" t="str">
        <f>HYPERLINK("http://phish.net/setlists/?d="&amp;RIGHT(TEXT(A6,"mm/dd/yyyy"),4)&amp;"-"&amp;LEFT(TEXT(A6,"mm/dd/yyyy"),2)&amp;"-"&amp;MID(TEXT(A6,"mm/dd/yyyy"),4,2), "setlist")</f>
        <v>setlist</v>
      </c>
      <c r="D30" s="288" t="s">
        <v>2425</v>
      </c>
      <c r="E30" s="288" t="s">
        <v>2426</v>
      </c>
      <c r="F30" s="195" t="s">
        <v>129</v>
      </c>
      <c r="G30" s="195" t="s">
        <v>36</v>
      </c>
      <c r="H30" s="105" t="str">
        <f>HYPERLINK("https://www.mediafire.com/file/qnykx9b2s1n7pzp/2022-07-22_-_Bethel_Woods_Center_for_the_Arts_-_Bethel_-_NY.rar/file", "download link")</f>
        <v>download link</v>
      </c>
      <c r="I30" s="288" t="s">
        <v>2663</v>
      </c>
      <c r="J30" s="289"/>
    </row>
    <row r="31">
      <c r="A31" s="336">
        <v>44765.0</v>
      </c>
      <c r="B31" s="156"/>
      <c r="C31" s="116" t="str">
        <f>HYPERLINK("http://phish.net/setlists/?d="&amp;RIGHT(TEXT(A6,"mm/dd/yyyy"),4)&amp;"-"&amp;LEFT(TEXT(A6,"mm/dd/yyyy"),2)&amp;"-"&amp;MID(TEXT(A6,"mm/dd/yyyy"),4,2), "setlist")</f>
        <v>setlist</v>
      </c>
      <c r="D31" s="291" t="s">
        <v>2425</v>
      </c>
      <c r="E31" s="291" t="s">
        <v>2426</v>
      </c>
      <c r="F31" s="196" t="s">
        <v>129</v>
      </c>
      <c r="G31" s="196" t="s">
        <v>36</v>
      </c>
      <c r="H31" s="116" t="str">
        <f>HYPERLINK("https://www.mediafire.com/file/h58i5d3n921br5j/2022-07-23_-_Bethel_Woods_Center_for_the_Arts_-_Bethel%252C_NY.rar/file", "download link")</f>
        <v>download link</v>
      </c>
      <c r="I31" s="291" t="s">
        <v>2663</v>
      </c>
      <c r="J31" s="292"/>
    </row>
    <row r="32">
      <c r="A32" s="335">
        <v>44766.0</v>
      </c>
      <c r="B32" s="131"/>
      <c r="C32" s="105" t="str">
        <f>HYPERLINK("http://phish.net/setlists/?d="&amp;RIGHT(TEXT(A6,"mm/dd/yyyy"),4)&amp;"-"&amp;LEFT(TEXT(A6,"mm/dd/yyyy"),2)&amp;"-"&amp;MID(TEXT(A6,"mm/dd/yyyy"),4,2), "setlist")</f>
        <v>setlist</v>
      </c>
      <c r="D32" s="288" t="s">
        <v>2768</v>
      </c>
      <c r="E32" s="288" t="s">
        <v>323</v>
      </c>
      <c r="F32" s="195" t="s">
        <v>171</v>
      </c>
      <c r="G32" s="195" t="s">
        <v>36</v>
      </c>
      <c r="H32" s="105" t="str">
        <f>HYPERLINK("https://www.mediafire.com/file/ol7wu59rqrdzgos/2022-07-24_-_Xfinity_Theatre_-_Hartford%252C_CT.rar/file", "download link")</f>
        <v>download link</v>
      </c>
      <c r="I32" s="288" t="s">
        <v>2769</v>
      </c>
      <c r="J32" s="289"/>
    </row>
    <row r="33">
      <c r="A33" s="336">
        <v>44768.0</v>
      </c>
      <c r="B33" s="156"/>
      <c r="C33" s="116" t="str">
        <f>HYPERLINK("http://phish.net/setlists/?d="&amp;RIGHT(TEXT(A6,"mm/dd/yyyy"),4)&amp;"-"&amp;LEFT(TEXT(A6,"mm/dd/yyyy"),2)&amp;"-"&amp;MID(TEXT(A6,"mm/dd/yyyy"),4,2), "setlist")</f>
        <v>setlist</v>
      </c>
      <c r="D33" s="291" t="s">
        <v>2770</v>
      </c>
      <c r="E33" s="291" t="s">
        <v>994</v>
      </c>
      <c r="F33" s="196" t="s">
        <v>129</v>
      </c>
      <c r="G33" s="196" t="s">
        <v>36</v>
      </c>
      <c r="H33" s="116" t="str">
        <f>HYPERLINK("https://www.mediafire.com/file/6sdox38q8vtb8uc/2022-07-26_-_Northwell_Health_at_Jones_Beach_Theater_-_Wantagh%252C_NY.rar/file", "download link")</f>
        <v>download link</v>
      </c>
      <c r="I33" s="291" t="s">
        <v>2684</v>
      </c>
      <c r="J33" s="291" t="s">
        <v>2771</v>
      </c>
    </row>
    <row r="34">
      <c r="A34" s="335">
        <v>44769.0</v>
      </c>
      <c r="B34" s="131"/>
      <c r="C34" s="105" t="str">
        <f>HYPERLINK("http://phish.net/setlists/?d="&amp;RIGHT(TEXT(A6,"mm/dd/yyyy"),4)&amp;"-"&amp;LEFT(TEXT(A6,"mm/dd/yyyy"),2)&amp;"-"&amp;MID(TEXT(A6,"mm/dd/yyyy"),4,2), "setlist")</f>
        <v>setlist</v>
      </c>
      <c r="D34" s="288" t="s">
        <v>2770</v>
      </c>
      <c r="E34" s="288" t="s">
        <v>994</v>
      </c>
      <c r="F34" s="195" t="s">
        <v>129</v>
      </c>
      <c r="G34" s="195" t="s">
        <v>36</v>
      </c>
      <c r="H34" s="105" t="str">
        <f>HYPERLINK("https://www.mediafire.com/file/3uz33c6udkpj3em/2022-07-27_-_Northwell_Health_at_Jones_Beach_Theater_-_Wantagh%252C_NY.rar/file", "download link")</f>
        <v>download link</v>
      </c>
      <c r="I34" s="288" t="s">
        <v>2684</v>
      </c>
      <c r="J34" s="289"/>
    </row>
    <row r="35">
      <c r="A35" s="336">
        <v>44771.0</v>
      </c>
      <c r="B35" s="156"/>
      <c r="C35" s="116" t="str">
        <f>HYPERLINK("http://phish.net/setlists/?d="&amp;RIGHT(TEXT(A6,"mm/dd/yyyy"),4)&amp;"-"&amp;LEFT(TEXT(A6,"mm/dd/yyyy"),2)&amp;"-"&amp;MID(TEXT(A6,"mm/dd/yyyy"),4,2), "setlist")</f>
        <v>setlist</v>
      </c>
      <c r="D35" s="291" t="s">
        <v>2676</v>
      </c>
      <c r="E35" s="291" t="s">
        <v>536</v>
      </c>
      <c r="F35" s="196" t="s">
        <v>443</v>
      </c>
      <c r="G35" s="196" t="s">
        <v>36</v>
      </c>
      <c r="H35" s="116" t="str">
        <f>HYPERLINK("https://www.mediafire.com/file/2cwo2o42tfkjvwz/2022-07-29_-_Coastal_Credit_Union_Music_Park_at_Walnut_Creek_-_Raleigh%252C_NC.rar/file", "download link")</f>
        <v>download link</v>
      </c>
      <c r="I35" s="291" t="s">
        <v>2772</v>
      </c>
      <c r="J35" s="292"/>
    </row>
    <row r="36">
      <c r="A36" s="335">
        <v>44772.0</v>
      </c>
      <c r="B36" s="131"/>
      <c r="C36" s="105" t="str">
        <f>HYPERLINK("http://phish.net/setlists/?d="&amp;RIGHT(TEXT(A6,"mm/dd/yyyy"),4)&amp;"-"&amp;LEFT(TEXT(A6,"mm/dd/yyyy"),2)&amp;"-"&amp;MID(TEXT(A6,"mm/dd/yyyy"),4,2), "setlist")</f>
        <v>setlist</v>
      </c>
      <c r="D36" s="288" t="s">
        <v>1000</v>
      </c>
      <c r="E36" s="288" t="s">
        <v>439</v>
      </c>
      <c r="F36" s="195" t="s">
        <v>397</v>
      </c>
      <c r="G36" s="195" t="s">
        <v>36</v>
      </c>
      <c r="H36" s="105" t="str">
        <f>HYPERLINK("https://www.mediafire.com/file/ksh0hnx0yzlz80n/2022-07-30_-_Merriweather_Post_Pavilion_-_Columbia%252C_MD.rar/file", "download link")</f>
        <v>download link</v>
      </c>
      <c r="I36" s="288" t="s">
        <v>2773</v>
      </c>
      <c r="J36" s="289"/>
    </row>
    <row r="37">
      <c r="A37" s="336">
        <v>44773.0</v>
      </c>
      <c r="B37" s="156"/>
      <c r="C37" s="116" t="str">
        <f>HYPERLINK("http://phish.net/setlists/?d="&amp;RIGHT(TEXT(A6,"mm/dd/yyyy"),4)&amp;"-"&amp;LEFT(TEXT(A6,"mm/dd/yyyy"),2)&amp;"-"&amp;MID(TEXT(A6,"mm/dd/yyyy"),4,2), "setlist")</f>
        <v>setlist</v>
      </c>
      <c r="D37" s="291" t="s">
        <v>1000</v>
      </c>
      <c r="E37" s="291" t="s">
        <v>439</v>
      </c>
      <c r="F37" s="196" t="s">
        <v>397</v>
      </c>
      <c r="G37" s="196" t="s">
        <v>36</v>
      </c>
      <c r="H37" s="116" t="str">
        <f>HYPERLINK("https://www.mediafire.com/file/pdomj6gz4r3iqgj/2022-07-31_-_Merriweather_Post_Pavilion_-_Columbia%252C_MD.rar/file", "download link")</f>
        <v>download link</v>
      </c>
      <c r="I37" s="291" t="s">
        <v>2774</v>
      </c>
      <c r="J37" s="292"/>
    </row>
    <row r="38">
      <c r="A38" s="335">
        <v>44775.0</v>
      </c>
      <c r="B38" s="131"/>
      <c r="C38" s="105" t="str">
        <f>HYPERLINK("http://phish.net/setlists/?d="&amp;RIGHT(TEXT(A6,"mm/dd/yyyy"),4)&amp;"-"&amp;LEFT(TEXT(A6,"mm/dd/yyyy"),2)&amp;"-"&amp;MID(TEXT(A6,"mm/dd/yyyy"),4,2), "setlist")</f>
        <v>setlist</v>
      </c>
      <c r="D38" s="288" t="s">
        <v>1023</v>
      </c>
      <c r="E38" s="288" t="s">
        <v>1024</v>
      </c>
      <c r="F38" s="195" t="s">
        <v>472</v>
      </c>
      <c r="G38" s="195" t="s">
        <v>36</v>
      </c>
      <c r="H38" s="105" t="str">
        <f>HYPERLINK("https://www.mediafire.com/file/spio3zooih7sjgp/2022-08-02_-_Blossom_Music_Center_-_Cuyahoga_Falls%252C_OH.rar/file", "download link")</f>
        <v>download link</v>
      </c>
      <c r="I38" s="288" t="s">
        <v>2775</v>
      </c>
      <c r="J38" s="289"/>
    </row>
    <row r="39">
      <c r="A39" s="336">
        <v>44776.0</v>
      </c>
      <c r="B39" s="156"/>
      <c r="C39" s="116" t="str">
        <f>HYPERLINK("http://phish.net/setlists/?d="&amp;RIGHT(TEXT(A6,"mm/dd/yyyy"),4)&amp;"-"&amp;LEFT(TEXT(A6,"mm/dd/yyyy"),2)&amp;"-"&amp;MID(TEXT(A6,"mm/dd/yyyy"),4,2), "setlist")</f>
        <v>setlist</v>
      </c>
      <c r="D39" s="291" t="s">
        <v>2776</v>
      </c>
      <c r="E39" s="291" t="s">
        <v>2432</v>
      </c>
      <c r="F39" s="196" t="s">
        <v>712</v>
      </c>
      <c r="G39" s="196" t="s">
        <v>36</v>
      </c>
      <c r="H39" s="116" t="str">
        <f>HYPERLINK("https://www.mediafire.com/file/qsitoko3yt8pq18/2022-08-03_-_Pine_Knob_Music_Theatre_-_Clarkston%252C_MI.rar/file", "download link")</f>
        <v>download link</v>
      </c>
      <c r="I39" s="291" t="s">
        <v>2775</v>
      </c>
      <c r="J39" s="292"/>
    </row>
    <row r="40">
      <c r="A40" s="335">
        <v>44778.0</v>
      </c>
      <c r="B40" s="131"/>
      <c r="C40" s="105" t="str">
        <f>HYPERLINK("http://phish.net/setlists/?d="&amp;RIGHT(TEXT(A6,"mm/dd/yyyy"),4)&amp;"-"&amp;LEFT(TEXT(A6,"mm/dd/yyyy"),2)&amp;"-"&amp;MID(TEXT(A6,"mm/dd/yyyy"),4,2), "setlist")</f>
        <v>setlist</v>
      </c>
      <c r="D40" s="288" t="s">
        <v>2730</v>
      </c>
      <c r="E40" s="288" t="s">
        <v>2421</v>
      </c>
      <c r="F40" s="195" t="s">
        <v>43</v>
      </c>
      <c r="G40" s="195" t="s">
        <v>36</v>
      </c>
      <c r="H40" s="105" t="str">
        <f>HYPERLINK("https://www.mediafire.com/file/mfm2jso2bubewlj/2022-08-05_-_Atlantic_City_Beach_-_Atlantic_City%252C_NJ.rar/file", "download link")</f>
        <v>download link</v>
      </c>
      <c r="I40" s="288" t="s">
        <v>2777</v>
      </c>
      <c r="J40" s="289"/>
    </row>
    <row r="41">
      <c r="A41" s="336">
        <v>44779.0</v>
      </c>
      <c r="B41" s="156"/>
      <c r="C41" s="116" t="str">
        <f>HYPERLINK("http://phish.net/setlists/?d="&amp;RIGHT(TEXT(A6,"mm/dd/yyyy"),4)&amp;"-"&amp;LEFT(TEXT(A6,"mm/dd/yyyy"),2)&amp;"-"&amp;MID(TEXT(A6,"mm/dd/yyyy"),4,2), "setlist")</f>
        <v>setlist</v>
      </c>
      <c r="D41" s="291" t="s">
        <v>2730</v>
      </c>
      <c r="E41" s="291" t="s">
        <v>2421</v>
      </c>
      <c r="F41" s="196" t="s">
        <v>43</v>
      </c>
      <c r="G41" s="196" t="s">
        <v>36</v>
      </c>
      <c r="H41" s="116" t="str">
        <f>HYPERLINK("https://www.mediafire.com/file/h0gkbxt58iqh1gz/2022-08-06_-_Atlantic_City_Beach_-_Atlantic_City%252C_NJ.rar/file", "download link")</f>
        <v>download link</v>
      </c>
      <c r="I41" s="291" t="s">
        <v>2778</v>
      </c>
      <c r="J41" s="292"/>
    </row>
    <row r="42">
      <c r="A42" s="335">
        <v>44780.0</v>
      </c>
      <c r="B42" s="131"/>
      <c r="C42" s="105" t="str">
        <f>HYPERLINK("http://phish.net/setlists/?d="&amp;RIGHT(TEXT(A6,"mm/dd/yyyy"),4)&amp;"-"&amp;LEFT(TEXT(A6,"mm/dd/yyyy"),2)&amp;"-"&amp;MID(TEXT(A6,"mm/dd/yyyy"),4,2), "setlist")</f>
        <v>setlist</v>
      </c>
      <c r="D42" s="288" t="s">
        <v>2730</v>
      </c>
      <c r="E42" s="288" t="s">
        <v>2421</v>
      </c>
      <c r="F42" s="195" t="s">
        <v>43</v>
      </c>
      <c r="G42" s="195" t="s">
        <v>36</v>
      </c>
      <c r="H42" s="105" t="str">
        <f>HYPERLINK("https://www.mediafire.com/file/01t80t896ojwf72/2022-08-07_-_Atlantic_City_Beach_-_Atlantic_City%252C_NJ.rar/file", "download link")</f>
        <v>download link</v>
      </c>
      <c r="I42" s="288" t="s">
        <v>2778</v>
      </c>
      <c r="J42" s="289"/>
    </row>
    <row r="43">
      <c r="A43" s="336">
        <v>44783.0</v>
      </c>
      <c r="B43" s="156"/>
      <c r="C43" s="116" t="str">
        <f>HYPERLINK("http://phish.net/setlists/?d="&amp;RIGHT(TEXT(A6,"mm/dd/yyyy"),4)&amp;"-"&amp;LEFT(TEXT(A6,"mm/dd/yyyy"),2)&amp;"-"&amp;MID(TEXT(A6,"mm/dd/yyyy"),4,2), "setlist")</f>
        <v>setlist</v>
      </c>
      <c r="D43" s="291" t="s">
        <v>2695</v>
      </c>
      <c r="E43" s="291" t="s">
        <v>1090</v>
      </c>
      <c r="F43" s="196" t="s">
        <v>1091</v>
      </c>
      <c r="G43" s="196" t="s">
        <v>36</v>
      </c>
      <c r="H43" s="197" t="str">
        <f>HYPERLINK("", "download link")</f>
        <v>download link</v>
      </c>
      <c r="I43" s="291"/>
      <c r="J43" s="292"/>
    </row>
    <row r="44">
      <c r="A44" s="335">
        <v>44785.0</v>
      </c>
      <c r="B44" s="131"/>
      <c r="C44" s="105" t="str">
        <f>HYPERLINK("http://phish.net/setlists/?d="&amp;RIGHT(TEXT(A6,"mm/dd/yyyy"),4)&amp;"-"&amp;LEFT(TEXT(A6,"mm/dd/yyyy"),2)&amp;"-"&amp;MID(TEXT(A6,"mm/dd/yyyy"),4,2), "setlist")</f>
        <v>setlist</v>
      </c>
      <c r="D44" s="288" t="s">
        <v>1737</v>
      </c>
      <c r="E44" s="288" t="s">
        <v>1738</v>
      </c>
      <c r="F44" s="195" t="s">
        <v>483</v>
      </c>
      <c r="G44" s="195" t="s">
        <v>36</v>
      </c>
      <c r="H44" s="105" t="str">
        <f>HYPERLINK("https://www.mediafire.com/file/d3b72nx4tuaivqr/2022-08-12_-_Alpine_Valley_Music_Theatre_-_East_Troy%252C_WI.rar/file", "download link")</f>
        <v>download link</v>
      </c>
      <c r="I44" s="288" t="s">
        <v>2779</v>
      </c>
      <c r="J44" s="289"/>
    </row>
    <row r="45">
      <c r="A45" s="336">
        <v>44786.0</v>
      </c>
      <c r="B45" s="156"/>
      <c r="C45" s="116" t="str">
        <f>HYPERLINK("http://phish.net/setlists/?d="&amp;RIGHT(TEXT(A6,"mm/dd/yyyy"),4)&amp;"-"&amp;LEFT(TEXT(A6,"mm/dd/yyyy"),2)&amp;"-"&amp;MID(TEXT(A6,"mm/dd/yyyy"),4,2), "setlist")</f>
        <v>setlist</v>
      </c>
      <c r="D45" s="291" t="s">
        <v>1737</v>
      </c>
      <c r="E45" s="291" t="s">
        <v>1738</v>
      </c>
      <c r="F45" s="196" t="s">
        <v>483</v>
      </c>
      <c r="G45" s="196" t="s">
        <v>36</v>
      </c>
      <c r="H45" s="116" t="str">
        <f>HYPERLINK("https://www.mediafire.com/file/5sged5octnsgvde/2022-08-13_-_Alpine_Valley_Music_Theatre_-_East_Troy%252C_WI.rar/file", "download link")</f>
        <v>download link</v>
      </c>
      <c r="I45" s="291" t="s">
        <v>2661</v>
      </c>
      <c r="J45" s="292"/>
    </row>
    <row r="46">
      <c r="A46" s="335">
        <v>44787.0</v>
      </c>
      <c r="B46" s="131"/>
      <c r="C46" s="105" t="str">
        <f>HYPERLINK("http://phish.net/setlists/?d="&amp;RIGHT(TEXT(A6,"mm/dd/yyyy"),4)&amp;"-"&amp;LEFT(TEXT(A6,"mm/dd/yyyy"),2)&amp;"-"&amp;MID(TEXT(A6,"mm/dd/yyyy"),4,2), "setlist")</f>
        <v>setlist</v>
      </c>
      <c r="D46" s="288" t="s">
        <v>1737</v>
      </c>
      <c r="E46" s="288" t="s">
        <v>1738</v>
      </c>
      <c r="F46" s="195" t="s">
        <v>483</v>
      </c>
      <c r="G46" s="195" t="s">
        <v>36</v>
      </c>
      <c r="H46" s="105" t="str">
        <f>HYPERLINK("https://www.mediafire.com/file/31502krmkkeimab/2022-08-14_-_Alpine_Valley_Music_Theatre_-_East_Troy%252C_WI.rar/file", "download link")</f>
        <v>download link</v>
      </c>
      <c r="I46" s="288" t="s">
        <v>2780</v>
      </c>
      <c r="J46" s="289"/>
    </row>
    <row r="47">
      <c r="A47" s="336">
        <v>44805.0</v>
      </c>
      <c r="B47" s="156"/>
      <c r="C47" s="116" t="str">
        <f>HYPERLINK("http://phish.net/setlists/?d="&amp;RIGHT(TEXT(A6,"mm/dd/yyyy"),4)&amp;"-"&amp;LEFT(TEXT(A6,"mm/dd/yyyy"),2)&amp;"-"&amp;MID(TEXT(A6,"mm/dd/yyyy"),4,2), "setlist")</f>
        <v>setlist</v>
      </c>
      <c r="D47" s="291" t="s">
        <v>2457</v>
      </c>
      <c r="E47" s="291" t="s">
        <v>2458</v>
      </c>
      <c r="F47" s="196" t="s">
        <v>203</v>
      </c>
      <c r="G47" s="196" t="s">
        <v>36</v>
      </c>
      <c r="H47" s="197" t="str">
        <f t="shared" ref="H47:H50" si="3">HYPERLINK("", "download link")</f>
        <v>download link</v>
      </c>
      <c r="I47" s="291"/>
      <c r="J47" s="292"/>
    </row>
    <row r="48">
      <c r="A48" s="335">
        <v>44806.0</v>
      </c>
      <c r="B48" s="131"/>
      <c r="C48" s="105" t="str">
        <f>HYPERLINK("http://phish.net/setlists/?d="&amp;RIGHT(TEXT(A6,"mm/dd/yyyy"),4)&amp;"-"&amp;LEFT(TEXT(A6,"mm/dd/yyyy"),2)&amp;"-"&amp;MID(TEXT(A6,"mm/dd/yyyy"),4,2), "setlist")</f>
        <v>setlist</v>
      </c>
      <c r="D48" s="288" t="s">
        <v>2457</v>
      </c>
      <c r="E48" s="288" t="s">
        <v>2458</v>
      </c>
      <c r="F48" s="195" t="s">
        <v>203</v>
      </c>
      <c r="G48" s="195" t="s">
        <v>36</v>
      </c>
      <c r="H48" s="143" t="str">
        <f t="shared" si="3"/>
        <v>download link</v>
      </c>
      <c r="I48" s="288"/>
      <c r="J48" s="289"/>
    </row>
    <row r="49">
      <c r="A49" s="336">
        <v>44807.0</v>
      </c>
      <c r="B49" s="156"/>
      <c r="C49" s="116" t="str">
        <f>HYPERLINK("http://phish.net/setlists/?d="&amp;RIGHT(TEXT(A6,"mm/dd/yyyy"),4)&amp;"-"&amp;LEFT(TEXT(A6,"mm/dd/yyyy"),2)&amp;"-"&amp;MID(TEXT(A6,"mm/dd/yyyy"),4,2), "setlist")</f>
        <v>setlist</v>
      </c>
      <c r="D49" s="291" t="s">
        <v>2457</v>
      </c>
      <c r="E49" s="291" t="s">
        <v>2458</v>
      </c>
      <c r="F49" s="196" t="s">
        <v>203</v>
      </c>
      <c r="G49" s="196" t="s">
        <v>36</v>
      </c>
      <c r="H49" s="197" t="str">
        <f t="shared" si="3"/>
        <v>download link</v>
      </c>
      <c r="I49" s="291"/>
      <c r="J49" s="292"/>
    </row>
    <row r="50">
      <c r="A50" s="335">
        <v>44808.0</v>
      </c>
      <c r="B50" s="131"/>
      <c r="C50" s="105" t="str">
        <f>HYPERLINK("http://phish.net/setlists/?d="&amp;RIGHT(TEXT(A6,"mm/dd/yyyy"),4)&amp;"-"&amp;LEFT(TEXT(A6,"mm/dd/yyyy"),2)&amp;"-"&amp;MID(TEXT(A6,"mm/dd/yyyy"),4,2), "setlist")</f>
        <v>setlist</v>
      </c>
      <c r="D50" s="288" t="s">
        <v>2457</v>
      </c>
      <c r="E50" s="288" t="s">
        <v>2458</v>
      </c>
      <c r="F50" s="195" t="s">
        <v>203</v>
      </c>
      <c r="G50" s="195" t="s">
        <v>36</v>
      </c>
      <c r="H50" s="143" t="str">
        <f t="shared" si="3"/>
        <v>download link</v>
      </c>
      <c r="I50" s="288"/>
      <c r="J50" s="289"/>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81.38"/>
  </cols>
  <sheetData>
    <row r="1">
      <c r="A1" s="344"/>
      <c r="B1" s="237"/>
      <c r="C1" s="345"/>
      <c r="D1" s="237"/>
      <c r="E1" s="237"/>
      <c r="F1" s="237"/>
      <c r="G1" s="237"/>
      <c r="H1" s="346"/>
      <c r="I1" s="82"/>
    </row>
    <row r="2">
      <c r="A2" s="83" t="s">
        <v>22</v>
      </c>
      <c r="B2" s="60" t="s">
        <v>23</v>
      </c>
      <c r="C2" s="60" t="s">
        <v>24</v>
      </c>
      <c r="D2" s="83" t="s">
        <v>25</v>
      </c>
      <c r="E2" s="60" t="s">
        <v>26</v>
      </c>
      <c r="F2" s="60" t="s">
        <v>27</v>
      </c>
      <c r="G2" s="60" t="s">
        <v>28</v>
      </c>
      <c r="H2" s="60" t="s">
        <v>29</v>
      </c>
      <c r="I2" s="83" t="s">
        <v>31</v>
      </c>
    </row>
    <row r="3">
      <c r="A3" s="347"/>
      <c r="B3" s="265"/>
      <c r="C3" s="348"/>
      <c r="D3" s="265"/>
      <c r="E3" s="265"/>
      <c r="F3" s="265"/>
      <c r="G3" s="265"/>
      <c r="H3" s="349"/>
      <c r="I3" s="129"/>
    </row>
    <row r="4">
      <c r="A4" s="350"/>
      <c r="B4" s="351"/>
      <c r="C4" s="352"/>
      <c r="D4" s="353" t="s">
        <v>2781</v>
      </c>
      <c r="E4" s="351"/>
      <c r="F4" s="351"/>
      <c r="G4" s="354"/>
      <c r="H4" s="351"/>
      <c r="I4" s="355"/>
    </row>
    <row r="5">
      <c r="A5" s="150">
        <v>30292.0</v>
      </c>
      <c r="B5" s="148" t="s">
        <v>32</v>
      </c>
      <c r="C5" s="135" t="str">
        <f>HYPERLINK("http://phish.net/sideshows/trey-anastasio-band/?d="&amp;RIGHT(TEXT(A5,"mm/dd/yyyy"),4)&amp;"-"&amp;LEFT(TEXT(A5,"mm/dd/yyyy"),2)&amp;"-"&amp;MID(TEXT(A5,"mm/dd/yyyy"),4,2), "setlist")</f>
        <v>setlist</v>
      </c>
      <c r="D5" s="149" t="s">
        <v>2782</v>
      </c>
      <c r="E5" s="149" t="s">
        <v>2783</v>
      </c>
      <c r="F5" s="148" t="s">
        <v>171</v>
      </c>
      <c r="G5" s="148" t="s">
        <v>36</v>
      </c>
      <c r="H5" s="135" t="str">
        <f>HYPERLINK("http://www.mediafire.com/?wcdb5657qp4ib", "download link")</f>
        <v>download link</v>
      </c>
      <c r="I5" s="173"/>
    </row>
    <row r="6">
      <c r="A6" s="350"/>
      <c r="B6" s="351"/>
      <c r="C6" s="352"/>
      <c r="D6" s="356" t="s">
        <v>2784</v>
      </c>
      <c r="E6" s="357"/>
      <c r="F6" s="351"/>
      <c r="G6" s="351"/>
      <c r="H6" s="358"/>
      <c r="I6" s="357"/>
    </row>
    <row r="7">
      <c r="A7" s="110">
        <v>31777.0</v>
      </c>
      <c r="B7" s="111"/>
      <c r="C7" s="135" t="str">
        <f>HYPERLINK("http://phish.net/sideshows/trey-anastasio-band/?d="&amp;RIGHT(TEXT(A7,"mm/dd/yyyy"),4)&amp;"-"&amp;LEFT(TEXT(A7,"mm/dd/yyyy"),2)&amp;"-"&amp;MID(TEXT(A7,"mm/dd/yyyy"),4,2), "setlist")</f>
        <v>setlist</v>
      </c>
      <c r="D7" s="183" t="s">
        <v>2785</v>
      </c>
      <c r="E7" s="183" t="s">
        <v>2786</v>
      </c>
      <c r="F7" s="114" t="s">
        <v>35</v>
      </c>
      <c r="G7" s="114" t="s">
        <v>36</v>
      </c>
      <c r="H7" s="135" t="str">
        <f>HYPERLINK("http://www.mediafire.com/?1jvs3ah76qybe", "download link")</f>
        <v>download link</v>
      </c>
      <c r="I7" s="183" t="s">
        <v>2787</v>
      </c>
    </row>
    <row r="8">
      <c r="A8" s="350"/>
      <c r="B8" s="351"/>
      <c r="C8" s="352"/>
      <c r="D8" s="356" t="s">
        <v>2788</v>
      </c>
      <c r="E8" s="357"/>
      <c r="F8" s="351"/>
      <c r="G8" s="351"/>
      <c r="H8" s="358"/>
      <c r="I8" s="357"/>
    </row>
    <row r="9">
      <c r="A9" s="110">
        <v>32687.0</v>
      </c>
      <c r="B9" s="111"/>
      <c r="C9" s="135" t="str">
        <f t="shared" ref="C9:C11" si="1">HYPERLINK("http://phish.net/sideshows/trey-anastasio-band/?d="&amp;RIGHT(TEXT(A9,"mm/dd/yyyy"),4)&amp;"-"&amp;LEFT(TEXT(A9,"mm/dd/yyyy"),2)&amp;"-"&amp;MID(TEXT(A9,"mm/dd/yyyy"),4,2), "setlist")</f>
        <v>setlist</v>
      </c>
      <c r="D9" s="183" t="s">
        <v>54</v>
      </c>
      <c r="E9" s="183" t="s">
        <v>34</v>
      </c>
      <c r="F9" s="114" t="s">
        <v>35</v>
      </c>
      <c r="G9" s="111"/>
      <c r="H9" s="359"/>
    </row>
    <row r="10">
      <c r="A10" s="103">
        <v>33258.0</v>
      </c>
      <c r="B10" s="104"/>
      <c r="C10" s="105" t="str">
        <f t="shared" si="1"/>
        <v>setlist</v>
      </c>
      <c r="D10" s="181" t="s">
        <v>54</v>
      </c>
      <c r="E10" s="181" t="s">
        <v>34</v>
      </c>
      <c r="F10" s="107" t="s">
        <v>35</v>
      </c>
      <c r="G10" s="104"/>
      <c r="H10" s="360"/>
      <c r="I10" s="260"/>
    </row>
    <row r="11">
      <c r="A11" s="110">
        <v>33265.0</v>
      </c>
      <c r="B11" s="111"/>
      <c r="C11" s="135" t="str">
        <f t="shared" si="1"/>
        <v>setlist</v>
      </c>
      <c r="D11" s="183" t="s">
        <v>54</v>
      </c>
      <c r="E11" s="183" t="s">
        <v>34</v>
      </c>
      <c r="F11" s="114" t="s">
        <v>35</v>
      </c>
      <c r="G11" s="111"/>
      <c r="H11" s="359"/>
    </row>
    <row r="12">
      <c r="A12" s="350"/>
      <c r="B12" s="351"/>
      <c r="C12" s="352"/>
      <c r="D12" s="353" t="s">
        <v>2789</v>
      </c>
      <c r="E12" s="351"/>
      <c r="F12" s="351"/>
      <c r="G12" s="354"/>
      <c r="H12" s="351"/>
      <c r="I12" s="355"/>
    </row>
    <row r="13">
      <c r="A13" s="147">
        <v>33636.0</v>
      </c>
      <c r="B13" s="158"/>
      <c r="C13" s="135" t="str">
        <f>HYPERLINK("http://phish.net/sideshows/trey-anastasio-band/?d=1992-02-02", "setlist")</f>
        <v>setlist</v>
      </c>
      <c r="D13" s="149" t="s">
        <v>2790</v>
      </c>
      <c r="E13" s="149" t="s">
        <v>34</v>
      </c>
      <c r="F13" s="148" t="s">
        <v>35</v>
      </c>
      <c r="G13" s="158"/>
      <c r="H13" s="138"/>
      <c r="I13" s="173"/>
    </row>
    <row r="14">
      <c r="A14" s="350"/>
      <c r="B14" s="351"/>
      <c r="C14" s="352"/>
      <c r="D14" s="353" t="s">
        <v>2791</v>
      </c>
      <c r="E14" s="351"/>
      <c r="F14" s="351"/>
      <c r="G14" s="354"/>
      <c r="H14" s="351"/>
      <c r="I14" s="355"/>
    </row>
    <row r="15">
      <c r="A15" s="110">
        <v>34128.0</v>
      </c>
      <c r="B15" s="111"/>
      <c r="C15" s="135" t="str">
        <f>HYPERLINK("http://phish.net/sideshows/guest-appearance/?d=1993-06-08", "setlist")</f>
        <v>setlist</v>
      </c>
      <c r="D15" s="113" t="s">
        <v>2792</v>
      </c>
      <c r="E15" s="183" t="s">
        <v>34</v>
      </c>
      <c r="F15" s="114" t="s">
        <v>35</v>
      </c>
      <c r="G15" s="111"/>
      <c r="H15" s="359"/>
      <c r="I15" s="80"/>
    </row>
    <row r="16">
      <c r="A16" s="350"/>
      <c r="B16" s="351"/>
      <c r="C16" s="352"/>
      <c r="D16" s="353" t="s">
        <v>2793</v>
      </c>
      <c r="E16" s="351"/>
      <c r="F16" s="351"/>
      <c r="G16" s="354"/>
      <c r="H16" s="351"/>
      <c r="I16" s="355"/>
    </row>
    <row r="17">
      <c r="A17" s="110">
        <v>34130.0</v>
      </c>
      <c r="B17" s="111"/>
      <c r="C17" s="135" t="str">
        <f>HYPERLINK("http://phish.net/sideshows/trey-anastasio-band/?d="&amp;RIGHT(TEXT(A17,"mm/dd/yyyy"),4)&amp;"-"&amp;LEFT(TEXT(A17,"mm/dd/yyyy"),2)&amp;"-"&amp;MID(TEXT(A17,"mm/dd/yyyy"),4,2), "setlist")</f>
        <v>setlist</v>
      </c>
      <c r="D17" s="113" t="s">
        <v>2794</v>
      </c>
      <c r="E17" s="183" t="s">
        <v>34</v>
      </c>
      <c r="F17" s="114" t="s">
        <v>35</v>
      </c>
      <c r="G17" s="139" t="s">
        <v>36</v>
      </c>
      <c r="H17" s="135" t="str">
        <f>HYPERLINK("http://www.mediafire.com/file/ygco66ij6aaer87/1993-06-10_-_Last_Elm_Cafe_-_Burlington%2C_VT.rar", "download link")</f>
        <v>download link</v>
      </c>
      <c r="I17" s="80"/>
    </row>
    <row r="18">
      <c r="A18" s="350"/>
      <c r="B18" s="351"/>
      <c r="C18" s="352"/>
      <c r="D18" s="353" t="s">
        <v>2795</v>
      </c>
      <c r="E18" s="351"/>
      <c r="F18" s="351"/>
      <c r="G18" s="354"/>
      <c r="H18" s="351"/>
      <c r="I18" s="355"/>
    </row>
    <row r="19">
      <c r="A19" s="150">
        <v>34151.0</v>
      </c>
      <c r="B19" s="158"/>
      <c r="C19" s="361" t="s">
        <v>40</v>
      </c>
      <c r="D19" s="149" t="s">
        <v>2796</v>
      </c>
      <c r="E19" s="149" t="s">
        <v>2797</v>
      </c>
      <c r="F19" s="148" t="s">
        <v>171</v>
      </c>
      <c r="G19" s="148" t="s">
        <v>36</v>
      </c>
      <c r="H19" s="135" t="str">
        <f>HYPERLINK("http://www.mediafire.com/?0x0020w0fczva", "download link")</f>
        <v>download link</v>
      </c>
      <c r="I19" s="173"/>
    </row>
    <row r="20">
      <c r="A20" s="130">
        <v>34155.0</v>
      </c>
      <c r="B20" s="131"/>
      <c r="C20" s="105" t="str">
        <f>HYPERLINK("http://phish.net/sideshows/trey-anastasio-band/?d=1993-07-05", "setlist")</f>
        <v>setlist</v>
      </c>
      <c r="D20" s="132" t="s">
        <v>2798</v>
      </c>
      <c r="E20" s="132" t="s">
        <v>2797</v>
      </c>
      <c r="F20" s="133" t="s">
        <v>171</v>
      </c>
      <c r="G20" s="133" t="s">
        <v>36</v>
      </c>
      <c r="H20" s="105" t="str">
        <f>HYPERLINK("http://www.mediafire.com/?e66wquq93zu21", "download link")</f>
        <v>download link</v>
      </c>
      <c r="I20" s="174"/>
    </row>
    <row r="21">
      <c r="A21" s="350"/>
      <c r="B21" s="351"/>
      <c r="C21" s="352"/>
      <c r="D21" s="353" t="s">
        <v>2793</v>
      </c>
      <c r="E21" s="351"/>
      <c r="F21" s="351"/>
      <c r="G21" s="354"/>
      <c r="H21" s="351"/>
      <c r="I21" s="355"/>
    </row>
    <row r="22">
      <c r="A22" s="110">
        <v>34159.0</v>
      </c>
      <c r="B22" s="111"/>
      <c r="C22" s="135" t="str">
        <f t="shared" ref="C22:C23" si="2">HYPERLINK("http://phish.net/sideshows/trey-anastasio-band/?d="&amp;RIGHT(TEXT(A22,"mm/dd/yyyy"),4)&amp;"-"&amp;LEFT(TEXT(A22,"mm/dd/yyyy"),2)&amp;"-"&amp;MID(TEXT(A22,"mm/dd/yyyy"),4,2), "setlist")</f>
        <v>setlist</v>
      </c>
      <c r="D22" s="113" t="s">
        <v>2799</v>
      </c>
      <c r="E22" s="183" t="s">
        <v>841</v>
      </c>
      <c r="F22" s="114" t="s">
        <v>129</v>
      </c>
      <c r="G22" s="111"/>
      <c r="H22" s="359"/>
      <c r="I22" s="80"/>
    </row>
    <row r="23">
      <c r="A23" s="103">
        <v>34215.0</v>
      </c>
      <c r="B23" s="104"/>
      <c r="C23" s="105" t="str">
        <f t="shared" si="2"/>
        <v>setlist</v>
      </c>
      <c r="D23" s="106" t="s">
        <v>2799</v>
      </c>
      <c r="E23" s="181" t="s">
        <v>841</v>
      </c>
      <c r="F23" s="107" t="s">
        <v>129</v>
      </c>
      <c r="G23" s="104"/>
      <c r="H23" s="360"/>
      <c r="I23" s="109"/>
    </row>
    <row r="24">
      <c r="A24" s="350"/>
      <c r="B24" s="351"/>
      <c r="C24" s="352"/>
      <c r="D24" s="353" t="s">
        <v>2800</v>
      </c>
      <c r="E24" s="351"/>
      <c r="F24" s="351"/>
      <c r="G24" s="354"/>
      <c r="H24" s="351"/>
      <c r="I24" s="355"/>
    </row>
    <row r="25">
      <c r="A25" s="150">
        <v>34347.0</v>
      </c>
      <c r="B25" s="158"/>
      <c r="C25" s="116" t="str">
        <f t="shared" ref="C25:C27" si="3">HYPERLINK("http://phish.net/sideshows/trey-anastasio-band/?d="&amp;RIGHT(TEXT(A25,"mm/dd/yyyy"),4)&amp;"-"&amp;LEFT(TEXT(A25,"mm/dd/yyyy"),2)&amp;"-"&amp;MID(TEXT(A25,"mm/dd/yyyy"),4,2), "setlist")</f>
        <v>setlist</v>
      </c>
      <c r="D25" s="149" t="s">
        <v>2794</v>
      </c>
      <c r="E25" s="149" t="s">
        <v>34</v>
      </c>
      <c r="F25" s="148" t="s">
        <v>35</v>
      </c>
      <c r="G25" s="148" t="s">
        <v>36</v>
      </c>
      <c r="H25" s="135" t="str">
        <f>HYPERLINK("http://www.mediafire.com/?ic3nd3kyjx1r0", "download link")</f>
        <v>download link</v>
      </c>
      <c r="I25" s="149" t="s">
        <v>111</v>
      </c>
    </row>
    <row r="26">
      <c r="A26" s="130">
        <v>34358.0</v>
      </c>
      <c r="B26" s="133" t="s">
        <v>32</v>
      </c>
      <c r="C26" s="105" t="str">
        <f t="shared" si="3"/>
        <v>setlist</v>
      </c>
      <c r="D26" s="132" t="s">
        <v>2801</v>
      </c>
      <c r="E26" s="132" t="s">
        <v>279</v>
      </c>
      <c r="F26" s="133" t="s">
        <v>257</v>
      </c>
      <c r="G26" s="133" t="s">
        <v>36</v>
      </c>
      <c r="H26" s="105" t="str">
        <f>HYPERLINK("http://www.mediafire.com/?xrbj4jqsab5c0", "download link")</f>
        <v>download link</v>
      </c>
      <c r="I26" s="132" t="s">
        <v>111</v>
      </c>
    </row>
    <row r="27">
      <c r="A27" s="150">
        <v>34362.0</v>
      </c>
      <c r="B27" s="156"/>
      <c r="C27" s="116" t="str">
        <f t="shared" si="3"/>
        <v>setlist</v>
      </c>
      <c r="D27" s="153" t="s">
        <v>2799</v>
      </c>
      <c r="E27" s="153" t="s">
        <v>841</v>
      </c>
      <c r="F27" s="151" t="s">
        <v>129</v>
      </c>
      <c r="G27" s="156"/>
      <c r="H27" s="145"/>
      <c r="I27" s="79"/>
    </row>
    <row r="28">
      <c r="A28" s="350"/>
      <c r="B28" s="351"/>
      <c r="C28" s="352"/>
      <c r="D28" s="353" t="s">
        <v>2800</v>
      </c>
      <c r="E28" s="351"/>
      <c r="F28" s="351"/>
      <c r="G28" s="354"/>
      <c r="H28" s="351"/>
      <c r="I28" s="355"/>
    </row>
    <row r="29">
      <c r="A29" s="150">
        <v>34381.0</v>
      </c>
      <c r="B29" s="156"/>
      <c r="C29" s="116" t="str">
        <f t="shared" ref="C29:C37" si="4">HYPERLINK("http://phish.net/sideshows/trey-anastasio-band/?d="&amp;RIGHT(TEXT(A29,"mm/dd/yyyy"),4)&amp;"-"&amp;LEFT(TEXT(A29,"mm/dd/yyyy"),2)&amp;"-"&amp;MID(TEXT(A29,"mm/dd/yyyy"),4,2), "setlist")</f>
        <v>setlist</v>
      </c>
      <c r="D29" s="153" t="s">
        <v>2802</v>
      </c>
      <c r="E29" s="153" t="s">
        <v>1060</v>
      </c>
      <c r="F29" s="151" t="s">
        <v>35</v>
      </c>
      <c r="G29" s="151" t="s">
        <v>36</v>
      </c>
      <c r="H29" s="116" t="str">
        <f>HYPERLINK("http://www.mediafire.com/?od454g5avekbt", "download link")</f>
        <v>download link</v>
      </c>
      <c r="I29" s="79"/>
    </row>
    <row r="30">
      <c r="A30" s="130">
        <v>34388.0</v>
      </c>
      <c r="B30" s="133" t="s">
        <v>32</v>
      </c>
      <c r="C30" s="105" t="str">
        <f t="shared" si="4"/>
        <v>setlist</v>
      </c>
      <c r="D30" s="132" t="s">
        <v>2803</v>
      </c>
      <c r="E30" s="132" t="s">
        <v>231</v>
      </c>
      <c r="F30" s="133" t="s">
        <v>35</v>
      </c>
      <c r="G30" s="133" t="s">
        <v>36</v>
      </c>
      <c r="H30" s="105" t="str">
        <f>HYPERLINK("http://www.mediafire.com/?6y33ciagrez74", "download link")</f>
        <v>download link</v>
      </c>
      <c r="I30" s="174"/>
    </row>
    <row r="31">
      <c r="A31" s="150">
        <v>34389.0</v>
      </c>
      <c r="B31" s="156"/>
      <c r="C31" s="116" t="str">
        <f t="shared" si="4"/>
        <v>setlist</v>
      </c>
      <c r="D31" s="153" t="s">
        <v>2794</v>
      </c>
      <c r="E31" s="153" t="s">
        <v>34</v>
      </c>
      <c r="F31" s="151" t="s">
        <v>35</v>
      </c>
      <c r="G31" s="156"/>
      <c r="H31" s="145"/>
      <c r="I31" s="79"/>
    </row>
    <row r="32">
      <c r="A32" s="130">
        <v>34390.0</v>
      </c>
      <c r="B32" s="131"/>
      <c r="C32" s="105" t="str">
        <f t="shared" si="4"/>
        <v>setlist</v>
      </c>
      <c r="D32" s="132" t="s">
        <v>2799</v>
      </c>
      <c r="E32" s="132" t="s">
        <v>841</v>
      </c>
      <c r="F32" s="133" t="s">
        <v>129</v>
      </c>
      <c r="G32" s="131"/>
      <c r="H32" s="108"/>
      <c r="I32" s="174"/>
    </row>
    <row r="33">
      <c r="A33" s="150">
        <v>34397.0</v>
      </c>
      <c r="B33" s="156"/>
      <c r="C33" s="116" t="str">
        <f t="shared" si="4"/>
        <v>setlist</v>
      </c>
      <c r="D33" s="153" t="s">
        <v>2804</v>
      </c>
      <c r="E33" s="153" t="s">
        <v>34</v>
      </c>
      <c r="F33" s="151" t="s">
        <v>35</v>
      </c>
      <c r="G33" s="156"/>
      <c r="H33" s="145"/>
      <c r="I33" s="79"/>
    </row>
    <row r="34">
      <c r="A34" s="130">
        <v>34587.0</v>
      </c>
      <c r="B34" s="133" t="s">
        <v>32</v>
      </c>
      <c r="C34" s="105" t="str">
        <f t="shared" si="4"/>
        <v>setlist</v>
      </c>
      <c r="D34" s="132" t="s">
        <v>728</v>
      </c>
      <c r="E34" s="132" t="s">
        <v>279</v>
      </c>
      <c r="F34" s="133" t="s">
        <v>257</v>
      </c>
      <c r="G34" s="133" t="s">
        <v>36</v>
      </c>
      <c r="H34" s="105" t="str">
        <f>HYPERLINK("http://www.mediafire.com/?dc1h6k5h7jwz9", "download link")</f>
        <v>download link</v>
      </c>
      <c r="I34" s="174"/>
    </row>
    <row r="35">
      <c r="A35" s="150">
        <v>34588.0</v>
      </c>
      <c r="B35" s="156"/>
      <c r="C35" s="116" t="str">
        <f t="shared" si="4"/>
        <v>setlist</v>
      </c>
      <c r="D35" s="153" t="s">
        <v>2805</v>
      </c>
      <c r="E35" s="153" t="s">
        <v>247</v>
      </c>
      <c r="F35" s="151" t="s">
        <v>95</v>
      </c>
      <c r="G35" s="151" t="s">
        <v>36</v>
      </c>
      <c r="H35" s="116" t="str">
        <f>HYPERLINK("http://www.mediafire.com/?w2r4jojw40kjp", "download link")</f>
        <v>download link</v>
      </c>
      <c r="I35" s="79"/>
    </row>
    <row r="36">
      <c r="A36" s="130">
        <v>34596.0</v>
      </c>
      <c r="B36" s="131"/>
      <c r="C36" s="105" t="str">
        <f t="shared" si="4"/>
        <v>setlist</v>
      </c>
      <c r="D36" s="132" t="s">
        <v>2806</v>
      </c>
      <c r="E36" s="132" t="s">
        <v>34</v>
      </c>
      <c r="F36" s="133" t="s">
        <v>35</v>
      </c>
      <c r="G36" s="131"/>
      <c r="H36" s="108"/>
      <c r="I36" s="174"/>
    </row>
    <row r="37">
      <c r="A37" s="150">
        <v>34596.0</v>
      </c>
      <c r="B37" s="156"/>
      <c r="C37" s="116" t="str">
        <f t="shared" si="4"/>
        <v>setlist</v>
      </c>
      <c r="D37" s="153" t="s">
        <v>2807</v>
      </c>
      <c r="E37" s="153" t="s">
        <v>34</v>
      </c>
      <c r="F37" s="151" t="s">
        <v>35</v>
      </c>
      <c r="G37" s="156"/>
      <c r="H37" s="145"/>
      <c r="I37" s="79"/>
    </row>
    <row r="38">
      <c r="A38" s="350"/>
      <c r="B38" s="351"/>
      <c r="C38" s="352"/>
      <c r="D38" s="353" t="s">
        <v>2800</v>
      </c>
      <c r="E38" s="351"/>
      <c r="F38" s="351"/>
      <c r="G38" s="354"/>
      <c r="H38" s="351"/>
      <c r="I38" s="355"/>
    </row>
    <row r="39">
      <c r="A39" s="150">
        <v>35088.0</v>
      </c>
      <c r="B39" s="156"/>
      <c r="C39" s="135" t="str">
        <f>HYPERLINK("http://phish.net/sideshows/trey-anastasio-band/?d="&amp;RIGHT(TEXT(A39,"mm/dd/yyyy"),4)&amp;"-"&amp;LEFT(TEXT(A39,"mm/dd/yyyy"),2)&amp;"-"&amp;MID(TEXT(A39,"mm/dd/yyyy"),4,2), "setlist")</f>
        <v>setlist</v>
      </c>
      <c r="D39" s="153" t="s">
        <v>2808</v>
      </c>
      <c r="E39" s="153" t="s">
        <v>34</v>
      </c>
      <c r="F39" s="151" t="s">
        <v>35</v>
      </c>
      <c r="G39" s="151" t="s">
        <v>36</v>
      </c>
      <c r="H39" s="135" t="str">
        <f>HYPERLINK("http://www.mediafire.com/?x7896dgvj9vy5", "download link")</f>
        <v>download link</v>
      </c>
      <c r="I39" s="79"/>
    </row>
    <row r="40">
      <c r="A40" s="350"/>
      <c r="B40" s="354"/>
      <c r="C40" s="352"/>
      <c r="D40" s="353" t="s">
        <v>2809</v>
      </c>
      <c r="E40" s="355"/>
      <c r="F40" s="354"/>
      <c r="G40" s="354"/>
      <c r="H40" s="351"/>
      <c r="I40" s="355"/>
    </row>
    <row r="41">
      <c r="A41" s="150">
        <v>35156.0</v>
      </c>
      <c r="B41" s="158"/>
      <c r="C41" s="135" t="str">
        <f t="shared" ref="C41:C42" si="5">HYPERLINK("http://phish.net/sideshows/trey-anastasio-band/?d="&amp;RIGHT(TEXT(A41,"mm/dd/yyyy"),4)&amp;"-"&amp;LEFT(TEXT(A41,"mm/dd/yyyy"),2)&amp;"-"&amp;MID(TEXT(A41,"mm/dd/yyyy"),4,2), "setlist")</f>
        <v>setlist</v>
      </c>
      <c r="D41" s="149" t="s">
        <v>749</v>
      </c>
      <c r="E41" s="149" t="s">
        <v>162</v>
      </c>
      <c r="F41" s="148" t="s">
        <v>129</v>
      </c>
      <c r="G41" s="148" t="s">
        <v>36</v>
      </c>
      <c r="H41" s="135" t="str">
        <f>HYPERLINK("http://www.mediafire.com/?52y5533epmrdz", "download link")</f>
        <v>download link</v>
      </c>
      <c r="I41" s="173"/>
    </row>
    <row r="42">
      <c r="A42" s="130">
        <v>35157.0</v>
      </c>
      <c r="B42" s="131"/>
      <c r="C42" s="105" t="str">
        <f t="shared" si="5"/>
        <v>setlist</v>
      </c>
      <c r="D42" s="132" t="s">
        <v>749</v>
      </c>
      <c r="E42" s="132" t="s">
        <v>162</v>
      </c>
      <c r="F42" s="133" t="s">
        <v>129</v>
      </c>
      <c r="G42" s="133" t="s">
        <v>36</v>
      </c>
      <c r="H42" s="105" t="str">
        <f>HYPERLINK("http://www.mediafire.com/?3duykdo541s2j", "download link")</f>
        <v>download link</v>
      </c>
      <c r="I42" s="132" t="s">
        <v>2810</v>
      </c>
    </row>
    <row r="43">
      <c r="A43" s="350"/>
      <c r="B43" s="350"/>
      <c r="C43" s="352"/>
      <c r="D43" s="353" t="s">
        <v>162</v>
      </c>
      <c r="E43" s="355"/>
      <c r="F43" s="354"/>
      <c r="G43" s="354"/>
      <c r="H43" s="351"/>
      <c r="I43" s="355"/>
    </row>
    <row r="44">
      <c r="A44" s="150">
        <v>35571.0</v>
      </c>
      <c r="B44" s="148" t="s">
        <v>32</v>
      </c>
      <c r="C44" s="135" t="str">
        <f>HYPERLINK("http://phish.net/sideshows/trey-anastasio-band/?d="&amp;RIGHT(TEXT(A44,"mm/dd/yyyy"),4)&amp;"-"&amp;LEFT(TEXT(A44,"mm/dd/yyyy"),2)&amp;"-"&amp;MID(TEXT(A44,"mm/dd/yyyy"),4,2), "setlist")</f>
        <v>setlist</v>
      </c>
      <c r="D44" s="149" t="s">
        <v>2811</v>
      </c>
      <c r="E44" s="149" t="s">
        <v>34</v>
      </c>
      <c r="F44" s="148" t="s">
        <v>35</v>
      </c>
      <c r="G44" s="148" t="s">
        <v>36</v>
      </c>
      <c r="H44" s="135" t="str">
        <f>HYPERLINK("http://www.mediafire.com/?kctj4m8viqtu4", "download link")</f>
        <v>download link</v>
      </c>
      <c r="I44" s="149" t="s">
        <v>2812</v>
      </c>
    </row>
    <row r="45">
      <c r="A45" s="350"/>
      <c r="B45" s="351"/>
      <c r="C45" s="362"/>
      <c r="D45" s="356" t="s">
        <v>2813</v>
      </c>
      <c r="E45" s="350"/>
      <c r="F45" s="351"/>
      <c r="G45" s="351"/>
      <c r="H45" s="351"/>
      <c r="I45" s="350"/>
    </row>
    <row r="46">
      <c r="A46" s="110">
        <v>35836.0</v>
      </c>
      <c r="B46" s="111"/>
      <c r="C46" s="135" t="str">
        <f>HYPERLINK("http://phish.net/sideshows/guest-appearance/?d=1998-02-10", "setlist")</f>
        <v>setlist</v>
      </c>
      <c r="D46" s="183" t="s">
        <v>2814</v>
      </c>
      <c r="E46" s="183" t="s">
        <v>854</v>
      </c>
      <c r="F46" s="114" t="s">
        <v>35</v>
      </c>
      <c r="G46" s="111"/>
      <c r="H46" s="111"/>
      <c r="I46" s="113" t="s">
        <v>2815</v>
      </c>
    </row>
    <row r="47">
      <c r="A47" s="350"/>
      <c r="B47" s="354"/>
      <c r="C47" s="352"/>
      <c r="D47" s="353" t="s">
        <v>2816</v>
      </c>
      <c r="E47" s="350"/>
      <c r="F47" s="351"/>
      <c r="G47" s="354"/>
      <c r="H47" s="351"/>
      <c r="I47" s="355"/>
    </row>
    <row r="48">
      <c r="A48" s="150">
        <v>35902.0</v>
      </c>
      <c r="B48" s="158"/>
      <c r="C48" s="135" t="str">
        <f>HYPERLINK("http://phish.net/sideshows/trey-anastasio-band/?d="&amp;RIGHT(TEXT(A48,"mm/dd/yyyy"),4)&amp;"-"&amp;LEFT(TEXT(A48,"mm/dd/yyyy"),2)&amp;"-"&amp;MID(TEXT(A48,"mm/dd/yyyy"),4,2), "setlist")</f>
        <v>setlist</v>
      </c>
      <c r="D48" s="149" t="s">
        <v>2817</v>
      </c>
      <c r="E48" s="149" t="s">
        <v>854</v>
      </c>
      <c r="F48" s="148" t="s">
        <v>35</v>
      </c>
      <c r="G48" s="148" t="s">
        <v>36</v>
      </c>
      <c r="H48" s="135" t="str">
        <f>HYPERLINK("http://www.mediafire.com/?j7c8yyb47eomu", "download link")</f>
        <v>download link</v>
      </c>
      <c r="I48" s="149" t="s">
        <v>2818</v>
      </c>
    </row>
    <row r="49">
      <c r="A49" s="350"/>
      <c r="B49" s="354"/>
      <c r="C49" s="352"/>
      <c r="D49" s="353" t="s">
        <v>2819</v>
      </c>
      <c r="E49" s="350"/>
      <c r="F49" s="351"/>
      <c r="G49" s="354"/>
      <c r="H49" s="351"/>
      <c r="I49" s="355"/>
    </row>
    <row r="50">
      <c r="A50" s="147">
        <v>36100.0</v>
      </c>
      <c r="B50" s="158"/>
      <c r="C50" s="135" t="str">
        <f>HYPERLINK("http://phish.net/sideshows/trey-anastasio-band/?d="&amp;RIGHT(TEXT(A50,"mm/dd/yyyy"),4)&amp;"-"&amp;LEFT(TEXT(A50,"mm/dd/yyyy"),2)&amp;"-"&amp;MID(TEXT(A50,"mm/dd/yyyy"),4,2), "setlist")</f>
        <v>setlist</v>
      </c>
      <c r="D50" s="149" t="s">
        <v>2820</v>
      </c>
      <c r="E50" s="149" t="s">
        <v>1301</v>
      </c>
      <c r="F50" s="148" t="s">
        <v>1302</v>
      </c>
      <c r="G50" s="158"/>
      <c r="H50" s="138"/>
      <c r="I50" s="173"/>
    </row>
    <row r="51">
      <c r="A51" s="350"/>
      <c r="B51" s="354"/>
      <c r="C51" s="352"/>
      <c r="D51" s="353" t="s">
        <v>2821</v>
      </c>
      <c r="E51" s="350"/>
      <c r="F51" s="351"/>
      <c r="G51" s="354"/>
      <c r="H51" s="351"/>
      <c r="I51" s="355"/>
    </row>
    <row r="52">
      <c r="A52" s="150">
        <v>36206.0</v>
      </c>
      <c r="B52" s="158"/>
      <c r="C52" s="135" t="str">
        <f>HYPERLINK("http://phish.net/sideshows/trey-anastasio-band/?d="&amp;RIGHT(TEXT(A52,"mm/dd/yyyy"),4)&amp;"-"&amp;LEFT(TEXT(A52,"mm/dd/yyyy"),2)&amp;"-"&amp;MID(TEXT(A52,"mm/dd/yyyy"),4,2), "setlist")</f>
        <v>setlist</v>
      </c>
      <c r="D52" s="149" t="s">
        <v>2817</v>
      </c>
      <c r="E52" s="149" t="s">
        <v>854</v>
      </c>
      <c r="F52" s="148" t="s">
        <v>35</v>
      </c>
      <c r="G52" s="148" t="s">
        <v>36</v>
      </c>
      <c r="H52" s="135" t="str">
        <f>HYPERLINK("http://www.mediafire.com/?b4h06qwabugx1", "download link")</f>
        <v>download link</v>
      </c>
      <c r="I52" s="173"/>
    </row>
    <row r="53">
      <c r="A53" s="350"/>
      <c r="B53" s="354"/>
      <c r="C53" s="352"/>
      <c r="D53" s="353" t="s">
        <v>2822</v>
      </c>
      <c r="E53" s="350"/>
      <c r="F53" s="351"/>
      <c r="G53" s="354"/>
      <c r="H53" s="351"/>
      <c r="I53" s="355"/>
    </row>
    <row r="54">
      <c r="A54" s="150">
        <v>36213.0</v>
      </c>
      <c r="B54" s="158"/>
      <c r="C54" s="135" t="str">
        <f>HYPERLINK("http://phish.net/sideshows/trey-anastasio-band/?d="&amp;RIGHT(TEXT(A54,"mm/dd/yyyy"),4)&amp;"-"&amp;LEFT(TEXT(A54,"mm/dd/yyyy"),2)&amp;"-"&amp;MID(TEXT(A54,"mm/dd/yyyy"),4,2), "setlist")</f>
        <v>setlist</v>
      </c>
      <c r="D54" s="149" t="s">
        <v>2823</v>
      </c>
      <c r="E54" s="149" t="s">
        <v>162</v>
      </c>
      <c r="F54" s="148" t="s">
        <v>129</v>
      </c>
      <c r="G54" s="148" t="s">
        <v>36</v>
      </c>
      <c r="H54" s="135" t="str">
        <f>HYPERLINK("http://www.mediafire.com/?82zevxmdzr14i", "download link")</f>
        <v>download link</v>
      </c>
      <c r="I54" s="173"/>
    </row>
    <row r="55">
      <c r="A55" s="350"/>
      <c r="B55" s="354"/>
      <c r="C55" s="352"/>
      <c r="D55" s="353" t="s">
        <v>2824</v>
      </c>
      <c r="E55" s="350"/>
      <c r="F55" s="351"/>
      <c r="G55" s="354"/>
      <c r="H55" s="351"/>
      <c r="I55" s="355"/>
    </row>
    <row r="56">
      <c r="A56" s="147">
        <v>36250.0</v>
      </c>
      <c r="B56" s="158"/>
      <c r="C56" s="135" t="str">
        <f>HYPERLINK("http://phish.net/sideshows/trey-anastasio-band/?d=1999-03-31", "setlist")</f>
        <v>setlist</v>
      </c>
      <c r="D56" s="149" t="s">
        <v>2825</v>
      </c>
      <c r="E56" s="149" t="s">
        <v>2826</v>
      </c>
      <c r="F56" s="148" t="s">
        <v>35</v>
      </c>
      <c r="G56" s="158"/>
      <c r="H56" s="138"/>
      <c r="I56" s="173"/>
    </row>
    <row r="57">
      <c r="A57" s="350"/>
      <c r="B57" s="354"/>
      <c r="C57" s="352"/>
      <c r="D57" s="353" t="s">
        <v>2827</v>
      </c>
      <c r="E57" s="350"/>
      <c r="F57" s="351"/>
      <c r="G57" s="354"/>
      <c r="H57" s="351"/>
      <c r="I57" s="355"/>
    </row>
    <row r="58">
      <c r="A58" s="147">
        <v>36262.0</v>
      </c>
      <c r="B58" s="158"/>
      <c r="C58" s="135" t="str">
        <f>HYPERLINK("http://phish.net/sideshows/trey-anastasio-band/?d="&amp;RIGHT(TEXT(A58,"mm/dd/yyyy"),4)&amp;"-"&amp;LEFT(TEXT(A58,"mm/dd/yyyy"),2)&amp;"-"&amp;MID(TEXT(A58,"mm/dd/yyyy"),4,2), "setlist")</f>
        <v>setlist</v>
      </c>
      <c r="D58" s="149" t="s">
        <v>2828</v>
      </c>
      <c r="E58" s="149" t="s">
        <v>2829</v>
      </c>
      <c r="F58" s="148" t="s">
        <v>679</v>
      </c>
      <c r="G58" s="158"/>
      <c r="H58" s="138"/>
      <c r="I58" s="173"/>
    </row>
    <row r="59">
      <c r="A59" s="350"/>
      <c r="B59" s="351"/>
      <c r="C59" s="352"/>
      <c r="D59" s="356" t="s">
        <v>2830</v>
      </c>
      <c r="E59" s="357"/>
      <c r="F59" s="351"/>
      <c r="G59" s="351"/>
      <c r="H59" s="358"/>
      <c r="I59" s="357"/>
    </row>
    <row r="60">
      <c r="A60" s="110">
        <v>36262.0</v>
      </c>
      <c r="B60" s="111"/>
      <c r="C60" s="135" t="str">
        <f>HYPERLINK("http://phish.net/sideshows/page-mcconnell/?showid=1326761628", "setlist")</f>
        <v>setlist</v>
      </c>
      <c r="D60" s="183" t="s">
        <v>2831</v>
      </c>
      <c r="E60" s="183" t="s">
        <v>2832</v>
      </c>
      <c r="F60" s="114" t="s">
        <v>679</v>
      </c>
      <c r="G60" s="111"/>
      <c r="H60" s="138"/>
    </row>
    <row r="61">
      <c r="A61" s="103">
        <v>36265.0</v>
      </c>
      <c r="B61" s="107" t="s">
        <v>32</v>
      </c>
      <c r="C61" s="105" t="str">
        <f t="shared" ref="C61:C63" si="6">HYPERLINK("http://phish.net/sideshows/trey-anastasio-band/?d="&amp;RIGHT(TEXT(A61,"mm/dd/yyyy"),4)&amp;"-"&amp;LEFT(TEXT(A61,"mm/dd/yyyy"),2)&amp;"-"&amp;MID(TEXT(A61,"mm/dd/yyyy"),4,2), "setlist")</f>
        <v>setlist</v>
      </c>
      <c r="D61" s="181" t="s">
        <v>914</v>
      </c>
      <c r="E61" s="181" t="s">
        <v>683</v>
      </c>
      <c r="F61" s="107" t="s">
        <v>679</v>
      </c>
      <c r="G61" s="107" t="s">
        <v>36</v>
      </c>
      <c r="H61" s="105" t="str">
        <f>HYPERLINK("http://www.mediafire.com/?pgywa6v87itzc", "download link")</f>
        <v>download link</v>
      </c>
      <c r="I61" s="132" t="s">
        <v>2833</v>
      </c>
    </row>
    <row r="62">
      <c r="A62" s="142">
        <v>36266.0</v>
      </c>
      <c r="B62" s="115" t="s">
        <v>32</v>
      </c>
      <c r="C62" s="116" t="str">
        <f t="shared" si="6"/>
        <v>setlist</v>
      </c>
      <c r="D62" s="272" t="s">
        <v>914</v>
      </c>
      <c r="E62" s="272" t="s">
        <v>683</v>
      </c>
      <c r="F62" s="115" t="s">
        <v>679</v>
      </c>
      <c r="G62" s="115" t="s">
        <v>36</v>
      </c>
      <c r="H62" s="116" t="str">
        <f>HYPERLINK("http://www.mediafire.com/?92u89sp8290dk", "download link")</f>
        <v>download link</v>
      </c>
      <c r="I62" s="153" t="s">
        <v>2834</v>
      </c>
    </row>
    <row r="63">
      <c r="A63" s="103">
        <v>36267.0</v>
      </c>
      <c r="B63" s="107" t="s">
        <v>32</v>
      </c>
      <c r="C63" s="105" t="str">
        <f t="shared" si="6"/>
        <v>setlist</v>
      </c>
      <c r="D63" s="181" t="s">
        <v>914</v>
      </c>
      <c r="E63" s="181" t="s">
        <v>683</v>
      </c>
      <c r="F63" s="107" t="s">
        <v>679</v>
      </c>
      <c r="G63" s="107" t="s">
        <v>36</v>
      </c>
      <c r="H63" s="105" t="str">
        <f>HYPERLINK("http://www.mediafire.com/?k9294sn92c2ef", "download link")</f>
        <v>download link</v>
      </c>
      <c r="I63" s="132" t="s">
        <v>2834</v>
      </c>
    </row>
    <row r="64">
      <c r="A64" s="350"/>
      <c r="B64" s="354"/>
      <c r="C64" s="352"/>
      <c r="D64" s="353" t="s">
        <v>2821</v>
      </c>
      <c r="E64" s="355"/>
      <c r="F64" s="354"/>
      <c r="G64" s="354"/>
      <c r="H64" s="351"/>
      <c r="I64" s="355"/>
    </row>
    <row r="65">
      <c r="A65" s="150">
        <v>36283.0</v>
      </c>
      <c r="B65" s="158"/>
      <c r="C65" s="135" t="str">
        <f t="shared" ref="C65:C71" si="7">HYPERLINK("http://phish.net/sideshows/trey-anastasio-band/?d="&amp;RIGHT(TEXT(A65,"mm/dd/yyyy"),4)&amp;"-"&amp;LEFT(TEXT(A65,"mm/dd/yyyy"),2)&amp;"-"&amp;MID(TEXT(A65,"mm/dd/yyyy"),4,2), "setlist")</f>
        <v>setlist</v>
      </c>
      <c r="D65" s="149" t="s">
        <v>1086</v>
      </c>
      <c r="E65" s="149" t="s">
        <v>711</v>
      </c>
      <c r="F65" s="148" t="s">
        <v>712</v>
      </c>
      <c r="G65" s="148" t="s">
        <v>36</v>
      </c>
      <c r="H65" s="135" t="str">
        <f>HYPERLINK("http://www.mediafire.com/?9psoz85kl672o", "download link")</f>
        <v>download link</v>
      </c>
      <c r="I65" s="173"/>
    </row>
    <row r="66">
      <c r="A66" s="130">
        <v>36284.0</v>
      </c>
      <c r="B66" s="131"/>
      <c r="C66" s="105" t="str">
        <f t="shared" si="7"/>
        <v>setlist</v>
      </c>
      <c r="D66" s="132" t="s">
        <v>1288</v>
      </c>
      <c r="E66" s="132" t="s">
        <v>1289</v>
      </c>
      <c r="F66" s="133" t="s">
        <v>508</v>
      </c>
      <c r="G66" s="133" t="s">
        <v>36</v>
      </c>
      <c r="H66" s="105" t="str">
        <f>HYPERLINK("http://www.mediafire.com/?ubg85skr6d0mc", "download link")</f>
        <v>download link</v>
      </c>
      <c r="I66" s="174"/>
    </row>
    <row r="67">
      <c r="A67" s="150">
        <v>36286.0</v>
      </c>
      <c r="B67" s="158"/>
      <c r="C67" s="135" t="str">
        <f t="shared" si="7"/>
        <v>setlist</v>
      </c>
      <c r="D67" s="149" t="s">
        <v>2835</v>
      </c>
      <c r="E67" s="149" t="s">
        <v>479</v>
      </c>
      <c r="F67" s="148" t="s">
        <v>480</v>
      </c>
      <c r="G67" s="148" t="s">
        <v>36</v>
      </c>
      <c r="H67" s="135" t="str">
        <f>HYPERLINK("http://www.mediafire.com/?l7vw2853hmv7m", "download link")</f>
        <v>download link</v>
      </c>
      <c r="I67" s="173"/>
    </row>
    <row r="68">
      <c r="A68" s="130">
        <v>36287.0</v>
      </c>
      <c r="B68" s="131"/>
      <c r="C68" s="105" t="str">
        <f t="shared" si="7"/>
        <v>setlist</v>
      </c>
      <c r="D68" s="132" t="s">
        <v>1206</v>
      </c>
      <c r="E68" s="132" t="s">
        <v>885</v>
      </c>
      <c r="F68" s="133" t="s">
        <v>886</v>
      </c>
      <c r="G68" s="133" t="s">
        <v>36</v>
      </c>
      <c r="H68" s="105" t="str">
        <f>HYPERLINK("http://www.mediafire.com/?1abwl1a26mdo8", "download link")</f>
        <v>download link</v>
      </c>
      <c r="I68" s="174"/>
    </row>
    <row r="69">
      <c r="A69" s="150">
        <v>36288.0</v>
      </c>
      <c r="B69" s="158"/>
      <c r="C69" s="135" t="str">
        <f t="shared" si="7"/>
        <v>setlist</v>
      </c>
      <c r="D69" s="149" t="s">
        <v>2836</v>
      </c>
      <c r="E69" s="149" t="s">
        <v>482</v>
      </c>
      <c r="F69" s="148" t="s">
        <v>483</v>
      </c>
      <c r="G69" s="148" t="s">
        <v>36</v>
      </c>
      <c r="H69" s="135" t="str">
        <f>HYPERLINK("http://www.mediafire.com/?fcc1qhsztkwqz", "download link")</f>
        <v>download link</v>
      </c>
      <c r="I69" s="173"/>
    </row>
    <row r="70">
      <c r="A70" s="130">
        <v>36290.0</v>
      </c>
      <c r="B70" s="131"/>
      <c r="C70" s="105" t="str">
        <f t="shared" si="7"/>
        <v>setlist</v>
      </c>
      <c r="D70" s="132" t="s">
        <v>2837</v>
      </c>
      <c r="E70" s="132" t="s">
        <v>2327</v>
      </c>
      <c r="F70" s="133" t="s">
        <v>443</v>
      </c>
      <c r="G70" s="133" t="s">
        <v>36</v>
      </c>
      <c r="H70" s="105" t="str">
        <f>HYPERLINK("http://www.mediafire.com/?17urbowip1ebx", "download link")</f>
        <v>download link</v>
      </c>
      <c r="I70" s="174"/>
    </row>
    <row r="71">
      <c r="A71" s="150">
        <v>36291.0</v>
      </c>
      <c r="B71" s="158"/>
      <c r="C71" s="135" t="str">
        <f t="shared" si="7"/>
        <v>setlist</v>
      </c>
      <c r="D71" s="149" t="s">
        <v>2838</v>
      </c>
      <c r="E71" s="149" t="s">
        <v>393</v>
      </c>
      <c r="F71" s="148" t="s">
        <v>394</v>
      </c>
      <c r="G71" s="148" t="s">
        <v>36</v>
      </c>
      <c r="H71" s="135" t="str">
        <f>HYPERLINK("http://www.mediafire.com/?bqd4cagv7hfh2", "download link")</f>
        <v>download link</v>
      </c>
      <c r="I71" s="173"/>
    </row>
    <row r="72">
      <c r="A72" s="130">
        <v>36293.0</v>
      </c>
      <c r="B72" s="131"/>
      <c r="C72" s="105" t="str">
        <f>HYPERLINK("http://phish.net/sideshows/trey-anastasio-band/?showid=1298302358", "setllist")</f>
        <v>setllist</v>
      </c>
      <c r="D72" s="132" t="s">
        <v>2839</v>
      </c>
      <c r="E72" s="132" t="s">
        <v>227</v>
      </c>
      <c r="F72" s="133" t="s">
        <v>129</v>
      </c>
      <c r="G72" s="133" t="s">
        <v>36</v>
      </c>
      <c r="H72" s="105" t="str">
        <f>HYPERLINK("http://www.mediafire.com/?38d8dnz6tns0t", "download link")</f>
        <v>download link</v>
      </c>
      <c r="I72" s="174"/>
    </row>
    <row r="73">
      <c r="A73" s="150">
        <v>36294.0</v>
      </c>
      <c r="B73" s="158"/>
      <c r="C73" s="116" t="str">
        <f>HYPERLINK("http://phish.net/sideshows/trey-anastasio-band/?showid=1298471164", "setllist")</f>
        <v>setllist</v>
      </c>
      <c r="D73" s="149" t="s">
        <v>1193</v>
      </c>
      <c r="E73" s="149" t="s">
        <v>279</v>
      </c>
      <c r="F73" s="148" t="s">
        <v>257</v>
      </c>
      <c r="G73" s="148" t="s">
        <v>36</v>
      </c>
      <c r="H73" s="135" t="str">
        <f>HYPERLINK("http://www.mediafire.com/?aw4q6k7c9vkk9", "download link")</f>
        <v>download link</v>
      </c>
      <c r="I73" s="173"/>
    </row>
    <row r="74">
      <c r="A74" s="130">
        <v>36295.0</v>
      </c>
      <c r="B74" s="131"/>
      <c r="C74" s="105" t="str">
        <f>HYPERLINK("http://phish.net/sideshows/trey-anastasio-band/?showid=1298475641", "setlist")</f>
        <v>setlist</v>
      </c>
      <c r="D74" s="132" t="s">
        <v>866</v>
      </c>
      <c r="E74" s="132" t="s">
        <v>309</v>
      </c>
      <c r="F74" s="133" t="s">
        <v>129</v>
      </c>
      <c r="G74" s="133" t="s">
        <v>36</v>
      </c>
      <c r="H74" s="105" t="str">
        <f>HYPERLINK("http://www.mediafire.com/?0zu2v6ynjrib0", "download link")</f>
        <v>download link</v>
      </c>
      <c r="I74" s="174"/>
    </row>
    <row r="75">
      <c r="A75" s="150">
        <v>36297.0</v>
      </c>
      <c r="B75" s="158"/>
      <c r="C75" s="135" t="str">
        <f t="shared" ref="C75:C76" si="8">HYPERLINK("http://phish.net/sideshows/trey-anastasio-band/?d="&amp;RIGHT(TEXT(A75,"mm/dd/yyyy"),4)&amp;"-"&amp;LEFT(TEXT(A75,"mm/dd/yyyy"),2)&amp;"-"&amp;MID(TEXT(A75,"mm/dd/yyyy"),4,2), "setlist")</f>
        <v>setlist</v>
      </c>
      <c r="D75" s="149" t="s">
        <v>860</v>
      </c>
      <c r="E75" s="149" t="s">
        <v>34</v>
      </c>
      <c r="F75" s="148" t="s">
        <v>35</v>
      </c>
      <c r="G75" s="148" t="s">
        <v>36</v>
      </c>
      <c r="H75" s="135" t="str">
        <f>HYPERLINK("http://www.mediafire.com/?7blah9j7fim7d", "download link")</f>
        <v>download link</v>
      </c>
      <c r="I75" s="173"/>
    </row>
    <row r="76">
      <c r="A76" s="130">
        <v>36299.0</v>
      </c>
      <c r="B76" s="131"/>
      <c r="C76" s="105" t="str">
        <f t="shared" si="8"/>
        <v>setlist</v>
      </c>
      <c r="D76" s="132" t="s">
        <v>2840</v>
      </c>
      <c r="E76" s="132" t="s">
        <v>499</v>
      </c>
      <c r="F76" s="133" t="s">
        <v>203</v>
      </c>
      <c r="G76" s="133" t="s">
        <v>36</v>
      </c>
      <c r="H76" s="105" t="str">
        <f>HYPERLINK("http://www.mediafire.com/?yyx61gbwo78ab", "download link")</f>
        <v>download link</v>
      </c>
      <c r="I76" s="174"/>
    </row>
    <row r="77">
      <c r="A77" s="350"/>
      <c r="B77" s="354"/>
      <c r="C77" s="352"/>
      <c r="D77" s="353" t="s">
        <v>2824</v>
      </c>
      <c r="E77" s="350"/>
      <c r="F77" s="351"/>
      <c r="G77" s="354"/>
      <c r="H77" s="351"/>
      <c r="I77" s="355"/>
    </row>
    <row r="78">
      <c r="A78" s="150">
        <v>36319.0</v>
      </c>
      <c r="B78" s="158"/>
      <c r="C78" s="135" t="str">
        <f>HYPERLINK("http://phish.net/sideshows/trey-anastasio-band/?d="&amp;RIGHT(TEXT(A78,"mm/dd/yyyy"),4)&amp;"-"&amp;LEFT(TEXT(A78,"mm/dd/yyyy"),2)&amp;"-"&amp;MID(TEXT(A78,"mm/dd/yyyy"),4,2), "setlist")</f>
        <v>setlist</v>
      </c>
      <c r="D78" s="149" t="s">
        <v>2817</v>
      </c>
      <c r="E78" s="149" t="s">
        <v>854</v>
      </c>
      <c r="F78" s="148" t="s">
        <v>35</v>
      </c>
      <c r="G78" s="148" t="s">
        <v>36</v>
      </c>
      <c r="H78" s="135" t="str">
        <f>HYPERLINK("http://www.mediafire.com/?7vw6l0obr24qy", "download link")</f>
        <v>download link</v>
      </c>
      <c r="I78" s="173"/>
    </row>
    <row r="79">
      <c r="A79" s="350"/>
      <c r="B79" s="354"/>
      <c r="C79" s="352"/>
      <c r="D79" s="353" t="s">
        <v>2822</v>
      </c>
      <c r="E79" s="350"/>
      <c r="F79" s="351"/>
      <c r="G79" s="354"/>
      <c r="H79" s="351"/>
      <c r="I79" s="355"/>
    </row>
    <row r="80">
      <c r="A80" s="147">
        <v>36561.0</v>
      </c>
      <c r="B80" s="158"/>
      <c r="C80" s="135" t="str">
        <f>HYPERLINK("http://phish.net/sideshows/trey-anastasio-band/?showid=1317707537", "setlist")</f>
        <v>setlist</v>
      </c>
      <c r="D80" s="149" t="s">
        <v>2823</v>
      </c>
      <c r="E80" s="149" t="s">
        <v>162</v>
      </c>
      <c r="F80" s="148" t="s">
        <v>129</v>
      </c>
      <c r="G80" s="363" t="s">
        <v>36</v>
      </c>
      <c r="H80" s="135" t="str">
        <f>HYPERLINK("http://www.mediafire.com/file/ogb226920478x0d/2000-02-05_-_Carnegie_Hall_-_New_York%2C_NY.rar", "download link")</f>
        <v>download link</v>
      </c>
      <c r="I80" s="173"/>
    </row>
    <row r="81">
      <c r="A81" s="350"/>
      <c r="B81" s="354"/>
      <c r="C81" s="352"/>
      <c r="D81" s="353" t="s">
        <v>2841</v>
      </c>
      <c r="E81" s="350"/>
      <c r="F81" s="351"/>
      <c r="G81" s="354"/>
      <c r="H81" s="351"/>
      <c r="I81" s="355"/>
    </row>
    <row r="82">
      <c r="A82" s="147">
        <v>36580.0</v>
      </c>
      <c r="B82" s="158"/>
      <c r="C82" s="135" t="str">
        <f>HYPERLINK("http://phish.net/sideshows/trey-anastasio-band/?d=2000-02-24", "setlist")</f>
        <v>setlist</v>
      </c>
      <c r="D82" s="149" t="s">
        <v>2842</v>
      </c>
      <c r="E82" s="149" t="s">
        <v>911</v>
      </c>
      <c r="F82" s="148" t="s">
        <v>679</v>
      </c>
      <c r="G82" s="158"/>
      <c r="H82" s="138"/>
      <c r="I82" s="173"/>
    </row>
    <row r="83">
      <c r="A83" s="350"/>
      <c r="B83" s="354"/>
      <c r="C83" s="352"/>
      <c r="D83" s="353" t="s">
        <v>2843</v>
      </c>
      <c r="E83" s="350"/>
      <c r="F83" s="351"/>
      <c r="G83" s="354"/>
      <c r="H83" s="351"/>
      <c r="I83" s="355"/>
    </row>
    <row r="84">
      <c r="A84" s="150">
        <v>36587.0</v>
      </c>
      <c r="B84" s="148" t="s">
        <v>32</v>
      </c>
      <c r="C84" s="361" t="s">
        <v>40</v>
      </c>
      <c r="D84" s="149" t="s">
        <v>2060</v>
      </c>
      <c r="E84" s="149" t="s">
        <v>34</v>
      </c>
      <c r="F84" s="148" t="s">
        <v>35</v>
      </c>
      <c r="G84" s="148" t="s">
        <v>36</v>
      </c>
      <c r="H84" s="135" t="str">
        <f>HYPERLINK("http://www.mediafire.com/?dc9gi9c04j0b2", "download link")</f>
        <v>download link</v>
      </c>
      <c r="I84" s="149" t="s">
        <v>2844</v>
      </c>
    </row>
    <row r="85">
      <c r="A85" s="130">
        <v>36650.0</v>
      </c>
      <c r="B85" s="133" t="s">
        <v>32</v>
      </c>
      <c r="C85" s="105" t="str">
        <f>HYPERLINK("http://phish.net/sideshows/trey-anastasio-band/?d="&amp;RIGHT(TEXT(A85,"mm/dd/yyyy"),4)&amp;"-"&amp;LEFT(TEXT(A85,"mm/dd/yyyy"),2)&amp;"-"&amp;MID(TEXT(A85,"mm/dd/yyyy"),4,2), "setlist")</f>
        <v>setlist</v>
      </c>
      <c r="D85" s="132" t="s">
        <v>2845</v>
      </c>
      <c r="E85" s="132" t="s">
        <v>585</v>
      </c>
      <c r="F85" s="133" t="s">
        <v>586</v>
      </c>
      <c r="G85" s="133" t="s">
        <v>36</v>
      </c>
      <c r="H85" s="105" t="str">
        <f>HYPERLINK("http://www.mediafire.com/?4j9jmqdljwajy", "download link")</f>
        <v>download link</v>
      </c>
      <c r="I85" s="174"/>
    </row>
    <row r="86">
      <c r="A86" s="350"/>
      <c r="B86" s="354"/>
      <c r="C86" s="352"/>
      <c r="D86" s="353" t="s">
        <v>2846</v>
      </c>
      <c r="E86" s="350"/>
      <c r="F86" s="351"/>
      <c r="G86" s="354"/>
      <c r="H86" s="351"/>
      <c r="I86" s="355"/>
    </row>
    <row r="87">
      <c r="A87" s="147">
        <v>36666.0</v>
      </c>
      <c r="B87" s="158"/>
      <c r="C87" s="361" t="s">
        <v>40</v>
      </c>
      <c r="D87" s="149" t="s">
        <v>1936</v>
      </c>
      <c r="E87" s="149" t="s">
        <v>162</v>
      </c>
      <c r="F87" s="148" t="s">
        <v>129</v>
      </c>
      <c r="G87" s="158"/>
      <c r="H87" s="138"/>
      <c r="I87" s="173"/>
    </row>
    <row r="88">
      <c r="A88" s="350"/>
      <c r="B88" s="354"/>
      <c r="C88" s="352"/>
      <c r="D88" s="353" t="s">
        <v>2824</v>
      </c>
      <c r="E88" s="350"/>
      <c r="F88" s="351"/>
      <c r="G88" s="354"/>
      <c r="H88" s="351"/>
      <c r="I88" s="355"/>
    </row>
    <row r="89">
      <c r="A89" s="110">
        <v>36846.0</v>
      </c>
      <c r="B89" s="111"/>
      <c r="C89" s="135" t="str">
        <f>HYPERLINK("http://phish.net/sideshows/guest-appearance/?d=2000-11-16", "setlist")</f>
        <v>setlist</v>
      </c>
      <c r="D89" s="113" t="s">
        <v>2825</v>
      </c>
      <c r="E89" s="113" t="s">
        <v>2826</v>
      </c>
      <c r="F89" s="114" t="s">
        <v>35</v>
      </c>
      <c r="G89" s="111"/>
      <c r="H89" s="359"/>
      <c r="I89" s="80"/>
    </row>
    <row r="90">
      <c r="A90" s="350"/>
      <c r="B90" s="354"/>
      <c r="C90" s="352"/>
      <c r="D90" s="353" t="s">
        <v>2847</v>
      </c>
      <c r="E90" s="350"/>
      <c r="F90" s="351"/>
      <c r="G90" s="354"/>
      <c r="H90" s="351"/>
      <c r="I90" s="355"/>
    </row>
    <row r="91">
      <c r="A91" s="147">
        <v>36924.0</v>
      </c>
      <c r="B91" s="158"/>
      <c r="C91" s="116" t="str">
        <f t="shared" ref="C91:C92" si="9">HYPERLINK("http://phish.net/sideshows/trey-anastasio-band/?d="&amp;RIGHT(TEXT(A91,"mm/dd/yyyy"),4)&amp;"-"&amp;LEFT(TEXT(A91,"mm/dd/yyyy"),2)&amp;"-"&amp;MID(TEXT(A91,"mm/dd/yyyy"),4,2), "setlist")</f>
        <v>setlist</v>
      </c>
      <c r="D91" s="149" t="s">
        <v>2848</v>
      </c>
      <c r="E91" s="149" t="s">
        <v>2849</v>
      </c>
      <c r="F91" s="148" t="s">
        <v>129</v>
      </c>
      <c r="G91" s="148" t="s">
        <v>36</v>
      </c>
      <c r="H91" s="135" t="str">
        <f>HYPERLINK("http://www.mediafire.com/?sj0pu47dp485g", "download link")</f>
        <v>download link</v>
      </c>
      <c r="I91" s="173"/>
    </row>
    <row r="92">
      <c r="A92" s="130">
        <v>36926.0</v>
      </c>
      <c r="B92" s="131"/>
      <c r="C92" s="105" t="str">
        <f t="shared" si="9"/>
        <v>setlist</v>
      </c>
      <c r="D92" s="132" t="s">
        <v>860</v>
      </c>
      <c r="E92" s="132" t="s">
        <v>34</v>
      </c>
      <c r="F92" s="133" t="s">
        <v>35</v>
      </c>
      <c r="G92" s="133" t="s">
        <v>36</v>
      </c>
      <c r="H92" s="105" t="str">
        <f>HYPERLINK("http://www.mediafire.com/?021m9bdk0lme6", "download link")</f>
        <v>download link</v>
      </c>
      <c r="I92" s="174"/>
    </row>
    <row r="93">
      <c r="A93" s="350"/>
      <c r="B93" s="354"/>
      <c r="C93" s="352"/>
      <c r="D93" s="353" t="s">
        <v>2850</v>
      </c>
      <c r="E93" s="350"/>
      <c r="F93" s="351"/>
      <c r="G93" s="354"/>
      <c r="H93" s="351"/>
      <c r="I93" s="355"/>
    </row>
    <row r="94">
      <c r="A94" s="150">
        <v>36943.0</v>
      </c>
      <c r="B94" s="158"/>
      <c r="C94" s="116" t="str">
        <f t="shared" ref="C94:C95" si="10">HYPERLINK("http://phish.net/sideshows/trey-anastasio-band/?d="&amp;RIGHT(TEXT(A94,"mm/dd/yyyy"),4)&amp;"-"&amp;LEFT(TEXT(A94,"mm/dd/yyyy"),2)&amp;"-"&amp;MID(TEXT(A94,"mm/dd/yyyy"),4,2), "setlist")</f>
        <v>setlist</v>
      </c>
      <c r="D94" s="149" t="s">
        <v>958</v>
      </c>
      <c r="E94" s="149" t="s">
        <v>94</v>
      </c>
      <c r="F94" s="148" t="s">
        <v>95</v>
      </c>
      <c r="G94" s="148" t="s">
        <v>36</v>
      </c>
      <c r="H94" s="135" t="str">
        <f>HYPERLINK("http://www.mediafire.com/?aic43m0a0gxpm", "download link")</f>
        <v>download link</v>
      </c>
      <c r="I94" s="173"/>
    </row>
    <row r="95">
      <c r="A95" s="130">
        <v>36944.0</v>
      </c>
      <c r="B95" s="131"/>
      <c r="C95" s="105" t="str">
        <f t="shared" si="10"/>
        <v>setlist</v>
      </c>
      <c r="D95" s="132" t="s">
        <v>2851</v>
      </c>
      <c r="E95" s="132" t="s">
        <v>311</v>
      </c>
      <c r="F95" s="133" t="s">
        <v>129</v>
      </c>
      <c r="G95" s="133" t="s">
        <v>36</v>
      </c>
      <c r="H95" s="105" t="str">
        <f>HYPERLINK("http://www.mediafire.com/?cz6w3pmzm1dkx", "download link")</f>
        <v>download link</v>
      </c>
      <c r="I95" s="174"/>
    </row>
    <row r="96">
      <c r="A96" s="147">
        <v>36945.0</v>
      </c>
      <c r="B96" s="158"/>
      <c r="C96" s="116" t="str">
        <f>HYPERLINK("http://phish.net/sideshows/trey-anastasio-band/?showid=1298482942", "setlist")</f>
        <v>setlist</v>
      </c>
      <c r="D96" s="149" t="s">
        <v>2377</v>
      </c>
      <c r="E96" s="149" t="s">
        <v>162</v>
      </c>
      <c r="F96" s="148" t="s">
        <v>129</v>
      </c>
      <c r="G96" s="158"/>
      <c r="H96" s="138"/>
      <c r="I96" s="173"/>
    </row>
    <row r="97">
      <c r="A97" s="130">
        <v>36945.0</v>
      </c>
      <c r="B97" s="131"/>
      <c r="C97" s="105" t="str">
        <f>HYPERLINK("http://phish.net/sideshows/trey-anastasio-band/?showid=1298483219", "setlist")</f>
        <v>setlist</v>
      </c>
      <c r="D97" s="132" t="s">
        <v>863</v>
      </c>
      <c r="E97" s="132" t="s">
        <v>162</v>
      </c>
      <c r="F97" s="133" t="s">
        <v>129</v>
      </c>
      <c r="G97" s="133" t="s">
        <v>36</v>
      </c>
      <c r="H97" s="105" t="str">
        <f>HYPERLINK("http://www.mediafire.com/?hdnesc29ebdud", "download link")</f>
        <v>download link</v>
      </c>
      <c r="I97" s="132" t="s">
        <v>2852</v>
      </c>
    </row>
    <row r="98">
      <c r="A98" s="150">
        <v>36946.0</v>
      </c>
      <c r="B98" s="156"/>
      <c r="C98" s="116" t="str">
        <f t="shared" ref="C98:C105" si="11">HYPERLINK("http://phish.net/sideshows/trey-anastasio-band/?d="&amp;RIGHT(TEXT(A98,"mm/dd/yyyy"),4)&amp;"-"&amp;LEFT(TEXT(A98,"mm/dd/yyyy"),2)&amp;"-"&amp;MID(TEXT(A98,"mm/dd/yyyy"),4,2), "setlist")</f>
        <v>setlist</v>
      </c>
      <c r="D98" s="153" t="s">
        <v>1366</v>
      </c>
      <c r="E98" s="153" t="s">
        <v>1230</v>
      </c>
      <c r="F98" s="151" t="s">
        <v>212</v>
      </c>
      <c r="G98" s="151" t="s">
        <v>36</v>
      </c>
      <c r="H98" s="116" t="str">
        <f>HYPERLINK("http://www.mediafire.com/?4gc48cvypr4yr", "download link")</f>
        <v>download link</v>
      </c>
      <c r="I98" s="79"/>
    </row>
    <row r="99">
      <c r="A99" s="130">
        <v>36948.0</v>
      </c>
      <c r="B99" s="131"/>
      <c r="C99" s="105" t="str">
        <f t="shared" si="11"/>
        <v>setlist</v>
      </c>
      <c r="D99" s="132" t="s">
        <v>1193</v>
      </c>
      <c r="E99" s="132" t="s">
        <v>773</v>
      </c>
      <c r="F99" s="133" t="s">
        <v>472</v>
      </c>
      <c r="G99" s="133" t="s">
        <v>36</v>
      </c>
      <c r="H99" s="105" t="str">
        <f>HYPERLINK("http://www.mediafire.com/?c5vvf5vpbnuf3", "download link")</f>
        <v>download link</v>
      </c>
      <c r="I99" s="174"/>
    </row>
    <row r="100">
      <c r="A100" s="150">
        <v>36949.0</v>
      </c>
      <c r="B100" s="156"/>
      <c r="C100" s="116" t="str">
        <f t="shared" si="11"/>
        <v>setlist</v>
      </c>
      <c r="D100" s="153" t="s">
        <v>2853</v>
      </c>
      <c r="E100" s="153" t="s">
        <v>2854</v>
      </c>
      <c r="F100" s="151" t="s">
        <v>446</v>
      </c>
      <c r="G100" s="151" t="s">
        <v>36</v>
      </c>
      <c r="H100" s="116" t="str">
        <f>HYPERLINK("http://www.mediafire.com/?10xd27aztcs2a", "download link")</f>
        <v>download link</v>
      </c>
      <c r="I100" s="79"/>
    </row>
    <row r="101">
      <c r="A101" s="130">
        <v>36950.0</v>
      </c>
      <c r="B101" s="131"/>
      <c r="C101" s="105" t="str">
        <f t="shared" si="11"/>
        <v>setlist</v>
      </c>
      <c r="D101" s="132" t="s">
        <v>2855</v>
      </c>
      <c r="E101" s="132" t="s">
        <v>445</v>
      </c>
      <c r="F101" s="133" t="s">
        <v>446</v>
      </c>
      <c r="G101" s="133" t="s">
        <v>36</v>
      </c>
      <c r="H101" s="105" t="str">
        <f>HYPERLINK("http://www.mediafire.com/?6b73lbwobp0dz", "download link")</f>
        <v>download link</v>
      </c>
      <c r="I101" s="132" t="s">
        <v>2856</v>
      </c>
    </row>
    <row r="102">
      <c r="A102" s="150">
        <v>36952.0</v>
      </c>
      <c r="B102" s="156"/>
      <c r="C102" s="116" t="str">
        <f t="shared" si="11"/>
        <v>setlist</v>
      </c>
      <c r="D102" s="153" t="s">
        <v>2837</v>
      </c>
      <c r="E102" s="153" t="s">
        <v>2327</v>
      </c>
      <c r="F102" s="151" t="s">
        <v>443</v>
      </c>
      <c r="G102" s="151" t="s">
        <v>36</v>
      </c>
      <c r="H102" s="116" t="str">
        <f>HYPERLINK("http://www.mediafire.com/?6ef9qc7yao5u6", "download link")</f>
        <v>download link</v>
      </c>
      <c r="I102" s="153" t="s">
        <v>2857</v>
      </c>
    </row>
    <row r="103">
      <c r="A103" s="130">
        <v>36953.0</v>
      </c>
      <c r="B103" s="131"/>
      <c r="C103" s="105" t="str">
        <f t="shared" si="11"/>
        <v>setlist</v>
      </c>
      <c r="D103" s="132" t="s">
        <v>1345</v>
      </c>
      <c r="E103" s="132" t="s">
        <v>439</v>
      </c>
      <c r="F103" s="133" t="s">
        <v>430</v>
      </c>
      <c r="G103" s="133" t="s">
        <v>36</v>
      </c>
      <c r="H103" s="105" t="str">
        <f>HYPERLINK("http://www.mediafire.com/?ssbx71nhigzhr", "download link")</f>
        <v>download link</v>
      </c>
      <c r="I103" s="174"/>
    </row>
    <row r="104">
      <c r="A104" s="150">
        <v>36954.0</v>
      </c>
      <c r="B104" s="156"/>
      <c r="C104" s="116" t="str">
        <f t="shared" si="11"/>
        <v>setlist</v>
      </c>
      <c r="D104" s="153" t="s">
        <v>897</v>
      </c>
      <c r="E104" s="153" t="s">
        <v>437</v>
      </c>
      <c r="F104" s="151" t="s">
        <v>433</v>
      </c>
      <c r="G104" s="151" t="s">
        <v>36</v>
      </c>
      <c r="H104" s="116" t="str">
        <f>HYPERLINK("http://www.mediafire.com/?lxb5wmgjcfm1u", "download link")</f>
        <v>download link</v>
      </c>
      <c r="I104" s="79"/>
    </row>
    <row r="105">
      <c r="A105" s="130">
        <v>36955.0</v>
      </c>
      <c r="B105" s="131"/>
      <c r="C105" s="105" t="str">
        <f t="shared" si="11"/>
        <v>setlist</v>
      </c>
      <c r="D105" s="132" t="s">
        <v>897</v>
      </c>
      <c r="E105" s="132" t="s">
        <v>437</v>
      </c>
      <c r="F105" s="133" t="s">
        <v>433</v>
      </c>
      <c r="G105" s="133" t="s">
        <v>36</v>
      </c>
      <c r="H105" s="105" t="str">
        <f>HYPERLINK("http://www.mediafire.com/?9f32p3qdd342n", "download link")</f>
        <v>download link</v>
      </c>
      <c r="I105" s="174"/>
    </row>
    <row r="106">
      <c r="A106" s="350"/>
      <c r="B106" s="354"/>
      <c r="C106" s="352"/>
      <c r="D106" s="353" t="s">
        <v>2858</v>
      </c>
      <c r="E106" s="355"/>
      <c r="F106" s="354"/>
      <c r="G106" s="354"/>
      <c r="H106" s="351"/>
      <c r="I106" s="355"/>
    </row>
    <row r="107">
      <c r="A107" s="150">
        <v>37076.0</v>
      </c>
      <c r="B107" s="158"/>
      <c r="C107" s="116" t="str">
        <f t="shared" ref="C107:C126" si="12">HYPERLINK("http://phish.net/sideshows/trey-anastasio-band/?d="&amp;RIGHT(TEXT(A107,"mm/dd/yyyy"),4)&amp;"-"&amp;LEFT(TEXT(A107,"mm/dd/yyyy"),2)&amp;"-"&amp;MID(TEXT(A107,"mm/dd/yyyy"),4,2), "setlist")</f>
        <v>setlist</v>
      </c>
      <c r="D107" s="149" t="s">
        <v>2817</v>
      </c>
      <c r="E107" s="149" t="s">
        <v>854</v>
      </c>
      <c r="F107" s="148" t="s">
        <v>35</v>
      </c>
      <c r="G107" s="148" t="s">
        <v>36</v>
      </c>
      <c r="H107" s="135" t="str">
        <f>HYPERLINK("http://www.mediafire.com/?kf2nxy4n5ejzv", "download link")</f>
        <v>download link</v>
      </c>
      <c r="I107" s="173"/>
    </row>
    <row r="108">
      <c r="A108" s="130">
        <v>37083.0</v>
      </c>
      <c r="B108" s="131"/>
      <c r="C108" s="105" t="str">
        <f t="shared" si="12"/>
        <v>setlist</v>
      </c>
      <c r="D108" s="132" t="s">
        <v>2859</v>
      </c>
      <c r="E108" s="132" t="s">
        <v>1381</v>
      </c>
      <c r="F108" s="133" t="s">
        <v>679</v>
      </c>
      <c r="G108" s="133" t="s">
        <v>36</v>
      </c>
      <c r="H108" s="105" t="str">
        <f>HYPERLINK("http://www.mediafire.com/?acmv7737p2n93", "download link")</f>
        <v>download link</v>
      </c>
      <c r="I108" s="174"/>
    </row>
    <row r="109">
      <c r="A109" s="150">
        <v>37084.0</v>
      </c>
      <c r="B109" s="158"/>
      <c r="C109" s="116" t="str">
        <f t="shared" si="12"/>
        <v>setlist</v>
      </c>
      <c r="D109" s="149" t="s">
        <v>1031</v>
      </c>
      <c r="E109" s="149" t="s">
        <v>911</v>
      </c>
      <c r="F109" s="148" t="s">
        <v>679</v>
      </c>
      <c r="G109" s="148" t="s">
        <v>36</v>
      </c>
      <c r="H109" s="135" t="str">
        <f>HYPERLINK("http://www.mediafire.com/?kz20n3j8d2uxk", "download link")</f>
        <v>download link</v>
      </c>
      <c r="I109" s="173"/>
    </row>
    <row r="110">
      <c r="A110" s="130">
        <v>37085.0</v>
      </c>
      <c r="B110" s="131"/>
      <c r="C110" s="105" t="str">
        <f t="shared" si="12"/>
        <v>setlist</v>
      </c>
      <c r="D110" s="132" t="s">
        <v>1309</v>
      </c>
      <c r="E110" s="132" t="s">
        <v>686</v>
      </c>
      <c r="F110" s="133" t="s">
        <v>679</v>
      </c>
      <c r="G110" s="133" t="s">
        <v>36</v>
      </c>
      <c r="H110" s="105" t="str">
        <f>HYPERLINK("http://www.mediafire.com/?1c242v97r2tst", "download link")</f>
        <v>download link</v>
      </c>
      <c r="I110" s="174"/>
    </row>
    <row r="111">
      <c r="A111" s="150">
        <v>37086.0</v>
      </c>
      <c r="B111" s="158"/>
      <c r="C111" s="116" t="str">
        <f t="shared" si="12"/>
        <v>setlist</v>
      </c>
      <c r="D111" s="149" t="s">
        <v>1309</v>
      </c>
      <c r="E111" s="149" t="s">
        <v>686</v>
      </c>
      <c r="F111" s="148" t="s">
        <v>679</v>
      </c>
      <c r="G111" s="148" t="s">
        <v>36</v>
      </c>
      <c r="H111" s="135" t="str">
        <f>HYPERLINK("http://www.mediafire.com/?d6tx7inyusdbm", "download link")</f>
        <v>download link</v>
      </c>
      <c r="I111" s="173"/>
    </row>
    <row r="112">
      <c r="A112" s="130">
        <v>37089.0</v>
      </c>
      <c r="B112" s="131"/>
      <c r="C112" s="105" t="str">
        <f t="shared" si="12"/>
        <v>setlist</v>
      </c>
      <c r="D112" s="132" t="s">
        <v>1297</v>
      </c>
      <c r="E112" s="132" t="s">
        <v>1298</v>
      </c>
      <c r="F112" s="133" t="s">
        <v>203</v>
      </c>
      <c r="G112" s="133" t="s">
        <v>36</v>
      </c>
      <c r="H112" s="105" t="str">
        <f>HYPERLINK("http://www.mediafire.com/?o42fpbe83rvd7", "download link")</f>
        <v>download link</v>
      </c>
      <c r="I112" s="174"/>
    </row>
    <row r="113">
      <c r="A113" s="150">
        <v>37090.0</v>
      </c>
      <c r="B113" s="148" t="s">
        <v>32</v>
      </c>
      <c r="C113" s="116" t="str">
        <f t="shared" si="12"/>
        <v>setlist</v>
      </c>
      <c r="D113" s="149" t="s">
        <v>1297</v>
      </c>
      <c r="E113" s="149" t="s">
        <v>1298</v>
      </c>
      <c r="F113" s="148" t="s">
        <v>203</v>
      </c>
      <c r="G113" s="148" t="s">
        <v>36</v>
      </c>
      <c r="H113" s="135" t="str">
        <f>HYPERLINK("http://www.mediafire.com/?u9aetrj4iyiu1", "download link")</f>
        <v>download link</v>
      </c>
      <c r="I113" s="173"/>
    </row>
    <row r="114">
      <c r="A114" s="130">
        <v>37092.0</v>
      </c>
      <c r="B114" s="131"/>
      <c r="C114" s="105" t="str">
        <f t="shared" si="12"/>
        <v>setlist</v>
      </c>
      <c r="D114" s="132" t="s">
        <v>1028</v>
      </c>
      <c r="E114" s="132" t="s">
        <v>1569</v>
      </c>
      <c r="F114" s="133" t="s">
        <v>886</v>
      </c>
      <c r="G114" s="133" t="s">
        <v>36</v>
      </c>
      <c r="H114" s="105" t="str">
        <f>HYPERLINK("http://www.mediafire.com/?v3ph1ire6tgvz", "download link")</f>
        <v>download link</v>
      </c>
      <c r="I114" s="174"/>
    </row>
    <row r="115">
      <c r="A115" s="150">
        <v>37093.0</v>
      </c>
      <c r="B115" s="158"/>
      <c r="C115" s="116" t="str">
        <f t="shared" si="12"/>
        <v>setlist</v>
      </c>
      <c r="D115" s="149" t="s">
        <v>1737</v>
      </c>
      <c r="E115" s="149" t="s">
        <v>1738</v>
      </c>
      <c r="F115" s="148" t="s">
        <v>483</v>
      </c>
      <c r="G115" s="148" t="s">
        <v>36</v>
      </c>
      <c r="H115" s="135" t="str">
        <f>HYPERLINK("http://www.mediafire.com/?mc5bdagubg141", "download link")</f>
        <v>download link</v>
      </c>
      <c r="I115" s="173"/>
    </row>
    <row r="116">
      <c r="A116" s="130">
        <v>37094.0</v>
      </c>
      <c r="B116" s="131"/>
      <c r="C116" s="105" t="str">
        <f t="shared" si="12"/>
        <v>setlist</v>
      </c>
      <c r="D116" s="132" t="s">
        <v>1578</v>
      </c>
      <c r="E116" s="132" t="s">
        <v>1579</v>
      </c>
      <c r="F116" s="133" t="s">
        <v>508</v>
      </c>
      <c r="G116" s="133" t="s">
        <v>36</v>
      </c>
      <c r="H116" s="105" t="str">
        <f>HYPERLINK("http://www.mediafire.com/?pj3pd0sk08hiv", "download link")</f>
        <v>download link</v>
      </c>
      <c r="I116" s="174"/>
    </row>
    <row r="117">
      <c r="A117" s="150">
        <v>37096.0</v>
      </c>
      <c r="B117" s="158"/>
      <c r="C117" s="116" t="str">
        <f t="shared" si="12"/>
        <v>setlist</v>
      </c>
      <c r="D117" s="149" t="s">
        <v>2004</v>
      </c>
      <c r="E117" s="149" t="s">
        <v>471</v>
      </c>
      <c r="F117" s="148" t="s">
        <v>472</v>
      </c>
      <c r="G117" s="148" t="s">
        <v>36</v>
      </c>
      <c r="H117" s="135" t="str">
        <f>HYPERLINK("http://www.mediafire.com/?d3q51es4tyzbt", "download link")</f>
        <v>download link</v>
      </c>
      <c r="I117" s="173"/>
    </row>
    <row r="118">
      <c r="A118" s="130">
        <v>37098.0</v>
      </c>
      <c r="B118" s="131"/>
      <c r="C118" s="105" t="str">
        <f t="shared" si="12"/>
        <v>setlist</v>
      </c>
      <c r="D118" s="132" t="s">
        <v>2267</v>
      </c>
      <c r="E118" s="132" t="s">
        <v>437</v>
      </c>
      <c r="F118" s="133" t="s">
        <v>433</v>
      </c>
      <c r="G118" s="133" t="s">
        <v>36</v>
      </c>
      <c r="H118" s="105" t="str">
        <f>HYPERLINK("http://www.mediafire.com/?gamo5tfqkxb7m", "download link")</f>
        <v>download link</v>
      </c>
      <c r="I118" s="174"/>
    </row>
    <row r="119">
      <c r="A119" s="150">
        <v>37099.0</v>
      </c>
      <c r="B119" s="158"/>
      <c r="C119" s="116" t="str">
        <f t="shared" si="12"/>
        <v>setlist</v>
      </c>
      <c r="D119" s="149" t="s">
        <v>2180</v>
      </c>
      <c r="E119" s="149" t="s">
        <v>536</v>
      </c>
      <c r="F119" s="148" t="s">
        <v>443</v>
      </c>
      <c r="G119" s="148" t="s">
        <v>36</v>
      </c>
      <c r="H119" s="135" t="str">
        <f>HYPERLINK("http://www.mediafire.com/?9wb5lbq2xjcpu", "download link")</f>
        <v>download link</v>
      </c>
      <c r="I119" s="173"/>
    </row>
    <row r="120">
      <c r="A120" s="130">
        <v>37100.0</v>
      </c>
      <c r="B120" s="131"/>
      <c r="C120" s="105" t="str">
        <f t="shared" si="12"/>
        <v>setlist</v>
      </c>
      <c r="D120" s="132" t="s">
        <v>1000</v>
      </c>
      <c r="E120" s="132" t="s">
        <v>439</v>
      </c>
      <c r="F120" s="133" t="s">
        <v>397</v>
      </c>
      <c r="G120" s="133" t="s">
        <v>36</v>
      </c>
      <c r="H120" s="105" t="str">
        <f>HYPERLINK("http://www.mediafire.com/?lpubkf40e00v8", "download link")</f>
        <v>download link</v>
      </c>
      <c r="I120" s="174"/>
    </row>
    <row r="121">
      <c r="A121" s="150">
        <v>37101.0</v>
      </c>
      <c r="B121" s="158"/>
      <c r="C121" s="116" t="str">
        <f t="shared" si="12"/>
        <v>setlist</v>
      </c>
      <c r="D121" s="149" t="s">
        <v>2072</v>
      </c>
      <c r="E121" s="149" t="s">
        <v>992</v>
      </c>
      <c r="F121" s="148" t="s">
        <v>43</v>
      </c>
      <c r="G121" s="148" t="s">
        <v>36</v>
      </c>
      <c r="H121" s="135" t="str">
        <f>HYPERLINK("http://www.mediafire.com/?oi450fd3s0o26", "download link")</f>
        <v>download link</v>
      </c>
      <c r="I121" s="173"/>
    </row>
    <row r="122">
      <c r="A122" s="130">
        <v>37103.0</v>
      </c>
      <c r="B122" s="131"/>
      <c r="C122" s="105" t="str">
        <f t="shared" si="12"/>
        <v>setlist</v>
      </c>
      <c r="D122" s="132" t="s">
        <v>2860</v>
      </c>
      <c r="E122" s="132" t="s">
        <v>1906</v>
      </c>
      <c r="F122" s="133" t="s">
        <v>446</v>
      </c>
      <c r="G122" s="133" t="s">
        <v>36</v>
      </c>
      <c r="H122" s="105" t="str">
        <f>HYPERLINK("http://www.mediafire.com/?urbw283a2ks6r", "download link")</f>
        <v>download link</v>
      </c>
      <c r="I122" s="174"/>
    </row>
    <row r="123">
      <c r="A123" s="150">
        <v>37105.0</v>
      </c>
      <c r="B123" s="158"/>
      <c r="C123" s="116" t="str">
        <f t="shared" si="12"/>
        <v>setlist</v>
      </c>
      <c r="D123" s="149" t="s">
        <v>1001</v>
      </c>
      <c r="E123" s="149" t="s">
        <v>871</v>
      </c>
      <c r="F123" s="148" t="s">
        <v>212</v>
      </c>
      <c r="G123" s="148" t="s">
        <v>36</v>
      </c>
      <c r="H123" s="135" t="str">
        <f>HYPERLINK("http://www.mediafire.com/?kn11qvwvi06ub", "download link")</f>
        <v>download link</v>
      </c>
      <c r="I123" s="173"/>
    </row>
    <row r="124">
      <c r="A124" s="130">
        <v>37106.0</v>
      </c>
      <c r="B124" s="131"/>
      <c r="C124" s="105" t="str">
        <f t="shared" si="12"/>
        <v>setlist</v>
      </c>
      <c r="D124" s="132" t="s">
        <v>993</v>
      </c>
      <c r="E124" s="132" t="s">
        <v>994</v>
      </c>
      <c r="F124" s="133" t="s">
        <v>129</v>
      </c>
      <c r="G124" s="133" t="s">
        <v>36</v>
      </c>
      <c r="H124" s="105" t="str">
        <f>HYPERLINK("http://www.mediafire.com/?4rdpiugiaqcxm", "download link")</f>
        <v>download link</v>
      </c>
      <c r="I124" s="132" t="s">
        <v>2857</v>
      </c>
    </row>
    <row r="125">
      <c r="A125" s="150">
        <v>37107.0</v>
      </c>
      <c r="B125" s="158"/>
      <c r="C125" s="116" t="str">
        <f t="shared" si="12"/>
        <v>setlist</v>
      </c>
      <c r="D125" s="149" t="s">
        <v>2071</v>
      </c>
      <c r="E125" s="149" t="s">
        <v>1004</v>
      </c>
      <c r="F125" s="148" t="s">
        <v>95</v>
      </c>
      <c r="G125" s="148" t="s">
        <v>36</v>
      </c>
      <c r="H125" s="135" t="str">
        <f>HYPERLINK("http://www.mediafire.com/?6crufg9r71qpw", "download link")</f>
        <v>download link</v>
      </c>
      <c r="I125" s="173"/>
    </row>
    <row r="126">
      <c r="A126" s="130">
        <v>37108.0</v>
      </c>
      <c r="B126" s="131"/>
      <c r="C126" s="105" t="str">
        <f t="shared" si="12"/>
        <v>setlist</v>
      </c>
      <c r="D126" s="132" t="s">
        <v>1015</v>
      </c>
      <c r="E126" s="132" t="s">
        <v>465</v>
      </c>
      <c r="F126" s="133" t="s">
        <v>129</v>
      </c>
      <c r="G126" s="133" t="s">
        <v>36</v>
      </c>
      <c r="H126" s="105" t="str">
        <f>HYPERLINK("http://www.mediafire.com/?hccd93fl35dq7", "download link")</f>
        <v>download link</v>
      </c>
      <c r="I126" s="174"/>
    </row>
    <row r="127">
      <c r="A127" s="350"/>
      <c r="B127" s="354"/>
      <c r="C127" s="352"/>
      <c r="D127" s="353" t="s">
        <v>2843</v>
      </c>
      <c r="E127" s="355"/>
      <c r="F127" s="354"/>
      <c r="G127" s="354"/>
      <c r="H127" s="351"/>
      <c r="I127" s="355"/>
    </row>
    <row r="128">
      <c r="A128" s="110">
        <v>37149.0</v>
      </c>
      <c r="B128" s="111"/>
      <c r="C128" s="116" t="str">
        <f>HYPERLINK("http://phish.net/sideshows/trey-anastasio-band/?d=2001-09-15", "setlist")</f>
        <v>setlist</v>
      </c>
      <c r="D128" s="113" t="s">
        <v>2060</v>
      </c>
      <c r="E128" s="113" t="s">
        <v>2061</v>
      </c>
      <c r="F128" s="114" t="s">
        <v>35</v>
      </c>
      <c r="G128" s="111"/>
      <c r="H128" s="359"/>
      <c r="I128" s="80"/>
    </row>
    <row r="129">
      <c r="A129" s="130">
        <v>37185.0</v>
      </c>
      <c r="B129" s="131"/>
      <c r="C129" s="105" t="str">
        <f>HYPERLINK("http://phish.net/sideshows/trey-anastasio-band/?showid=1298334530", "setlist")</f>
        <v>setlist</v>
      </c>
      <c r="D129" s="132" t="s">
        <v>1306</v>
      </c>
      <c r="E129" s="132" t="s">
        <v>791</v>
      </c>
      <c r="F129" s="133" t="s">
        <v>701</v>
      </c>
      <c r="G129" s="133" t="s">
        <v>36</v>
      </c>
      <c r="H129" s="105" t="str">
        <f>HYPERLINK("http://www.mediafire.com/?2gdcatiq7jjac", "download link")</f>
        <v>download link</v>
      </c>
      <c r="I129" s="174"/>
    </row>
    <row r="130">
      <c r="A130" s="150">
        <v>37187.0</v>
      </c>
      <c r="B130" s="156"/>
      <c r="C130" s="116" t="str">
        <f>HYPERLINK("http://phish.net/sideshows/trey-anastasio-band/?showid=1298316617", "setlist")</f>
        <v>setlist</v>
      </c>
      <c r="D130" s="153" t="s">
        <v>958</v>
      </c>
      <c r="E130" s="153" t="s">
        <v>1188</v>
      </c>
      <c r="F130" s="151" t="s">
        <v>1189</v>
      </c>
      <c r="G130" s="151" t="s">
        <v>36</v>
      </c>
      <c r="H130" s="116" t="str">
        <f>HYPERLINK("http://www.mediafire.com/?o6hl8y6n4wb9y", "download link")</f>
        <v>download link</v>
      </c>
      <c r="I130" s="79"/>
    </row>
    <row r="131">
      <c r="A131" s="130">
        <v>37188.0</v>
      </c>
      <c r="B131" s="131"/>
      <c r="C131" s="105" t="str">
        <f>HYPERLINK("http://phish.net/sideshows/trey-anastasio-band/?d="&amp;RIGHT(TEXT(A131,"mm/dd/yyyy"),4)&amp;"-"&amp;LEFT(TEXT(A131,"mm/dd/yyyy"),2)&amp;"-"&amp;MID(TEXT(A131,"mm/dd/yyyy"),4,2), "setlist")</f>
        <v>setlist</v>
      </c>
      <c r="D131" s="132" t="s">
        <v>1527</v>
      </c>
      <c r="E131" s="132" t="s">
        <v>548</v>
      </c>
      <c r="F131" s="133" t="s">
        <v>692</v>
      </c>
      <c r="G131" s="133" t="s">
        <v>36</v>
      </c>
      <c r="H131" s="105" t="str">
        <f>HYPERLINK("http://www.mediafire.com/?yv11i48de8134", "download link")</f>
        <v>download link</v>
      </c>
      <c r="I131" s="174"/>
    </row>
    <row r="132">
      <c r="A132" s="150">
        <v>37190.0</v>
      </c>
      <c r="B132" s="156"/>
      <c r="C132" s="116" t="str">
        <f>HYPERLINK("http://phish.net/sideshows/trey-anastasio-band/?showid=1298332971", "setlist")</f>
        <v>setlist</v>
      </c>
      <c r="D132" s="153" t="s">
        <v>1309</v>
      </c>
      <c r="E132" s="153" t="s">
        <v>686</v>
      </c>
      <c r="F132" s="151" t="s">
        <v>679</v>
      </c>
      <c r="G132" s="151" t="s">
        <v>36</v>
      </c>
      <c r="H132" s="116" t="str">
        <f>HYPERLINK("http://www.mediafire.com/?8ayp51y07avwg", "download link")</f>
        <v>download link</v>
      </c>
      <c r="I132" s="79"/>
    </row>
    <row r="133">
      <c r="A133" s="130">
        <v>37191.0</v>
      </c>
      <c r="B133" s="131"/>
      <c r="C133" s="105" t="str">
        <f>HYPERLINK("http://phish.net/sideshows/trey-anastasio-band/?showid=1298339575", "setlist")</f>
        <v>setlist</v>
      </c>
      <c r="D133" s="132" t="s">
        <v>2861</v>
      </c>
      <c r="E133" s="132" t="s">
        <v>911</v>
      </c>
      <c r="F133" s="133" t="s">
        <v>679</v>
      </c>
      <c r="G133" s="133" t="s">
        <v>36</v>
      </c>
      <c r="H133" s="105" t="str">
        <f>HYPERLINK("http://www.mediafire.com/?kf9f3ysb1an82", "download link")</f>
        <v>download link</v>
      </c>
      <c r="I133" s="174"/>
    </row>
    <row r="134">
      <c r="A134" s="150">
        <v>37194.0</v>
      </c>
      <c r="B134" s="156"/>
      <c r="C134" s="116" t="str">
        <f>HYPERLINK("http://phish.net/sideshows/trey-anastasio-band/?showid=1298341530", "setlist")</f>
        <v>setlist</v>
      </c>
      <c r="D134" s="153" t="s">
        <v>2840</v>
      </c>
      <c r="E134" s="153" t="s">
        <v>499</v>
      </c>
      <c r="F134" s="151" t="s">
        <v>203</v>
      </c>
      <c r="G134" s="151" t="s">
        <v>36</v>
      </c>
      <c r="H134" s="116" t="str">
        <f>HYPERLINK("http://www.mediafire.com/?bj0eu9ch58g6s", "download link")</f>
        <v>download link</v>
      </c>
      <c r="I134" s="79"/>
    </row>
    <row r="135">
      <c r="A135" s="130">
        <v>37195.0</v>
      </c>
      <c r="B135" s="131"/>
      <c r="C135" s="105" t="str">
        <f>HYPERLINK("http://phish.net/sideshows/trey-anastasio-band/?showid=1298342007", "setlist")</f>
        <v>setlist</v>
      </c>
      <c r="D135" s="132" t="s">
        <v>2840</v>
      </c>
      <c r="E135" s="132" t="s">
        <v>499</v>
      </c>
      <c r="F135" s="133" t="s">
        <v>203</v>
      </c>
      <c r="G135" s="133" t="s">
        <v>36</v>
      </c>
      <c r="H135" s="105" t="str">
        <f>HYPERLINK("http://www.mediafire.com/?5ekhenld9g4cn", "download link")</f>
        <v>download link</v>
      </c>
      <c r="I135" s="174"/>
    </row>
    <row r="136">
      <c r="A136" s="150">
        <v>37197.0</v>
      </c>
      <c r="B136" s="156"/>
      <c r="C136" s="116" t="str">
        <f>HYPERLINK("http://phish.net/sideshows/trey-anastasio-band/?showid=1298325862", "setlist")</f>
        <v>setlist</v>
      </c>
      <c r="D136" s="153" t="s">
        <v>1196</v>
      </c>
      <c r="E136" s="153" t="s">
        <v>479</v>
      </c>
      <c r="F136" s="151" t="s">
        <v>480</v>
      </c>
      <c r="G136" s="151" t="s">
        <v>36</v>
      </c>
      <c r="H136" s="116" t="str">
        <f>HYPERLINK("http://www.mediafire.com/?n611qrza2d20l", "download link")</f>
        <v>download link</v>
      </c>
      <c r="I136" s="79"/>
    </row>
    <row r="137">
      <c r="A137" s="130">
        <v>37198.0</v>
      </c>
      <c r="B137" s="131"/>
      <c r="C137" s="105" t="str">
        <f>HYPERLINK("http://phish.net/sideshows/trey-anastasio-band/?showid=1298320638", "setlist")</f>
        <v>setlist</v>
      </c>
      <c r="D137" s="132" t="s">
        <v>2862</v>
      </c>
      <c r="E137" s="132" t="s">
        <v>2863</v>
      </c>
      <c r="F137" s="133" t="s">
        <v>508</v>
      </c>
      <c r="G137" s="133" t="s">
        <v>36</v>
      </c>
      <c r="H137" s="105" t="str">
        <f>HYPERLINK("http://www.mediafire.com/?94z4dsvykq94j", "download link")</f>
        <v>download link</v>
      </c>
      <c r="I137" s="174"/>
    </row>
    <row r="138">
      <c r="A138" s="150">
        <v>37199.0</v>
      </c>
      <c r="B138" s="156"/>
      <c r="C138" s="116" t="str">
        <f>HYPERLINK("http://phish.net/sideshows/trey-anastasio-band/?d="&amp;RIGHT(TEXT(A138,"mm/dd/yyyy"),4)&amp;"-"&amp;LEFT(TEXT(A138,"mm/dd/yyyy"),2)&amp;"-"&amp;MID(TEXT(A138,"mm/dd/yyyy"),4,2), "setlist")</f>
        <v>setlist</v>
      </c>
      <c r="D138" s="153" t="s">
        <v>1504</v>
      </c>
      <c r="E138" s="153" t="s">
        <v>711</v>
      </c>
      <c r="F138" s="151" t="s">
        <v>712</v>
      </c>
      <c r="G138" s="151" t="s">
        <v>36</v>
      </c>
      <c r="H138" s="116" t="str">
        <f>HYPERLINK("http://www.mediafire.com/?nrb3pi1vgb6bp", "download link")</f>
        <v>download link</v>
      </c>
      <c r="I138" s="79"/>
    </row>
    <row r="139">
      <c r="A139" s="130">
        <v>37201.0</v>
      </c>
      <c r="B139" s="131"/>
      <c r="C139" s="105" t="str">
        <f>HYPERLINK("http://phish.net/sideshows/trey-anastasio-band/?showid=1298321822", "setlist")</f>
        <v>setlist</v>
      </c>
      <c r="D139" s="132" t="s">
        <v>1193</v>
      </c>
      <c r="E139" s="132" t="s">
        <v>773</v>
      </c>
      <c r="F139" s="133" t="s">
        <v>472</v>
      </c>
      <c r="G139" s="133" t="s">
        <v>36</v>
      </c>
      <c r="H139" s="105" t="str">
        <f>HYPERLINK("http://www.mediafire.com/?a5gswcob0sb1w", "download link")</f>
        <v>download link</v>
      </c>
      <c r="I139" s="174"/>
    </row>
    <row r="140">
      <c r="A140" s="150">
        <v>37202.0</v>
      </c>
      <c r="B140" s="156"/>
      <c r="C140" s="116" t="str">
        <f>HYPERLINK("http://phish.net/sideshows/trey-anastasio-band/?showid=1298326588", "setlist")</f>
        <v>setlist</v>
      </c>
      <c r="D140" s="153" t="s">
        <v>2864</v>
      </c>
      <c r="E140" s="153" t="s">
        <v>1090</v>
      </c>
      <c r="F140" s="151" t="s">
        <v>1091</v>
      </c>
      <c r="G140" s="151" t="s">
        <v>36</v>
      </c>
      <c r="H140" s="116" t="str">
        <f>HYPERLINK("http://www.mediafire.com/?0lzon4s8j3c8k", "download link")</f>
        <v>download link</v>
      </c>
      <c r="I140" s="79"/>
    </row>
    <row r="141">
      <c r="A141" s="130">
        <v>37204.0</v>
      </c>
      <c r="B141" s="131"/>
      <c r="C141" s="105" t="str">
        <f t="shared" ref="C141:C149" si="13">HYPERLINK("http://phish.net/sideshows/trey-anastasio-band/?d="&amp;RIGHT(TEXT(A141,"mm/dd/yyyy"),4)&amp;"-"&amp;LEFT(TEXT(A141,"mm/dd/yyyy"),2)&amp;"-"&amp;MID(TEXT(A141,"mm/dd/yyyy"),4,2), "setlist")</f>
        <v>setlist</v>
      </c>
      <c r="D141" s="132" t="s">
        <v>2412</v>
      </c>
      <c r="E141" s="132" t="s">
        <v>2413</v>
      </c>
      <c r="F141" s="133" t="s">
        <v>129</v>
      </c>
      <c r="G141" s="133" t="s">
        <v>36</v>
      </c>
      <c r="H141" s="105" t="str">
        <f>HYPERLINK("http://www.mediafire.com/?1ll2wpndm0q07", "download link")</f>
        <v>download link</v>
      </c>
      <c r="I141" s="174"/>
    </row>
    <row r="142">
      <c r="A142" s="150">
        <v>37205.0</v>
      </c>
      <c r="B142" s="156"/>
      <c r="C142" s="116" t="str">
        <f t="shared" si="13"/>
        <v>setlist</v>
      </c>
      <c r="D142" s="153" t="s">
        <v>2865</v>
      </c>
      <c r="E142" s="153" t="s">
        <v>1559</v>
      </c>
      <c r="F142" s="151" t="s">
        <v>95</v>
      </c>
      <c r="G142" s="151" t="s">
        <v>36</v>
      </c>
      <c r="H142" s="116" t="str">
        <f>HYPERLINK("http://www.mediafire.com/?xi6rvafv97eft", "download link")</f>
        <v>download link</v>
      </c>
      <c r="I142" s="79"/>
    </row>
    <row r="143">
      <c r="A143" s="130">
        <v>37206.0</v>
      </c>
      <c r="B143" s="131"/>
      <c r="C143" s="105" t="str">
        <f t="shared" si="13"/>
        <v>setlist</v>
      </c>
      <c r="D143" s="132" t="s">
        <v>2272</v>
      </c>
      <c r="E143" s="132" t="s">
        <v>2070</v>
      </c>
      <c r="F143" s="133" t="s">
        <v>43</v>
      </c>
      <c r="G143" s="133" t="s">
        <v>36</v>
      </c>
      <c r="H143" s="105" t="str">
        <f>HYPERLINK("http://www.mediafire.com/?14zzm4ls1n0um", "download link")</f>
        <v>download link</v>
      </c>
      <c r="I143" s="174"/>
    </row>
    <row r="144">
      <c r="A144" s="150">
        <v>37208.0</v>
      </c>
      <c r="B144" s="156"/>
      <c r="C144" s="116" t="str">
        <f t="shared" si="13"/>
        <v>setlist</v>
      </c>
      <c r="D144" s="153" t="s">
        <v>863</v>
      </c>
      <c r="E144" s="153" t="s">
        <v>162</v>
      </c>
      <c r="F144" s="151" t="s">
        <v>129</v>
      </c>
      <c r="G144" s="151" t="s">
        <v>36</v>
      </c>
      <c r="H144" s="116" t="str">
        <f>HYPERLINK("http://www.mediafire.com/?no8k2x45yijnh", "download link")</f>
        <v>download link</v>
      </c>
      <c r="I144" s="79"/>
    </row>
    <row r="145">
      <c r="A145" s="130">
        <v>37209.0</v>
      </c>
      <c r="B145" s="131"/>
      <c r="C145" s="105" t="str">
        <f t="shared" si="13"/>
        <v>setlist</v>
      </c>
      <c r="D145" s="132" t="s">
        <v>863</v>
      </c>
      <c r="E145" s="132" t="s">
        <v>162</v>
      </c>
      <c r="F145" s="133" t="s">
        <v>129</v>
      </c>
      <c r="G145" s="133" t="s">
        <v>36</v>
      </c>
      <c r="H145" s="105" t="str">
        <f>HYPERLINK("http://www.mediafire.com/?0h6imfripaf3g", "download link")</f>
        <v>download link</v>
      </c>
      <c r="I145" s="174"/>
    </row>
    <row r="146">
      <c r="A146" s="150">
        <v>37210.0</v>
      </c>
      <c r="B146" s="151" t="s">
        <v>32</v>
      </c>
      <c r="C146" s="116" t="str">
        <f t="shared" si="13"/>
        <v>setlist</v>
      </c>
      <c r="D146" s="153" t="s">
        <v>2377</v>
      </c>
      <c r="E146" s="153" t="s">
        <v>162</v>
      </c>
      <c r="F146" s="151" t="s">
        <v>129</v>
      </c>
      <c r="G146" s="151" t="s">
        <v>36</v>
      </c>
      <c r="H146" s="116" t="str">
        <f>HYPERLINK("http://www.mediafire.com/?8g4kh9oivb90z", "download link")</f>
        <v>download link</v>
      </c>
      <c r="I146" s="79"/>
    </row>
    <row r="147">
      <c r="A147" s="130">
        <v>37211.0</v>
      </c>
      <c r="B147" s="131"/>
      <c r="C147" s="105" t="str">
        <f t="shared" si="13"/>
        <v>setlist</v>
      </c>
      <c r="D147" s="132" t="s">
        <v>2866</v>
      </c>
      <c r="E147" s="132" t="s">
        <v>393</v>
      </c>
      <c r="F147" s="133" t="s">
        <v>394</v>
      </c>
      <c r="G147" s="133" t="s">
        <v>36</v>
      </c>
      <c r="H147" s="105" t="str">
        <f>HYPERLINK("http://www.mediafire.com/?dmjca8e0g94cc", "download link")</f>
        <v>download link</v>
      </c>
      <c r="I147" s="174"/>
    </row>
    <row r="148">
      <c r="A148" s="150">
        <v>37212.0</v>
      </c>
      <c r="B148" s="156"/>
      <c r="C148" s="116" t="str">
        <f t="shared" si="13"/>
        <v>setlist</v>
      </c>
      <c r="D148" s="153" t="s">
        <v>2326</v>
      </c>
      <c r="E148" s="153" t="s">
        <v>2327</v>
      </c>
      <c r="F148" s="151" t="s">
        <v>443</v>
      </c>
      <c r="G148" s="151" t="s">
        <v>36</v>
      </c>
      <c r="H148" s="116" t="str">
        <f>HYPERLINK("http://www.mediafire.com/?mh2816cp22nwd", "download link")</f>
        <v>download link</v>
      </c>
      <c r="I148" s="79"/>
    </row>
    <row r="149">
      <c r="A149" s="130">
        <v>37213.0</v>
      </c>
      <c r="B149" s="131"/>
      <c r="C149" s="105" t="str">
        <f t="shared" si="13"/>
        <v>setlist</v>
      </c>
      <c r="D149" s="132" t="s">
        <v>1641</v>
      </c>
      <c r="E149" s="132" t="s">
        <v>1144</v>
      </c>
      <c r="F149" s="133" t="s">
        <v>1133</v>
      </c>
      <c r="G149" s="133" t="s">
        <v>36</v>
      </c>
      <c r="H149" s="105" t="str">
        <f>HYPERLINK("http://www.mediafire.com/?qw2g50n721rgp", "download link")</f>
        <v>download link</v>
      </c>
      <c r="I149" s="174"/>
    </row>
    <row r="150">
      <c r="A150" s="350"/>
      <c r="B150" s="354"/>
      <c r="C150" s="352"/>
      <c r="D150" s="353" t="s">
        <v>2867</v>
      </c>
      <c r="E150" s="350"/>
      <c r="F150" s="351"/>
      <c r="G150" s="354"/>
      <c r="H150" s="351"/>
      <c r="I150" s="355"/>
    </row>
    <row r="151">
      <c r="A151" s="110">
        <v>37224.0</v>
      </c>
      <c r="B151" s="111"/>
      <c r="C151" s="116" t="str">
        <f>HYPERLINK("http://phish.net/sideshows/trey-anastasio-band/?d="&amp;RIGHT(TEXT(A151,"mm/dd/yyyy"),4)&amp;"-"&amp;LEFT(TEXT(A151,"mm/dd/yyyy"),2)&amp;"-"&amp;MID(TEXT(A151,"mm/dd/yyyy"),4,2), "setlist")</f>
        <v>setlist</v>
      </c>
      <c r="D151" s="113" t="s">
        <v>2868</v>
      </c>
      <c r="E151" s="113" t="s">
        <v>323</v>
      </c>
      <c r="F151" s="114" t="s">
        <v>171</v>
      </c>
      <c r="G151" s="111"/>
      <c r="H151" s="359"/>
      <c r="I151" s="80"/>
    </row>
    <row r="152">
      <c r="A152" s="350"/>
      <c r="B152" s="354"/>
      <c r="C152" s="352"/>
      <c r="D152" s="353" t="s">
        <v>2869</v>
      </c>
      <c r="E152" s="350"/>
      <c r="F152" s="351"/>
      <c r="G152" s="354"/>
      <c r="H152" s="351"/>
      <c r="I152" s="355"/>
    </row>
    <row r="153">
      <c r="A153" s="110">
        <v>37376.0</v>
      </c>
      <c r="B153" s="111"/>
      <c r="C153" s="116" t="str">
        <f>HYPERLINK("http://phish.net/sideshows/trey-anastasio-band/?showid=1318704392", "setlist")</f>
        <v>setlist</v>
      </c>
      <c r="D153" s="113" t="s">
        <v>2870</v>
      </c>
      <c r="E153" s="113" t="s">
        <v>2871</v>
      </c>
      <c r="F153" s="114" t="s">
        <v>95</v>
      </c>
      <c r="G153" s="114" t="s">
        <v>36</v>
      </c>
      <c r="H153" s="135" t="str">
        <f>HYPERLINK("http://www.mediafire.com/download/9042elkajak3k3a/2002-04-30_-_The_River_Music_Hall%2C_92.5_The_River_Studios_-_Haverhill%2C_MA.rar", "download link")</f>
        <v>download link</v>
      </c>
      <c r="I153" s="80"/>
    </row>
    <row r="154">
      <c r="A154" s="103">
        <v>37376.0</v>
      </c>
      <c r="B154" s="104"/>
      <c r="C154" s="105" t="str">
        <f>HYPERLINK("http://phish.net/sideshows/trey-anastasio-band/?showid=1318705237", "setlist")</f>
        <v>setlist</v>
      </c>
      <c r="D154" s="106" t="s">
        <v>2872</v>
      </c>
      <c r="E154" s="106" t="s">
        <v>94</v>
      </c>
      <c r="F154" s="107" t="s">
        <v>95</v>
      </c>
      <c r="G154" s="104"/>
      <c r="H154" s="360"/>
      <c r="I154" s="109"/>
    </row>
    <row r="155">
      <c r="A155" s="110">
        <v>37377.0</v>
      </c>
      <c r="B155" s="111"/>
      <c r="C155" s="116" t="str">
        <f>HYPERLINK("http://phish.net/sideshows/trey-anastasio-band/?d="&amp;RIGHT(TEXT(A155,"mm/dd/yyyy"),4)&amp;"-"&amp;LEFT(TEXT(A155,"mm/dd/yyyy"),2)&amp;"-"&amp;MID(TEXT(A155,"mm/dd/yyyy"),4,2), "setlist")</f>
        <v>setlist</v>
      </c>
      <c r="D155" s="113" t="s">
        <v>2873</v>
      </c>
      <c r="E155" s="113" t="s">
        <v>871</v>
      </c>
      <c r="F155" s="114" t="s">
        <v>212</v>
      </c>
      <c r="G155" s="111"/>
      <c r="H155" s="359"/>
      <c r="I155" s="80"/>
    </row>
    <row r="156">
      <c r="A156" s="103">
        <v>37378.0</v>
      </c>
      <c r="B156" s="104"/>
      <c r="C156" s="105" t="str">
        <f>HYPERLINK("http://phish.net/sideshows/trey-anastasio-band/?showid=1318708073", "setlist")</f>
        <v>setlist</v>
      </c>
      <c r="D156" s="106" t="s">
        <v>2874</v>
      </c>
      <c r="E156" s="106" t="s">
        <v>162</v>
      </c>
      <c r="F156" s="107" t="s">
        <v>129</v>
      </c>
      <c r="G156" s="104"/>
      <c r="H156" s="360"/>
      <c r="I156" s="109"/>
    </row>
    <row r="157">
      <c r="A157" s="110">
        <v>37378.0</v>
      </c>
      <c r="B157" s="111"/>
      <c r="C157" s="116" t="str">
        <f>HYPERLINK("http://phish.net/sideshows/trey-anastasio-band/?showid=1298602055", "setlist")</f>
        <v>setlist</v>
      </c>
      <c r="D157" s="113" t="s">
        <v>1551</v>
      </c>
      <c r="E157" s="113" t="s">
        <v>162</v>
      </c>
      <c r="F157" s="114" t="s">
        <v>129</v>
      </c>
      <c r="G157" s="114">
        <v>128.0</v>
      </c>
      <c r="H157" s="135" t="str">
        <f>HYPERLINK("http://www.mediafire.com/?ryscioj28k4p7", "download link")</f>
        <v>download link</v>
      </c>
      <c r="I157" s="80"/>
    </row>
    <row r="158">
      <c r="A158" s="103">
        <v>37390.0</v>
      </c>
      <c r="B158" s="104"/>
      <c r="C158" s="105" t="str">
        <f>HYPERLINK("http://phish.net/sideshows/trey-anastasio-band/?d="&amp;RIGHT(TEXT(A158,"mm/dd/yyyy"),4)&amp;"-"&amp;LEFT(TEXT(A158,"mm/dd/yyyy"),2)&amp;"-"&amp;MID(TEXT(A158,"mm/dd/yyyy"),4,2), "setlist")</f>
        <v>setlist</v>
      </c>
      <c r="D158" s="106" t="s">
        <v>2875</v>
      </c>
      <c r="E158" s="106" t="s">
        <v>2876</v>
      </c>
      <c r="F158" s="107" t="s">
        <v>35</v>
      </c>
      <c r="G158" s="104"/>
      <c r="H158" s="360"/>
      <c r="I158" s="109"/>
    </row>
    <row r="159">
      <c r="A159" s="142">
        <v>37397.0</v>
      </c>
      <c r="B159" s="115" t="s">
        <v>32</v>
      </c>
      <c r="C159" s="116" t="str">
        <f>HYPERLINK("http://phish.net/sideshows/trey-anastasio-band/?showid=1318708460", "setlist")</f>
        <v>setlist</v>
      </c>
      <c r="D159" s="118" t="s">
        <v>2877</v>
      </c>
      <c r="E159" s="118" t="s">
        <v>791</v>
      </c>
      <c r="F159" s="115" t="s">
        <v>701</v>
      </c>
      <c r="G159" s="115">
        <v>192.0</v>
      </c>
      <c r="H159" s="116" t="str">
        <f>HYPERLINK("http://www.mediafire.com/?vt4384527c9k5", "download link")</f>
        <v>download link</v>
      </c>
      <c r="I159" s="146"/>
    </row>
    <row r="160">
      <c r="A160" s="350"/>
      <c r="B160" s="354"/>
      <c r="C160" s="352"/>
      <c r="D160" s="353" t="s">
        <v>2878</v>
      </c>
      <c r="E160" s="350"/>
      <c r="F160" s="351"/>
      <c r="G160" s="354"/>
      <c r="H160" s="351"/>
      <c r="I160" s="355"/>
    </row>
    <row r="161">
      <c r="A161" s="150">
        <v>37397.0</v>
      </c>
      <c r="B161" s="158"/>
      <c r="C161" s="116" t="str">
        <f>HYPERLINK("http://phish.net/sideshows/trey-anastasio-band/?showid=1298603031", "setlist")</f>
        <v>setlist</v>
      </c>
      <c r="D161" s="149" t="s">
        <v>1306</v>
      </c>
      <c r="E161" s="149" t="s">
        <v>791</v>
      </c>
      <c r="F161" s="148" t="s">
        <v>701</v>
      </c>
      <c r="G161" s="148" t="s">
        <v>36</v>
      </c>
      <c r="H161" s="135" t="str">
        <f>HYPERLINK("http://www.mediafire.com/?558ui90irwd94", "download link")</f>
        <v>download link</v>
      </c>
      <c r="I161" s="173"/>
    </row>
    <row r="162">
      <c r="A162" s="130">
        <v>37398.0</v>
      </c>
      <c r="B162" s="131"/>
      <c r="C162" s="105" t="str">
        <f>HYPERLINK("http://phish.net/sideshows/trey-anastasio-band/?showid=1298604309", "setlist")</f>
        <v>setlist</v>
      </c>
      <c r="D162" s="132" t="s">
        <v>1527</v>
      </c>
      <c r="E162" s="132" t="s">
        <v>548</v>
      </c>
      <c r="F162" s="133" t="s">
        <v>692</v>
      </c>
      <c r="G162" s="133" t="s">
        <v>36</v>
      </c>
      <c r="H162" s="105" t="str">
        <f>HYPERLINK("http://www.mediafire.com/?702bp97szeqi6", "download link")</f>
        <v>download link</v>
      </c>
      <c r="I162" s="174"/>
    </row>
    <row r="163">
      <c r="A163" s="364"/>
      <c r="B163" s="365"/>
      <c r="C163" s="366"/>
      <c r="D163" s="353" t="s">
        <v>2879</v>
      </c>
      <c r="E163" s="367"/>
      <c r="F163" s="365"/>
      <c r="G163" s="365"/>
      <c r="H163" s="358"/>
      <c r="I163" s="367"/>
    </row>
    <row r="164">
      <c r="A164" s="147">
        <v>37398.0</v>
      </c>
      <c r="B164" s="158"/>
      <c r="C164" s="116" t="str">
        <f>HYPERLINK("http://phish.net/sideshows/trey-anastasio-band/?showid=1318708658", "setlist")</f>
        <v>setlist</v>
      </c>
      <c r="D164" s="149" t="s">
        <v>2880</v>
      </c>
      <c r="E164" s="149" t="s">
        <v>279</v>
      </c>
      <c r="F164" s="148" t="s">
        <v>692</v>
      </c>
      <c r="G164" s="158"/>
      <c r="H164" s="138"/>
      <c r="I164" s="173"/>
    </row>
    <row r="165">
      <c r="A165" s="103">
        <v>37400.0</v>
      </c>
      <c r="B165" s="104"/>
      <c r="C165" s="105" t="str">
        <f>HYPERLINK("http://phish.net/sideshows/trey-anastasio-band/?showid=1318708889", "setlist")</f>
        <v>setlist</v>
      </c>
      <c r="D165" s="106" t="s">
        <v>2881</v>
      </c>
      <c r="E165" s="106" t="s">
        <v>683</v>
      </c>
      <c r="F165" s="107" t="s">
        <v>679</v>
      </c>
      <c r="G165" s="104"/>
      <c r="H165" s="360"/>
      <c r="I165" s="109"/>
    </row>
    <row r="166">
      <c r="A166" s="350"/>
      <c r="B166" s="354"/>
      <c r="C166" s="352"/>
      <c r="D166" s="353" t="s">
        <v>2882</v>
      </c>
      <c r="E166" s="350"/>
      <c r="F166" s="351"/>
      <c r="G166" s="354"/>
      <c r="H166" s="351"/>
      <c r="I166" s="355"/>
    </row>
    <row r="167">
      <c r="A167" s="150">
        <v>37400.0</v>
      </c>
      <c r="B167" s="158"/>
      <c r="C167" s="116" t="str">
        <f>HYPERLINK("http://phish.net/sideshows/trey-anastasio-band/?showid=1298605238", "setlist")</f>
        <v>setlist</v>
      </c>
      <c r="D167" s="149" t="s">
        <v>2481</v>
      </c>
      <c r="E167" s="149" t="s">
        <v>683</v>
      </c>
      <c r="F167" s="148" t="s">
        <v>679</v>
      </c>
      <c r="G167" s="148" t="s">
        <v>36</v>
      </c>
      <c r="H167" s="135" t="str">
        <f>HYPERLINK("http://www.mediafire.com/?2zjagen7kzzt6", "download link")</f>
        <v>download link</v>
      </c>
      <c r="I167" s="149" t="s">
        <v>2771</v>
      </c>
    </row>
    <row r="168">
      <c r="A168" s="130">
        <v>37401.0</v>
      </c>
      <c r="B168" s="131"/>
      <c r="C168" s="105" t="str">
        <f t="shared" ref="C168:C173" si="14">HYPERLINK("http://phish.net/sideshows/trey-anastasio-band/?d="&amp;RIGHT(TEXT(A168,"mm/dd/yyyy"),4)&amp;"-"&amp;LEFT(TEXT(A168,"mm/dd/yyyy"),2)&amp;"-"&amp;MID(TEXT(A168,"mm/dd/yyyy"),4,2), "setlist")</f>
        <v>setlist</v>
      </c>
      <c r="D168" s="132" t="s">
        <v>2883</v>
      </c>
      <c r="E168" s="132" t="s">
        <v>2884</v>
      </c>
      <c r="F168" s="133" t="s">
        <v>679</v>
      </c>
      <c r="G168" s="133" t="s">
        <v>36</v>
      </c>
      <c r="H168" s="105" t="str">
        <f>HYPERLINK("http://www.mediafire.com/?zyanmmcl01fn5", "download link")</f>
        <v>download link</v>
      </c>
      <c r="I168" s="174"/>
    </row>
    <row r="169">
      <c r="A169" s="150">
        <v>37402.0</v>
      </c>
      <c r="B169" s="158"/>
      <c r="C169" s="116" t="str">
        <f t="shared" si="14"/>
        <v>setlist</v>
      </c>
      <c r="D169" s="149" t="s">
        <v>2883</v>
      </c>
      <c r="E169" s="149" t="s">
        <v>2884</v>
      </c>
      <c r="F169" s="148" t="s">
        <v>679</v>
      </c>
      <c r="G169" s="148" t="s">
        <v>36</v>
      </c>
      <c r="H169" s="135" t="str">
        <f>HYPERLINK("http://www.mediafire.com/?t5jsj6bc15j7d", "download link")</f>
        <v>download link</v>
      </c>
      <c r="I169" s="173"/>
    </row>
    <row r="170">
      <c r="A170" s="130">
        <v>37404.0</v>
      </c>
      <c r="B170" s="131"/>
      <c r="C170" s="105" t="str">
        <f t="shared" si="14"/>
        <v>setlist</v>
      </c>
      <c r="D170" s="132" t="s">
        <v>2859</v>
      </c>
      <c r="E170" s="132" t="s">
        <v>1381</v>
      </c>
      <c r="F170" s="133" t="s">
        <v>679</v>
      </c>
      <c r="G170" s="133" t="s">
        <v>36</v>
      </c>
      <c r="H170" s="105" t="str">
        <f>HYPERLINK("http://www.mediafire.com/?1i9fzikynfry9", "download link")</f>
        <v>download link</v>
      </c>
      <c r="I170" s="174"/>
    </row>
    <row r="171">
      <c r="A171" s="150">
        <v>37405.0</v>
      </c>
      <c r="B171" s="158"/>
      <c r="C171" s="116" t="str">
        <f t="shared" si="14"/>
        <v>setlist</v>
      </c>
      <c r="D171" s="149" t="s">
        <v>1031</v>
      </c>
      <c r="E171" s="149" t="s">
        <v>911</v>
      </c>
      <c r="F171" s="148" t="s">
        <v>679</v>
      </c>
      <c r="G171" s="148" t="s">
        <v>36</v>
      </c>
      <c r="H171" s="135" t="str">
        <f>HYPERLINK("http://www.mediafire.com/?t050lutkd0la4", "download link")</f>
        <v>download link</v>
      </c>
      <c r="I171" s="173"/>
    </row>
    <row r="172">
      <c r="A172" s="130">
        <v>37407.0</v>
      </c>
      <c r="B172" s="131"/>
      <c r="C172" s="105" t="str">
        <f t="shared" si="14"/>
        <v>setlist</v>
      </c>
      <c r="D172" s="132" t="s">
        <v>1938</v>
      </c>
      <c r="E172" s="132" t="s">
        <v>1804</v>
      </c>
      <c r="F172" s="133" t="s">
        <v>1805</v>
      </c>
      <c r="G172" s="133" t="s">
        <v>36</v>
      </c>
      <c r="H172" s="105" t="str">
        <f>HYPERLINK("http://www.mediafire.com/?3rzrtbu85f8pn", "download link")</f>
        <v>download link</v>
      </c>
      <c r="I172" s="132" t="s">
        <v>2885</v>
      </c>
    </row>
    <row r="173">
      <c r="A173" s="368">
        <v>37408.0</v>
      </c>
      <c r="B173" s="158"/>
      <c r="C173" s="116" t="str">
        <f t="shared" si="14"/>
        <v>setlist</v>
      </c>
      <c r="D173" s="149" t="s">
        <v>1938</v>
      </c>
      <c r="E173" s="149" t="s">
        <v>1804</v>
      </c>
      <c r="F173" s="148" t="s">
        <v>1805</v>
      </c>
      <c r="G173" s="148" t="s">
        <v>36</v>
      </c>
      <c r="H173" s="135" t="str">
        <f>HYPERLINK("http://www.mediafire.com/?h0vz0u0h0xh36", "download link")</f>
        <v>download link</v>
      </c>
      <c r="I173" s="173"/>
    </row>
    <row r="174">
      <c r="A174" s="364"/>
      <c r="B174" s="365"/>
      <c r="C174" s="366"/>
      <c r="D174" s="353" t="s">
        <v>2879</v>
      </c>
      <c r="E174" s="367"/>
      <c r="F174" s="365"/>
      <c r="G174" s="365"/>
      <c r="H174" s="358"/>
      <c r="I174" s="367"/>
    </row>
    <row r="175">
      <c r="A175" s="150">
        <v>37409.0</v>
      </c>
      <c r="B175" s="151" t="s">
        <v>32</v>
      </c>
      <c r="C175" s="116" t="str">
        <f>HYPERLINK("http://phish.net/sideshows/trey-anastasio-band/?d="&amp;RIGHT(TEXT(A175,"mm/dd/yyyy"),4)&amp;"-"&amp;LEFT(TEXT(A175,"mm/dd/yyyy"),2)&amp;"-"&amp;MID(TEXT(A175,"mm/dd/yyyy"),4,2), "setlist")</f>
        <v>setlist</v>
      </c>
      <c r="D175" s="153" t="s">
        <v>2886</v>
      </c>
      <c r="E175" s="153" t="s">
        <v>488</v>
      </c>
      <c r="F175" s="151" t="s">
        <v>203</v>
      </c>
      <c r="G175" s="151" t="s">
        <v>36</v>
      </c>
      <c r="H175" s="116" t="str">
        <f>HYPERLINK("http://www.mediafire.com/?5w1gnp66seoan", "download link")</f>
        <v>download link</v>
      </c>
      <c r="I175" s="79"/>
    </row>
    <row r="176">
      <c r="A176" s="364"/>
      <c r="B176" s="365"/>
      <c r="C176" s="366"/>
      <c r="D176" s="353" t="s">
        <v>2882</v>
      </c>
      <c r="E176" s="367"/>
      <c r="F176" s="365"/>
      <c r="G176" s="365"/>
      <c r="H176" s="358"/>
      <c r="I176" s="367"/>
    </row>
    <row r="177">
      <c r="A177" s="150">
        <v>37410.0</v>
      </c>
      <c r="B177" s="156"/>
      <c r="C177" s="116" t="str">
        <f t="shared" ref="C177:C195" si="15">HYPERLINK("http://phish.net/sideshows/trey-anastasio-band/?d="&amp;RIGHT(TEXT(A177,"mm/dd/yyyy"),4)&amp;"-"&amp;LEFT(TEXT(A177,"mm/dd/yyyy"),2)&amp;"-"&amp;MID(TEXT(A177,"mm/dd/yyyy"),4,2), "setlist")</f>
        <v>setlist</v>
      </c>
      <c r="D177" s="153" t="s">
        <v>1297</v>
      </c>
      <c r="E177" s="153" t="s">
        <v>1298</v>
      </c>
      <c r="F177" s="151" t="s">
        <v>203</v>
      </c>
      <c r="G177" s="151" t="s">
        <v>36</v>
      </c>
      <c r="H177" s="116" t="str">
        <f>HYPERLINK("http://www.mediafire.com/?38ooj3f7d8wod", "download link")</f>
        <v>download link</v>
      </c>
      <c r="I177" s="79"/>
    </row>
    <row r="178">
      <c r="A178" s="130">
        <v>37411.0</v>
      </c>
      <c r="B178" s="131"/>
      <c r="C178" s="105" t="str">
        <f t="shared" si="15"/>
        <v>setlist</v>
      </c>
      <c r="D178" s="132" t="s">
        <v>1297</v>
      </c>
      <c r="E178" s="132" t="s">
        <v>1298</v>
      </c>
      <c r="F178" s="133" t="s">
        <v>203</v>
      </c>
      <c r="G178" s="133" t="s">
        <v>36</v>
      </c>
      <c r="H178" s="105" t="str">
        <f>HYPERLINK("http://www.mediafire.com/?xe80xdweotgw6", "download link")</f>
        <v>download link</v>
      </c>
      <c r="I178" s="174"/>
    </row>
    <row r="179">
      <c r="A179" s="150">
        <v>37413.0</v>
      </c>
      <c r="B179" s="156"/>
      <c r="C179" s="116" t="str">
        <f t="shared" si="15"/>
        <v>setlist</v>
      </c>
      <c r="D179" s="153" t="s">
        <v>1414</v>
      </c>
      <c r="E179" s="153" t="s">
        <v>479</v>
      </c>
      <c r="F179" s="151" t="s">
        <v>480</v>
      </c>
      <c r="G179" s="151" t="s">
        <v>36</v>
      </c>
      <c r="H179" s="116" t="str">
        <f>HYPERLINK("http://www.mediafire.com/?05w5nd846yap0", "download link")</f>
        <v>download link</v>
      </c>
      <c r="I179" s="79"/>
    </row>
    <row r="180">
      <c r="A180" s="130">
        <v>37414.0</v>
      </c>
      <c r="B180" s="131"/>
      <c r="C180" s="105" t="str">
        <f t="shared" si="15"/>
        <v>setlist</v>
      </c>
      <c r="D180" s="132" t="s">
        <v>897</v>
      </c>
      <c r="E180" s="132" t="s">
        <v>946</v>
      </c>
      <c r="F180" s="133" t="s">
        <v>712</v>
      </c>
      <c r="G180" s="133" t="s">
        <v>36</v>
      </c>
      <c r="H180" s="105" t="str">
        <f>HYPERLINK("http://www.mediafire.com/?n9qa9q279vqe4", "download link")</f>
        <v>download link</v>
      </c>
      <c r="I180" s="174"/>
    </row>
    <row r="181">
      <c r="A181" s="150">
        <v>37415.0</v>
      </c>
      <c r="B181" s="156"/>
      <c r="C181" s="116" t="str">
        <f t="shared" si="15"/>
        <v>setlist</v>
      </c>
      <c r="D181" s="153" t="s">
        <v>1578</v>
      </c>
      <c r="E181" s="153" t="s">
        <v>1579</v>
      </c>
      <c r="F181" s="151" t="s">
        <v>508</v>
      </c>
      <c r="G181" s="151" t="s">
        <v>36</v>
      </c>
      <c r="H181" s="116" t="str">
        <f>HYPERLINK("http://www.mediafire.com/?kmz44gon9exk7", "download link")</f>
        <v>download link</v>
      </c>
      <c r="I181" s="79"/>
    </row>
    <row r="182">
      <c r="A182" s="130">
        <v>37416.0</v>
      </c>
      <c r="B182" s="131"/>
      <c r="C182" s="105" t="str">
        <f t="shared" si="15"/>
        <v>setlist</v>
      </c>
      <c r="D182" s="132" t="s">
        <v>2887</v>
      </c>
      <c r="E182" s="132" t="s">
        <v>773</v>
      </c>
      <c r="F182" s="133" t="s">
        <v>472</v>
      </c>
      <c r="G182" s="133" t="s">
        <v>36</v>
      </c>
      <c r="H182" s="105" t="str">
        <f>HYPERLINK("http://www.mediafire.com/?84bbmub6zimsa", "download link")</f>
        <v>download link</v>
      </c>
      <c r="I182" s="174"/>
    </row>
    <row r="183">
      <c r="A183" s="150">
        <v>37418.0</v>
      </c>
      <c r="B183" s="156"/>
      <c r="C183" s="116" t="str">
        <f t="shared" si="15"/>
        <v>setlist</v>
      </c>
      <c r="D183" s="153" t="s">
        <v>2888</v>
      </c>
      <c r="E183" s="153" t="s">
        <v>1073</v>
      </c>
      <c r="F183" s="151" t="s">
        <v>212</v>
      </c>
      <c r="G183" s="151" t="s">
        <v>36</v>
      </c>
      <c r="H183" s="116" t="str">
        <f>HYPERLINK("http://www.mediafire.com/?72829uti2lzks", "download link")</f>
        <v>download link</v>
      </c>
      <c r="I183" s="79"/>
    </row>
    <row r="184">
      <c r="A184" s="130">
        <v>37420.0</v>
      </c>
      <c r="B184" s="131"/>
      <c r="C184" s="105" t="str">
        <f t="shared" si="15"/>
        <v>setlist</v>
      </c>
      <c r="D184" s="132" t="s">
        <v>866</v>
      </c>
      <c r="E184" s="132" t="s">
        <v>309</v>
      </c>
      <c r="F184" s="133" t="s">
        <v>129</v>
      </c>
      <c r="G184" s="133" t="s">
        <v>36</v>
      </c>
      <c r="H184" s="105" t="str">
        <f>HYPERLINK("http://www.mediafire.com/?17762spucq8pv", "download link")</f>
        <v>download link</v>
      </c>
      <c r="I184" s="174"/>
    </row>
    <row r="185">
      <c r="A185" s="150">
        <v>37421.0</v>
      </c>
      <c r="B185" s="156"/>
      <c r="C185" s="116" t="str">
        <f t="shared" si="15"/>
        <v>setlist</v>
      </c>
      <c r="D185" s="153" t="s">
        <v>2071</v>
      </c>
      <c r="E185" s="153" t="s">
        <v>1004</v>
      </c>
      <c r="F185" s="151" t="s">
        <v>95</v>
      </c>
      <c r="G185" s="151" t="s">
        <v>36</v>
      </c>
      <c r="H185" s="116" t="str">
        <f>HYPERLINK("http://www.mediafire.com/?tdc3dyyj841y0", "download link")</f>
        <v>download link</v>
      </c>
      <c r="I185" s="153" t="s">
        <v>2857</v>
      </c>
    </row>
    <row r="186">
      <c r="A186" s="130">
        <v>37422.0</v>
      </c>
      <c r="B186" s="131"/>
      <c r="C186" s="105" t="str">
        <f t="shared" si="15"/>
        <v>setlist</v>
      </c>
      <c r="D186" s="132" t="s">
        <v>2462</v>
      </c>
      <c r="E186" s="132" t="s">
        <v>2463</v>
      </c>
      <c r="F186" s="133" t="s">
        <v>35</v>
      </c>
      <c r="G186" s="133" t="s">
        <v>36</v>
      </c>
      <c r="H186" s="105" t="str">
        <f>HYPERLINK("http://www.mediafire.com/?n972g4zyp4bxy", "download link")</f>
        <v>download link</v>
      </c>
      <c r="I186" s="174"/>
    </row>
    <row r="187">
      <c r="A187" s="150">
        <v>37423.0</v>
      </c>
      <c r="B187" s="156"/>
      <c r="C187" s="116" t="str">
        <f t="shared" si="15"/>
        <v>setlist</v>
      </c>
      <c r="D187" s="153" t="s">
        <v>1278</v>
      </c>
      <c r="E187" s="153" t="s">
        <v>1279</v>
      </c>
      <c r="F187" s="151" t="s">
        <v>129</v>
      </c>
      <c r="G187" s="151" t="s">
        <v>36</v>
      </c>
      <c r="H187" s="116" t="str">
        <f>HYPERLINK("http://www.mediafire.com/?163rdgmwhfb5e", "download link")</f>
        <v>download link</v>
      </c>
      <c r="I187" s="153" t="s">
        <v>2889</v>
      </c>
    </row>
    <row r="188">
      <c r="A188" s="130">
        <v>37425.0</v>
      </c>
      <c r="B188" s="131"/>
      <c r="C188" s="105" t="str">
        <f t="shared" si="15"/>
        <v>setlist</v>
      </c>
      <c r="D188" s="132" t="s">
        <v>2157</v>
      </c>
      <c r="E188" s="132" t="s">
        <v>162</v>
      </c>
      <c r="F188" s="133" t="s">
        <v>129</v>
      </c>
      <c r="G188" s="133" t="s">
        <v>36</v>
      </c>
      <c r="H188" s="105" t="str">
        <f>HYPERLINK("http://www.mediafire.com/?85x92xw0zwb46", "download link")</f>
        <v>download link</v>
      </c>
      <c r="I188" s="174"/>
    </row>
    <row r="189">
      <c r="A189" s="147">
        <v>37426.0</v>
      </c>
      <c r="B189" s="158"/>
      <c r="C189" s="116" t="str">
        <f t="shared" si="15"/>
        <v>setlist</v>
      </c>
      <c r="D189" s="149" t="s">
        <v>2223</v>
      </c>
      <c r="E189" s="149" t="s">
        <v>162</v>
      </c>
      <c r="F189" s="148" t="s">
        <v>129</v>
      </c>
      <c r="G189" s="158"/>
      <c r="H189" s="138"/>
      <c r="I189" s="173"/>
    </row>
    <row r="190">
      <c r="A190" s="130">
        <v>37427.0</v>
      </c>
      <c r="B190" s="131"/>
      <c r="C190" s="105" t="str">
        <f t="shared" si="15"/>
        <v>setlist</v>
      </c>
      <c r="D190" s="132" t="s">
        <v>2072</v>
      </c>
      <c r="E190" s="132" t="s">
        <v>992</v>
      </c>
      <c r="F190" s="133" t="s">
        <v>43</v>
      </c>
      <c r="G190" s="133" t="s">
        <v>36</v>
      </c>
      <c r="H190" s="105" t="str">
        <f>HYPERLINK("http://www.mediafire.com/?gn4cjez4y449m", "download link")</f>
        <v>download link</v>
      </c>
      <c r="I190" s="174"/>
    </row>
    <row r="191">
      <c r="A191" s="150">
        <v>37428.0</v>
      </c>
      <c r="B191" s="156"/>
      <c r="C191" s="116" t="str">
        <f t="shared" si="15"/>
        <v>setlist</v>
      </c>
      <c r="D191" s="153" t="s">
        <v>2272</v>
      </c>
      <c r="E191" s="153" t="s">
        <v>2070</v>
      </c>
      <c r="F191" s="151" t="s">
        <v>43</v>
      </c>
      <c r="G191" s="151" t="s">
        <v>36</v>
      </c>
      <c r="H191" s="116" t="str">
        <f>HYPERLINK("http://www.mediafire.com/?a98g68o49kgcy", "download link")</f>
        <v>download link</v>
      </c>
      <c r="I191" s="79"/>
    </row>
    <row r="192">
      <c r="A192" s="130">
        <v>37429.0</v>
      </c>
      <c r="B192" s="131"/>
      <c r="C192" s="105" t="str">
        <f t="shared" si="15"/>
        <v>setlist</v>
      </c>
      <c r="D192" s="132" t="s">
        <v>1000</v>
      </c>
      <c r="E192" s="132" t="s">
        <v>439</v>
      </c>
      <c r="F192" s="133" t="s">
        <v>397</v>
      </c>
      <c r="G192" s="133" t="s">
        <v>36</v>
      </c>
      <c r="H192" s="105" t="str">
        <f>HYPERLINK("http://www.mediafire.com/?n4k4gkp2zmfy0", "download link")</f>
        <v>download link</v>
      </c>
      <c r="I192" s="174"/>
    </row>
    <row r="193">
      <c r="A193" s="150">
        <v>37430.0</v>
      </c>
      <c r="B193" s="156"/>
      <c r="C193" s="116" t="str">
        <f t="shared" si="15"/>
        <v>setlist</v>
      </c>
      <c r="D193" s="153" t="s">
        <v>2333</v>
      </c>
      <c r="E193" s="153" t="s">
        <v>2332</v>
      </c>
      <c r="F193" s="151" t="s">
        <v>650</v>
      </c>
      <c r="G193" s="151" t="s">
        <v>36</v>
      </c>
      <c r="H193" s="116" t="str">
        <f>HYPERLINK("http://www.mediafire.com/?d86t4au24je4x", "download link")</f>
        <v>download link</v>
      </c>
      <c r="I193" s="79"/>
    </row>
    <row r="194">
      <c r="A194" s="130">
        <v>37431.0</v>
      </c>
      <c r="B194" s="131"/>
      <c r="C194" s="105" t="str">
        <f t="shared" si="15"/>
        <v>setlist</v>
      </c>
      <c r="D194" s="106" t="s">
        <v>2890</v>
      </c>
      <c r="E194" s="132" t="s">
        <v>911</v>
      </c>
      <c r="F194" s="133" t="s">
        <v>679</v>
      </c>
      <c r="G194" s="133" t="s">
        <v>36</v>
      </c>
      <c r="H194" s="105" t="str">
        <f>HYPERLINK("http://www.mediafire.com/?43bf3g1okj4mj", "download link")</f>
        <v>download link</v>
      </c>
      <c r="I194" s="174"/>
    </row>
    <row r="195">
      <c r="A195" s="150">
        <v>37433.0</v>
      </c>
      <c r="B195" s="156"/>
      <c r="C195" s="116" t="str">
        <f t="shared" si="15"/>
        <v>setlist</v>
      </c>
      <c r="D195" s="153" t="s">
        <v>1936</v>
      </c>
      <c r="E195" s="153" t="s">
        <v>2216</v>
      </c>
      <c r="F195" s="151" t="s">
        <v>679</v>
      </c>
      <c r="G195" s="156"/>
      <c r="H195" s="145"/>
      <c r="I195" s="79"/>
    </row>
    <row r="196">
      <c r="A196" s="350"/>
      <c r="B196" s="354"/>
      <c r="C196" s="352"/>
      <c r="D196" s="353" t="s">
        <v>2891</v>
      </c>
      <c r="E196" s="355"/>
      <c r="F196" s="354"/>
      <c r="G196" s="354"/>
      <c r="H196" s="351"/>
      <c r="I196" s="355"/>
    </row>
    <row r="197">
      <c r="A197" s="110">
        <v>37520.0</v>
      </c>
      <c r="B197" s="111"/>
      <c r="C197" s="116" t="str">
        <f>HYPERLINK("http://phish.net/sideshows/guest-appearance/?d=2002-09-21", "setlist")</f>
        <v>setlist</v>
      </c>
      <c r="D197" s="113" t="s">
        <v>2892</v>
      </c>
      <c r="E197" s="113" t="s">
        <v>2893</v>
      </c>
      <c r="F197" s="114" t="s">
        <v>129</v>
      </c>
      <c r="G197" s="111"/>
      <c r="H197" s="359"/>
      <c r="I197" s="80"/>
    </row>
    <row r="198">
      <c r="A198" s="350"/>
      <c r="B198" s="354"/>
      <c r="C198" s="352"/>
      <c r="D198" s="353" t="s">
        <v>2894</v>
      </c>
      <c r="E198" s="355"/>
      <c r="F198" s="354"/>
      <c r="G198" s="354"/>
      <c r="H198" s="351"/>
      <c r="I198" s="355"/>
    </row>
    <row r="199">
      <c r="A199" s="147">
        <v>37551.0</v>
      </c>
      <c r="B199" s="158"/>
      <c r="C199" s="116" t="str">
        <f>HYPERLINK("http://phish.net/sideshows/trey-anastasio-band/?d="&amp;RIGHT(TEXT(A199,"mm/dd/yyyy"),4)&amp;"-"&amp;LEFT(TEXT(A199,"mm/dd/yyyy"),2)&amp;"-"&amp;MID(TEXT(A199,"mm/dd/yyyy"),4,2), "setlist")</f>
        <v>setlist</v>
      </c>
      <c r="D199" s="149" t="s">
        <v>2895</v>
      </c>
      <c r="E199" s="149" t="s">
        <v>34</v>
      </c>
      <c r="F199" s="148" t="s">
        <v>35</v>
      </c>
      <c r="G199" s="148" t="s">
        <v>36</v>
      </c>
      <c r="H199" s="135" t="str">
        <f>HYPERLINK("http://www.mediafire.com/?48aa1morm9u46", "download link")</f>
        <v>download link</v>
      </c>
      <c r="I199" s="149" t="s">
        <v>2812</v>
      </c>
    </row>
    <row r="200">
      <c r="A200" s="130">
        <v>37553.0</v>
      </c>
      <c r="B200" s="131"/>
      <c r="C200" s="105" t="str">
        <f>HYPERLINK("http://phish.net/sideshows/trey-anastasio-band/?showid=1298851305", "setlist")</f>
        <v>setlist</v>
      </c>
      <c r="D200" s="132" t="s">
        <v>1103</v>
      </c>
      <c r="E200" s="132" t="s">
        <v>279</v>
      </c>
      <c r="F200" s="133" t="s">
        <v>257</v>
      </c>
      <c r="G200" s="133" t="s">
        <v>36</v>
      </c>
      <c r="H200" s="105" t="str">
        <f>HYPERLINK("http://www.mediafire.com/?d936ag49r7q94", "download link")</f>
        <v>download link</v>
      </c>
      <c r="I200" s="174"/>
    </row>
    <row r="201">
      <c r="A201" s="150">
        <v>37554.0</v>
      </c>
      <c r="B201" s="158"/>
      <c r="C201" s="116" t="str">
        <f>HYPERLINK("http://phish.net/sideshows/trey-anastasio-band/?showid=1298854405", "setlist")</f>
        <v>setlist</v>
      </c>
      <c r="D201" s="149" t="s">
        <v>2896</v>
      </c>
      <c r="E201" s="149" t="s">
        <v>2413</v>
      </c>
      <c r="F201" s="148" t="s">
        <v>129</v>
      </c>
      <c r="G201" s="148" t="s">
        <v>36</v>
      </c>
      <c r="H201" s="135" t="str">
        <f>HYPERLINK("http://www.mediafire.com/?lw7al5ry2w5s3", "download link")</f>
        <v>download link</v>
      </c>
      <c r="I201" s="173"/>
    </row>
    <row r="202">
      <c r="A202" s="130">
        <v>37555.0</v>
      </c>
      <c r="B202" s="131"/>
      <c r="C202" s="105" t="str">
        <f>HYPERLINK("http://phish.net/sideshows/trey-anastasio-band/?showid=1298860424", "setlist")</f>
        <v>setlist</v>
      </c>
      <c r="D202" s="132" t="s">
        <v>1448</v>
      </c>
      <c r="E202" s="132" t="s">
        <v>1449</v>
      </c>
      <c r="F202" s="133" t="s">
        <v>212</v>
      </c>
      <c r="G202" s="133" t="s">
        <v>36</v>
      </c>
      <c r="H202" s="105" t="str">
        <f>HYPERLINK("https://www.mediafire.com/file/0jgv0z5xctbnlp6/2002-10-26_-_Stabler_Arena%252C_Lehigh_University_-_Bethlehem%252C_PA.rar/file", "download link")</f>
        <v>download link</v>
      </c>
      <c r="I202" s="174"/>
    </row>
    <row r="203">
      <c r="A203" s="150">
        <v>37557.0</v>
      </c>
      <c r="B203" s="158"/>
      <c r="C203" s="116" t="str">
        <f>HYPERLINK("http://phish.net/sideshows/trey-anastasio-band/?showid=1298862208", "setlist")</f>
        <v>setlist</v>
      </c>
      <c r="D203" s="149" t="s">
        <v>1483</v>
      </c>
      <c r="E203" s="149" t="s">
        <v>579</v>
      </c>
      <c r="F203" s="148" t="s">
        <v>446</v>
      </c>
      <c r="G203" s="148" t="s">
        <v>36</v>
      </c>
      <c r="H203" s="135" t="str">
        <f>HYPERLINK("http://www.mediafire.com/?rjj418zkc0k8h", "download link")</f>
        <v>download link</v>
      </c>
      <c r="I203" s="173"/>
    </row>
    <row r="204">
      <c r="A204" s="364"/>
      <c r="B204" s="365"/>
      <c r="C204" s="366"/>
      <c r="D204" s="353" t="s">
        <v>2879</v>
      </c>
      <c r="E204" s="367"/>
      <c r="F204" s="365"/>
      <c r="G204" s="365"/>
      <c r="H204" s="358"/>
      <c r="I204" s="367"/>
    </row>
    <row r="205">
      <c r="A205" s="150">
        <v>37558.0</v>
      </c>
      <c r="B205" s="151" t="s">
        <v>32</v>
      </c>
      <c r="C205" s="116" t="str">
        <f>HYPERLINK("http://phish.net/sideshows/trey-anastasio-band/?showid=1318711137", "setlist")</f>
        <v>setlist</v>
      </c>
      <c r="D205" s="153" t="s">
        <v>866</v>
      </c>
      <c r="E205" s="153" t="s">
        <v>1209</v>
      </c>
      <c r="F205" s="151" t="s">
        <v>1210</v>
      </c>
      <c r="G205" s="151">
        <v>192.0</v>
      </c>
      <c r="H205" s="116" t="str">
        <f>HYPERLINK("http://www.mediafire.com/?12o7rrj2r1xd4", "download link")</f>
        <v>download link</v>
      </c>
      <c r="I205" s="79"/>
    </row>
    <row r="206">
      <c r="A206" s="350"/>
      <c r="B206" s="354"/>
      <c r="C206" s="352"/>
      <c r="D206" s="353" t="s">
        <v>2897</v>
      </c>
      <c r="E206" s="355"/>
      <c r="F206" s="354"/>
      <c r="G206" s="354"/>
      <c r="H206" s="351"/>
      <c r="I206" s="355"/>
    </row>
    <row r="207">
      <c r="A207" s="150">
        <v>37558.0</v>
      </c>
      <c r="B207" s="156"/>
      <c r="C207" s="116" t="str">
        <f>HYPERLINK("http://phish.net/sideshows/trey-anastasio-band/?showid=1298864204", "setlist")</f>
        <v>setlist</v>
      </c>
      <c r="D207" s="153" t="s">
        <v>866</v>
      </c>
      <c r="E207" s="153" t="s">
        <v>1209</v>
      </c>
      <c r="F207" s="151" t="s">
        <v>1210</v>
      </c>
      <c r="G207" s="151" t="s">
        <v>36</v>
      </c>
      <c r="H207" s="116" t="str">
        <f>HYPERLINK("http://www.mediafire.com/?48ajbaj4drbqb", "download link")</f>
        <v>download link</v>
      </c>
      <c r="I207" s="79"/>
    </row>
    <row r="208">
      <c r="A208" s="130">
        <v>37560.0</v>
      </c>
      <c r="B208" s="131"/>
      <c r="C208" s="105" t="str">
        <f>HYPERLINK("http://phish.net/sideshows/trey-anastasio-band/?showid=1298949723", "setlist")</f>
        <v>setlist</v>
      </c>
      <c r="D208" s="132" t="s">
        <v>2326</v>
      </c>
      <c r="E208" s="132" t="s">
        <v>2327</v>
      </c>
      <c r="F208" s="133" t="s">
        <v>443</v>
      </c>
      <c r="G208" s="133" t="s">
        <v>36</v>
      </c>
      <c r="H208" s="105" t="str">
        <f>HYPERLINK("http://www.mediafire.com/?3vrkyxx0x5bxx", "download link")</f>
        <v>download link</v>
      </c>
      <c r="I208" s="174"/>
    </row>
    <row r="209">
      <c r="A209" s="150">
        <v>37561.0</v>
      </c>
      <c r="B209" s="156"/>
      <c r="C209" s="116" t="str">
        <f>HYPERLINK("http://phish.net/sideshows/trey-anastasio-band/?showid=1298950533", "setlist")</f>
        <v>setlist</v>
      </c>
      <c r="D209" s="153" t="s">
        <v>2898</v>
      </c>
      <c r="E209" s="153" t="s">
        <v>437</v>
      </c>
      <c r="F209" s="151" t="s">
        <v>433</v>
      </c>
      <c r="G209" s="151" t="s">
        <v>36</v>
      </c>
      <c r="H209" s="116" t="str">
        <f>HYPERLINK("http://www.mediafire.com/?94ra4r5qv6yc5", "download link")</f>
        <v>download link</v>
      </c>
      <c r="I209" s="79"/>
    </row>
    <row r="210">
      <c r="A210" s="130">
        <v>37562.0</v>
      </c>
      <c r="B210" s="131"/>
      <c r="C210" s="105" t="str">
        <f>HYPERLINK("http://phish.net/sideshows/trey-anastasio-band/?showid=1298951022", "setlist")</f>
        <v>setlist</v>
      </c>
      <c r="D210" s="132" t="s">
        <v>2899</v>
      </c>
      <c r="E210" s="132" t="s">
        <v>2900</v>
      </c>
      <c r="F210" s="133" t="s">
        <v>1133</v>
      </c>
      <c r="G210" s="133" t="s">
        <v>36</v>
      </c>
      <c r="H210" s="105" t="str">
        <f>HYPERLINK("http://www.mediafire.com/?ludun8d1rl60t", "download link")</f>
        <v>download link</v>
      </c>
      <c r="I210" s="174"/>
    </row>
    <row r="211">
      <c r="A211" s="350"/>
      <c r="B211" s="354"/>
      <c r="C211" s="352"/>
      <c r="D211" s="353" t="s">
        <v>2901</v>
      </c>
      <c r="E211" s="350"/>
      <c r="F211" s="351"/>
      <c r="G211" s="354"/>
      <c r="H211" s="351"/>
      <c r="I211" s="355"/>
    </row>
    <row r="212">
      <c r="A212" s="150">
        <v>37767.0</v>
      </c>
      <c r="B212" s="158"/>
      <c r="C212" s="116" t="str">
        <f t="shared" ref="C212:C214" si="16">HYPERLINK("http://phish.net/sideshows/trey-anastasio-band/?d="&amp;RIGHT(TEXT(A212,"mm/dd/yyyy"),4)&amp;"-"&amp;LEFT(TEXT(A212,"mm/dd/yyyy"),2)&amp;"-"&amp;MID(TEXT(A212,"mm/dd/yyyy"),4,2), "setlist")</f>
        <v>setlist</v>
      </c>
      <c r="D212" s="149" t="s">
        <v>2902</v>
      </c>
      <c r="E212" s="149" t="s">
        <v>162</v>
      </c>
      <c r="F212" s="148" t="s">
        <v>129</v>
      </c>
      <c r="G212" s="148" t="s">
        <v>36</v>
      </c>
      <c r="H212" s="135" t="str">
        <f>HYPERLINK("http://www.mediafire.com/?qxd5qs9dgai3s", "download link")</f>
        <v>download link</v>
      </c>
      <c r="I212" s="149" t="s">
        <v>2857</v>
      </c>
    </row>
    <row r="213">
      <c r="A213" s="130">
        <v>37768.0</v>
      </c>
      <c r="B213" s="131"/>
      <c r="C213" s="105" t="str">
        <f t="shared" si="16"/>
        <v>setlist</v>
      </c>
      <c r="D213" s="132" t="s">
        <v>2902</v>
      </c>
      <c r="E213" s="132" t="s">
        <v>162</v>
      </c>
      <c r="F213" s="133" t="s">
        <v>129</v>
      </c>
      <c r="G213" s="133" t="s">
        <v>36</v>
      </c>
      <c r="H213" s="105" t="str">
        <f>HYPERLINK("http://www.mediafire.com/?y86xe7k88c3ar", "download link")</f>
        <v>download link</v>
      </c>
      <c r="I213" s="174"/>
    </row>
    <row r="214">
      <c r="A214" s="150">
        <v>37769.0</v>
      </c>
      <c r="B214" s="158"/>
      <c r="C214" s="116" t="str">
        <f t="shared" si="16"/>
        <v>setlist</v>
      </c>
      <c r="D214" s="149" t="s">
        <v>2903</v>
      </c>
      <c r="E214" s="149" t="s">
        <v>871</v>
      </c>
      <c r="F214" s="148" t="s">
        <v>212</v>
      </c>
      <c r="G214" s="148" t="s">
        <v>36</v>
      </c>
      <c r="H214" s="135" t="str">
        <f>HYPERLINK("http://www.mediafire.com/?f1rjqogd9lpwt", "download link")</f>
        <v>download link</v>
      </c>
      <c r="I214" s="173"/>
    </row>
    <row r="215">
      <c r="A215" s="130">
        <v>37771.0</v>
      </c>
      <c r="B215" s="131"/>
      <c r="C215" s="105" t="str">
        <f>HYPERLINK("http://phish.net/sideshows/trey-anastasio-band/?showid=1298867124", "setlist")</f>
        <v>setlist</v>
      </c>
      <c r="D215" s="132" t="s">
        <v>914</v>
      </c>
      <c r="E215" s="132" t="s">
        <v>683</v>
      </c>
      <c r="F215" s="133" t="s">
        <v>679</v>
      </c>
      <c r="G215" s="133" t="s">
        <v>36</v>
      </c>
      <c r="H215" s="105" t="str">
        <f>HYPERLINK("http://www.mediafire.com/?d5kapuc466why", "download link")</f>
        <v>download link</v>
      </c>
      <c r="I215" s="174"/>
    </row>
    <row r="216">
      <c r="A216" s="150">
        <v>37772.0</v>
      </c>
      <c r="B216" s="158"/>
      <c r="C216" s="116" t="str">
        <f>HYPERLINK("http://phish.net/sideshows/trey-anastasio-band/?showid=1298867142", "setlist")</f>
        <v>setlist</v>
      </c>
      <c r="D216" s="149" t="s">
        <v>914</v>
      </c>
      <c r="E216" s="149" t="s">
        <v>683</v>
      </c>
      <c r="F216" s="148" t="s">
        <v>679</v>
      </c>
      <c r="G216" s="148" t="s">
        <v>36</v>
      </c>
      <c r="H216" s="135" t="str">
        <f>HYPERLINK("http://www.mediafire.com/?efl3r74mt2az6", "download link")</f>
        <v>download link</v>
      </c>
      <c r="I216" s="173"/>
    </row>
    <row r="217">
      <c r="A217" s="130">
        <v>37774.0</v>
      </c>
      <c r="B217" s="131"/>
      <c r="C217" s="105" t="str">
        <f t="shared" ref="C217:C221" si="17">HYPERLINK("http://phish.net/sideshows/trey-anastasio-band/?d="&amp;RIGHT(TEXT(A217,"mm/dd/yyyy"),4)&amp;"-"&amp;LEFT(TEXT(A217,"mm/dd/yyyy"),2)&amp;"-"&amp;MID(TEXT(A217,"mm/dd/yyyy"),4,2), "setlist")</f>
        <v>setlist</v>
      </c>
      <c r="D217" s="132" t="s">
        <v>2840</v>
      </c>
      <c r="E217" s="132" t="s">
        <v>499</v>
      </c>
      <c r="F217" s="133" t="s">
        <v>203</v>
      </c>
      <c r="G217" s="133" t="s">
        <v>36</v>
      </c>
      <c r="H217" s="105" t="str">
        <f>HYPERLINK("http://www.mediafire.com/file/xosmyk12r45qx9x/2003-06-02_-_Fillmore_Auditorium_-_Denver%2C_CO.rar", "download link")</f>
        <v>download link</v>
      </c>
      <c r="I217" s="174"/>
    </row>
    <row r="218">
      <c r="A218" s="150">
        <v>37776.0</v>
      </c>
      <c r="B218" s="158"/>
      <c r="C218" s="116" t="str">
        <f t="shared" si="17"/>
        <v>setlist</v>
      </c>
      <c r="D218" s="149" t="s">
        <v>2904</v>
      </c>
      <c r="E218" s="149" t="s">
        <v>479</v>
      </c>
      <c r="F218" s="148" t="s">
        <v>480</v>
      </c>
      <c r="G218" s="148" t="s">
        <v>36</v>
      </c>
      <c r="H218" s="135" t="str">
        <f>HYPERLINK("http://www.mediafire.com/?43k4p3ojnjdcc", "download link")</f>
        <v>download link</v>
      </c>
      <c r="I218" s="173"/>
    </row>
    <row r="219">
      <c r="A219" s="130">
        <v>37777.0</v>
      </c>
      <c r="B219" s="131"/>
      <c r="C219" s="105" t="str">
        <f t="shared" si="17"/>
        <v>setlist</v>
      </c>
      <c r="D219" s="132" t="s">
        <v>2904</v>
      </c>
      <c r="E219" s="132" t="s">
        <v>479</v>
      </c>
      <c r="F219" s="133" t="s">
        <v>480</v>
      </c>
      <c r="G219" s="133" t="s">
        <v>36</v>
      </c>
      <c r="H219" s="105" t="str">
        <f>HYPERLINK("http://www.mediafire.com/?aesn7v9hxv9rv", "download link")</f>
        <v>download link</v>
      </c>
      <c r="I219" s="174"/>
    </row>
    <row r="220">
      <c r="A220" s="150">
        <v>37779.0</v>
      </c>
      <c r="B220" s="158"/>
      <c r="C220" s="116" t="str">
        <f t="shared" si="17"/>
        <v>setlist</v>
      </c>
      <c r="D220" s="149" t="s">
        <v>2895</v>
      </c>
      <c r="E220" s="149" t="s">
        <v>34</v>
      </c>
      <c r="F220" s="148" t="s">
        <v>35</v>
      </c>
      <c r="G220" s="148" t="s">
        <v>36</v>
      </c>
      <c r="H220" s="135" t="str">
        <f>HYPERLINK("http://www.mediafire.com/?6o1xg4vw2645y", "download link")</f>
        <v>download link</v>
      </c>
      <c r="I220" s="173"/>
    </row>
    <row r="221">
      <c r="A221" s="130">
        <v>37780.0</v>
      </c>
      <c r="B221" s="131"/>
      <c r="C221" s="105" t="str">
        <f t="shared" si="17"/>
        <v>setlist</v>
      </c>
      <c r="D221" s="132" t="s">
        <v>2895</v>
      </c>
      <c r="E221" s="132" t="s">
        <v>34</v>
      </c>
      <c r="F221" s="133" t="s">
        <v>35</v>
      </c>
      <c r="G221" s="133" t="s">
        <v>36</v>
      </c>
      <c r="H221" s="105" t="str">
        <f>HYPERLINK("http://www.mediafire.com/?zcubwznc7x22a", "download link")</f>
        <v>download link</v>
      </c>
      <c r="I221" s="174"/>
    </row>
    <row r="222">
      <c r="A222" s="350"/>
      <c r="B222" s="354"/>
      <c r="C222" s="352"/>
      <c r="D222" s="353" t="s">
        <v>2905</v>
      </c>
      <c r="E222" s="350"/>
      <c r="F222" s="351"/>
      <c r="G222" s="354"/>
      <c r="H222" s="351"/>
      <c r="I222" s="355"/>
    </row>
    <row r="223">
      <c r="A223" s="147">
        <v>37932.0</v>
      </c>
      <c r="B223" s="158"/>
      <c r="C223" s="116" t="str">
        <f t="shared" ref="C223:C233" si="18">HYPERLINK("http://phish.net/sideshows/trey-anastasio-band/?d="&amp;RIGHT(TEXT(A223,"mm/dd/yyyy"),4)&amp;"-"&amp;LEFT(TEXT(A223,"mm/dd/yyyy"),2)&amp;"-"&amp;MID(TEXT(A223,"mm/dd/yyyy"),4,2), "setlist")</f>
        <v>setlist</v>
      </c>
      <c r="D223" s="149" t="s">
        <v>2902</v>
      </c>
      <c r="E223" s="149" t="s">
        <v>162</v>
      </c>
      <c r="F223" s="148" t="s">
        <v>129</v>
      </c>
      <c r="G223" s="158"/>
      <c r="H223" s="138"/>
      <c r="I223" s="173"/>
    </row>
    <row r="224">
      <c r="A224" s="130">
        <v>37933.0</v>
      </c>
      <c r="B224" s="131"/>
      <c r="C224" s="105" t="str">
        <f t="shared" si="18"/>
        <v>setlist</v>
      </c>
      <c r="D224" s="132" t="s">
        <v>2223</v>
      </c>
      <c r="E224" s="132" t="s">
        <v>162</v>
      </c>
      <c r="F224" s="133" t="s">
        <v>129</v>
      </c>
      <c r="G224" s="131"/>
      <c r="H224" s="108"/>
      <c r="I224" s="174"/>
    </row>
    <row r="225">
      <c r="A225" s="150">
        <v>37967.0</v>
      </c>
      <c r="B225" s="156"/>
      <c r="C225" s="116" t="str">
        <f t="shared" si="18"/>
        <v>setlist</v>
      </c>
      <c r="D225" s="153" t="s">
        <v>1750</v>
      </c>
      <c r="E225" s="153" t="s">
        <v>1751</v>
      </c>
      <c r="F225" s="151" t="s">
        <v>212</v>
      </c>
      <c r="G225" s="156"/>
      <c r="H225" s="145"/>
      <c r="I225" s="79"/>
    </row>
    <row r="226">
      <c r="A226" s="130">
        <v>37968.0</v>
      </c>
      <c r="B226" s="131"/>
      <c r="C226" s="105" t="str">
        <f t="shared" si="18"/>
        <v>setlist</v>
      </c>
      <c r="D226" s="132" t="s">
        <v>1549</v>
      </c>
      <c r="E226" s="132" t="s">
        <v>297</v>
      </c>
      <c r="F226" s="133" t="s">
        <v>298</v>
      </c>
      <c r="G226" s="131"/>
      <c r="H226" s="108"/>
      <c r="I226" s="174"/>
    </row>
    <row r="227">
      <c r="A227" s="150">
        <v>37970.0</v>
      </c>
      <c r="B227" s="156"/>
      <c r="C227" s="116" t="str">
        <f t="shared" si="18"/>
        <v>setlist</v>
      </c>
      <c r="D227" s="153" t="s">
        <v>2363</v>
      </c>
      <c r="E227" s="153" t="s">
        <v>871</v>
      </c>
      <c r="F227" s="151" t="s">
        <v>212</v>
      </c>
      <c r="G227" s="151" t="s">
        <v>36</v>
      </c>
      <c r="H227" s="116" t="str">
        <f>HYPERLINK("http://www.mediafire.com/?zmrxrui8t69td", "download link")</f>
        <v>download link</v>
      </c>
      <c r="I227" s="79"/>
    </row>
    <row r="228">
      <c r="A228" s="130">
        <v>37971.0</v>
      </c>
      <c r="B228" s="131"/>
      <c r="C228" s="105" t="str">
        <f t="shared" si="18"/>
        <v>setlist</v>
      </c>
      <c r="D228" s="132" t="s">
        <v>1810</v>
      </c>
      <c r="E228" s="132" t="s">
        <v>94</v>
      </c>
      <c r="F228" s="133" t="s">
        <v>95</v>
      </c>
      <c r="G228" s="133">
        <v>128.0</v>
      </c>
      <c r="H228" s="105" t="str">
        <f>HYPERLINK("http://www.mediafire.com/?sg9b79r8yrxm8", "download link")</f>
        <v>download link</v>
      </c>
      <c r="I228" s="174"/>
    </row>
    <row r="229">
      <c r="A229" s="150">
        <v>37972.0</v>
      </c>
      <c r="B229" s="156"/>
      <c r="C229" s="116" t="str">
        <f t="shared" si="18"/>
        <v>setlist</v>
      </c>
      <c r="D229" s="153" t="s">
        <v>1553</v>
      </c>
      <c r="E229" s="153" t="s">
        <v>162</v>
      </c>
      <c r="F229" s="151" t="s">
        <v>129</v>
      </c>
      <c r="G229" s="151" t="s">
        <v>36</v>
      </c>
      <c r="H229" s="116" t="str">
        <f>HYPERLINK("http://www.mediafire.com/?c98vj0a98q0gq", "download link")</f>
        <v>download link</v>
      </c>
      <c r="I229" s="79"/>
    </row>
    <row r="230">
      <c r="A230" s="130">
        <v>37973.0</v>
      </c>
      <c r="B230" s="131"/>
      <c r="C230" s="105" t="str">
        <f t="shared" si="18"/>
        <v>setlist</v>
      </c>
      <c r="D230" s="132" t="s">
        <v>1551</v>
      </c>
      <c r="E230" s="132" t="s">
        <v>162</v>
      </c>
      <c r="F230" s="133" t="s">
        <v>129</v>
      </c>
      <c r="G230" s="131"/>
      <c r="H230" s="108"/>
      <c r="I230" s="174"/>
    </row>
    <row r="231">
      <c r="A231" s="150">
        <v>37974.0</v>
      </c>
      <c r="B231" s="156"/>
      <c r="C231" s="116" t="str">
        <f t="shared" si="18"/>
        <v>setlist</v>
      </c>
      <c r="D231" s="153" t="s">
        <v>1758</v>
      </c>
      <c r="E231" s="153" t="s">
        <v>323</v>
      </c>
      <c r="F231" s="151" t="s">
        <v>171</v>
      </c>
      <c r="G231" s="156"/>
      <c r="H231" s="145"/>
      <c r="I231" s="79"/>
    </row>
    <row r="232">
      <c r="A232" s="130">
        <v>37975.0</v>
      </c>
      <c r="B232" s="131"/>
      <c r="C232" s="105" t="str">
        <f t="shared" si="18"/>
        <v>setlist</v>
      </c>
      <c r="D232" s="132" t="s">
        <v>2127</v>
      </c>
      <c r="E232" s="132" t="s">
        <v>718</v>
      </c>
      <c r="F232" s="133" t="s">
        <v>129</v>
      </c>
      <c r="G232" s="133" t="s">
        <v>36</v>
      </c>
      <c r="H232" s="105" t="str">
        <f>HYPERLINK("http://www.mediafire.com/?mk4d7qbkrsqma", "download link")</f>
        <v>download link</v>
      </c>
      <c r="I232" s="174"/>
    </row>
    <row r="233">
      <c r="A233" s="150">
        <v>37977.0</v>
      </c>
      <c r="B233" s="156"/>
      <c r="C233" s="116" t="str">
        <f t="shared" si="18"/>
        <v>setlist</v>
      </c>
      <c r="D233" s="153" t="s">
        <v>2117</v>
      </c>
      <c r="E233" s="153" t="s">
        <v>1636</v>
      </c>
      <c r="F233" s="151" t="s">
        <v>480</v>
      </c>
      <c r="G233" s="151">
        <v>128.0</v>
      </c>
      <c r="H233" s="116" t="str">
        <f>HYPERLINK("http://www.mediafire.com/?ywkofh538oytw", "download link")</f>
        <v>download link</v>
      </c>
      <c r="I233" s="79"/>
    </row>
    <row r="234">
      <c r="A234" s="350"/>
      <c r="B234" s="354"/>
      <c r="C234" s="352"/>
      <c r="D234" s="353" t="s">
        <v>2905</v>
      </c>
      <c r="E234" s="355"/>
      <c r="F234" s="354"/>
      <c r="G234" s="354"/>
      <c r="H234" s="351"/>
      <c r="I234" s="355"/>
    </row>
    <row r="235">
      <c r="A235" s="147">
        <v>37998.0</v>
      </c>
      <c r="B235" s="158"/>
      <c r="C235" s="116" t="str">
        <f>HYPERLINK("http://phish.net/sideshows/trey-anastasio-band/?showid=1324751841", "setlist")</f>
        <v>setlist</v>
      </c>
      <c r="D235" s="149" t="s">
        <v>1791</v>
      </c>
      <c r="E235" s="149" t="s">
        <v>791</v>
      </c>
      <c r="F235" s="148" t="s">
        <v>701</v>
      </c>
      <c r="G235" s="158"/>
      <c r="H235" s="138"/>
      <c r="I235" s="173"/>
    </row>
    <row r="236">
      <c r="A236" s="130">
        <v>37999.0</v>
      </c>
      <c r="B236" s="131"/>
      <c r="C236" s="105" t="str">
        <f>HYPERLINK("http://phish.net/sideshows/trey-anastasio-band/?showid=1324765358", "setlist")</f>
        <v>setlist</v>
      </c>
      <c r="D236" s="132" t="s">
        <v>1936</v>
      </c>
      <c r="E236" s="132" t="s">
        <v>911</v>
      </c>
      <c r="F236" s="133" t="s">
        <v>679</v>
      </c>
      <c r="G236" s="131"/>
      <c r="H236" s="108"/>
      <c r="I236" s="174"/>
    </row>
    <row r="237">
      <c r="A237" s="147">
        <v>38000.0</v>
      </c>
      <c r="B237" s="158"/>
      <c r="C237" s="116" t="str">
        <f>HYPERLINK("http://phish.net/sideshows/trey-anastasio-band/?showid=1324751896", "setlist")</f>
        <v>setlist</v>
      </c>
      <c r="D237" s="149" t="s">
        <v>2906</v>
      </c>
      <c r="E237" s="149" t="s">
        <v>1381</v>
      </c>
      <c r="F237" s="148" t="s">
        <v>679</v>
      </c>
      <c r="G237" s="158"/>
      <c r="H237" s="138"/>
      <c r="I237" s="173"/>
    </row>
    <row r="238">
      <c r="A238" s="130">
        <v>38001.0</v>
      </c>
      <c r="B238" s="131"/>
      <c r="C238" s="105" t="str">
        <f>HYPERLINK("http://phish.net/sideshows/trey-anastasio-band/?showid=1324751951", "setlist")</f>
        <v>setlist</v>
      </c>
      <c r="D238" s="132" t="s">
        <v>2907</v>
      </c>
      <c r="E238" s="132" t="s">
        <v>911</v>
      </c>
      <c r="F238" s="133" t="s">
        <v>679</v>
      </c>
      <c r="G238" s="131"/>
      <c r="H238" s="108"/>
      <c r="I238" s="174"/>
    </row>
    <row r="239">
      <c r="A239" s="150">
        <v>38002.0</v>
      </c>
      <c r="B239" s="158"/>
      <c r="C239" s="116" t="str">
        <f>HYPERLINK("http://phish.net/sideshows/trey-anastasio-band/?showid=1324752004", "setlist")</f>
        <v>setlist</v>
      </c>
      <c r="D239" s="149" t="s">
        <v>2908</v>
      </c>
      <c r="E239" s="149" t="s">
        <v>2909</v>
      </c>
      <c r="F239" s="148" t="s">
        <v>679</v>
      </c>
      <c r="G239" s="148" t="s">
        <v>36</v>
      </c>
      <c r="H239" s="135" t="str">
        <f>HYPERLINK("http://www.mediafire.com/?ihx42na902q4e", "download link")</f>
        <v>download link</v>
      </c>
      <c r="I239" s="173"/>
    </row>
    <row r="240">
      <c r="A240" s="350"/>
      <c r="B240" s="354"/>
      <c r="C240" s="352"/>
      <c r="D240" s="353" t="s">
        <v>2910</v>
      </c>
      <c r="E240" s="355"/>
      <c r="F240" s="354"/>
      <c r="G240" s="354"/>
      <c r="H240" s="351"/>
      <c r="I240" s="355"/>
    </row>
    <row r="241">
      <c r="A241" s="110">
        <v>38005.0</v>
      </c>
      <c r="B241" s="111"/>
      <c r="C241" s="116" t="str">
        <f>HYPERLINK("http://phish.net/sideshows/trey-anastasio/?d=2004-01-19", "setlist")</f>
        <v>setlist</v>
      </c>
      <c r="D241" s="113" t="s">
        <v>2911</v>
      </c>
      <c r="E241" s="113" t="s">
        <v>272</v>
      </c>
      <c r="F241" s="114" t="s">
        <v>2912</v>
      </c>
      <c r="G241" s="111"/>
      <c r="H241" s="359"/>
      <c r="I241" s="80"/>
    </row>
    <row r="242">
      <c r="A242" s="350"/>
      <c r="B242" s="354"/>
      <c r="C242" s="352"/>
      <c r="D242" s="353" t="s">
        <v>2913</v>
      </c>
      <c r="E242" s="350"/>
      <c r="F242" s="351"/>
      <c r="G242" s="354"/>
      <c r="H242" s="351"/>
      <c r="I242" s="355"/>
    </row>
    <row r="243">
      <c r="A243" s="150">
        <v>38088.0</v>
      </c>
      <c r="B243" s="148" t="s">
        <v>32</v>
      </c>
      <c r="C243" s="116" t="str">
        <f>HYPERLINK("http://phish.net/sideshows/trey-anastasio-band/?showid=1316441581", "setlist")</f>
        <v>setlist</v>
      </c>
      <c r="D243" s="149" t="s">
        <v>2817</v>
      </c>
      <c r="E243" s="149" t="s">
        <v>854</v>
      </c>
      <c r="F243" s="148" t="s">
        <v>35</v>
      </c>
      <c r="G243" s="148" t="s">
        <v>36</v>
      </c>
      <c r="H243" s="135" t="str">
        <f>HYPERLINK("http://www.mediafire.com/download/cdfy87muliarga4/2004-04-11_-_Higher_Ground_-_Winooski,_VT.rar", "download link")</f>
        <v>download link</v>
      </c>
      <c r="I243" s="149" t="s">
        <v>2914</v>
      </c>
    </row>
    <row r="244">
      <c r="A244" s="350"/>
      <c r="B244" s="354"/>
      <c r="C244" s="352"/>
      <c r="D244" s="353" t="s">
        <v>2901</v>
      </c>
      <c r="E244" s="355"/>
      <c r="F244" s="354"/>
      <c r="G244" s="354"/>
      <c r="H244" s="351"/>
      <c r="I244" s="355"/>
    </row>
    <row r="245">
      <c r="A245" s="147">
        <v>38115.0</v>
      </c>
      <c r="B245" s="148" t="s">
        <v>32</v>
      </c>
      <c r="C245" s="116" t="str">
        <f>HYPERLINK("http://phish.net/sideshows/trey-anastasio-band/?d="&amp;RIGHT(TEXT(A245,"mm/dd/yyyy"),4)&amp;"-"&amp;LEFT(TEXT(A245,"mm/dd/yyyy"),2)&amp;"-"&amp;MID(TEXT(A245,"mm/dd/yyyy"),4,2), "setlist")</f>
        <v>setlist</v>
      </c>
      <c r="D245" s="149" t="s">
        <v>2915</v>
      </c>
      <c r="E245" s="149" t="s">
        <v>1011</v>
      </c>
      <c r="F245" s="148" t="s">
        <v>35</v>
      </c>
      <c r="G245" s="148" t="s">
        <v>36</v>
      </c>
      <c r="H245" s="135" t="str">
        <f>HYPERLINK("http://www.mediafire.com/?c0yuuu9oe80d3", "download link")</f>
        <v>download link</v>
      </c>
      <c r="I245" s="173"/>
    </row>
    <row r="246">
      <c r="A246" s="350"/>
      <c r="B246" s="354"/>
      <c r="C246" s="352"/>
      <c r="D246" s="353" t="s">
        <v>2905</v>
      </c>
      <c r="E246" s="355"/>
      <c r="F246" s="354"/>
      <c r="G246" s="354"/>
      <c r="H246" s="351"/>
      <c r="I246" s="355"/>
    </row>
    <row r="247">
      <c r="A247" s="150">
        <v>38149.0</v>
      </c>
      <c r="B247" s="158"/>
      <c r="C247" s="116" t="str">
        <f>HYPERLINK("http://phish.net/sideshows/trey-anastasio-band/?showid=1324752064", "setlist")</f>
        <v>setlist</v>
      </c>
      <c r="D247" s="149" t="s">
        <v>2333</v>
      </c>
      <c r="E247" s="149" t="s">
        <v>2332</v>
      </c>
      <c r="F247" s="148" t="s">
        <v>650</v>
      </c>
      <c r="G247" s="148" t="s">
        <v>36</v>
      </c>
      <c r="H247" s="135" t="str">
        <f>HYPERLINK("http://www.mediafire.com/?d7g5f7908w6r6", "download link")</f>
        <v>download link</v>
      </c>
      <c r="I247" s="173"/>
    </row>
    <row r="248">
      <c r="A248" s="350"/>
      <c r="B248" s="354"/>
      <c r="C248" s="352"/>
      <c r="D248" s="353" t="s">
        <v>2901</v>
      </c>
      <c r="E248" s="355"/>
      <c r="F248" s="354"/>
      <c r="G248" s="354"/>
      <c r="H248" s="351"/>
      <c r="I248" s="355"/>
    </row>
    <row r="249">
      <c r="A249" s="147">
        <v>38151.0</v>
      </c>
      <c r="B249" s="158"/>
      <c r="C249" s="116" t="str">
        <f>HYPERLINK("http://phish.net/sideshows/trey-anastasio-band/?d="&amp;RIGHT(TEXT(A249,"mm/dd/yyyy"),4)&amp;"-"&amp;LEFT(TEXT(A249,"mm/dd/yyyy"),2)&amp;"-"&amp;MID(TEXT(A249,"mm/dd/yyyy"),4,2), "setlist")</f>
        <v>setlist</v>
      </c>
      <c r="D249" s="149" t="s">
        <v>2333</v>
      </c>
      <c r="E249" s="149" t="s">
        <v>2332</v>
      </c>
      <c r="F249" s="148" t="s">
        <v>650</v>
      </c>
      <c r="G249" s="158"/>
      <c r="H249" s="138"/>
      <c r="I249" s="173"/>
    </row>
    <row r="250">
      <c r="A250" s="350"/>
      <c r="B250" s="354"/>
      <c r="C250" s="352"/>
      <c r="D250" s="353" t="s">
        <v>2847</v>
      </c>
      <c r="E250" s="350"/>
      <c r="F250" s="351"/>
      <c r="G250" s="354"/>
      <c r="H250" s="351"/>
      <c r="I250" s="355"/>
    </row>
    <row r="251">
      <c r="A251" s="147">
        <v>38244.0</v>
      </c>
      <c r="B251" s="158"/>
      <c r="C251" s="116" t="str">
        <f>HYPERLINK("http://phish.net/sideshows/trey-anastasio-band/?d="&amp;RIGHT(TEXT(A251,"mm/dd/yyyy"),4)&amp;"-"&amp;LEFT(TEXT(A251,"mm/dd/yyyy"),2)&amp;"-"&amp;MID(TEXT(A251,"mm/dd/yyyy"),4,2), "setlist")</f>
        <v>setlist</v>
      </c>
      <c r="D251" s="149" t="s">
        <v>2823</v>
      </c>
      <c r="E251" s="149" t="s">
        <v>162</v>
      </c>
      <c r="F251" s="148" t="s">
        <v>129</v>
      </c>
      <c r="G251" s="158"/>
      <c r="H251" s="138"/>
      <c r="I251" s="173"/>
    </row>
    <row r="252">
      <c r="A252" s="350"/>
      <c r="B252" s="354"/>
      <c r="C252" s="352"/>
      <c r="D252" s="353" t="s">
        <v>2901</v>
      </c>
      <c r="E252" s="355"/>
      <c r="F252" s="354"/>
      <c r="G252" s="354"/>
      <c r="H252" s="351"/>
      <c r="I252" s="355"/>
    </row>
    <row r="253">
      <c r="A253" s="150">
        <v>38248.0</v>
      </c>
      <c r="B253" s="158"/>
      <c r="C253" s="116" t="str">
        <f>HYPERLINK("http://phish.net/sideshows/trey-anastasio-band/?d="&amp;RIGHT(TEXT(A253,"mm/dd/yyyy"),4)&amp;"-"&amp;LEFT(TEXT(A253,"mm/dd/yyyy"),2)&amp;"-"&amp;MID(TEXT(A253,"mm/dd/yyyy"),4,2), "setlist")</f>
        <v>setlist</v>
      </c>
      <c r="D253" s="149" t="s">
        <v>2404</v>
      </c>
      <c r="E253" s="149" t="s">
        <v>591</v>
      </c>
      <c r="F253" s="148" t="s">
        <v>589</v>
      </c>
      <c r="G253" s="148" t="s">
        <v>36</v>
      </c>
      <c r="H253" s="135" t="str">
        <f>HYPERLINK("http://www.mediafire.com/?heovy2casxb5h", "download link")</f>
        <v>download link</v>
      </c>
      <c r="I253" s="173"/>
    </row>
    <row r="254">
      <c r="A254" s="350"/>
      <c r="B254" s="354"/>
      <c r="C254" s="352"/>
      <c r="D254" s="353" t="s">
        <v>2916</v>
      </c>
      <c r="E254" s="350"/>
      <c r="F254" s="351"/>
      <c r="G254" s="354"/>
      <c r="H254" s="351"/>
      <c r="I254" s="355"/>
    </row>
    <row r="255">
      <c r="A255" s="110">
        <v>38392.0</v>
      </c>
      <c r="B255" s="111"/>
      <c r="C255" s="116" t="str">
        <f>HYPERLINK("http://phish.net/sideshows/trey-anastasio-band/?d="&amp;RIGHT(TEXT(A255,"mm/dd/yyyy"),4)&amp;"-"&amp;LEFT(TEXT(A255,"mm/dd/yyyy"),2)&amp;"-"&amp;MID(TEXT(A255,"mm/dd/yyyy"),4,2), "setlist")</f>
        <v>setlist</v>
      </c>
      <c r="D255" s="113" t="s">
        <v>2823</v>
      </c>
      <c r="E255" s="113" t="s">
        <v>162</v>
      </c>
      <c r="F255" s="114" t="s">
        <v>129</v>
      </c>
      <c r="G255" s="114" t="s">
        <v>36</v>
      </c>
      <c r="H255" s="135" t="str">
        <f>HYPERLINK("http://www.mediafire.com/?984dza87l978a", "download link")</f>
        <v>download link</v>
      </c>
      <c r="I255" s="80"/>
    </row>
    <row r="256">
      <c r="A256" s="350"/>
      <c r="B256" s="354"/>
      <c r="C256" s="352"/>
      <c r="D256" s="353" t="s">
        <v>2917</v>
      </c>
      <c r="E256" s="350"/>
      <c r="F256" s="351"/>
      <c r="G256" s="354"/>
      <c r="H256" s="351"/>
      <c r="I256" s="355"/>
    </row>
    <row r="257">
      <c r="A257" s="150">
        <v>38443.0</v>
      </c>
      <c r="B257" s="158"/>
      <c r="C257" s="116" t="str">
        <f>HYPERLINK("http://phish.net/sideshows/trey-anastasio-band/?d="&amp;RIGHT(TEXT(A257,"mm/dd/yyyy"),4)&amp;"-"&amp;LEFT(TEXT(A257,"mm/dd/yyyy"),2)&amp;"-"&amp;MID(TEXT(A257,"mm/dd/yyyy"),4,2), "setlist")</f>
        <v>setlist</v>
      </c>
      <c r="D257" s="149" t="s">
        <v>2817</v>
      </c>
      <c r="E257" s="149" t="s">
        <v>2826</v>
      </c>
      <c r="F257" s="148" t="s">
        <v>35</v>
      </c>
      <c r="G257" s="148">
        <v>192.0</v>
      </c>
      <c r="H257" s="135" t="str">
        <f>HYPERLINK("http://www.mediafire.com/?226ksl37x6xw8", "download link")</f>
        <v>download link</v>
      </c>
      <c r="I257" s="173"/>
    </row>
    <row r="258">
      <c r="A258" s="130">
        <v>38468.0</v>
      </c>
      <c r="B258" s="131"/>
      <c r="C258" s="105" t="str">
        <f>HYPERLINK("http://phish.net/sideshows/trey-anastasio-band/?showid=1300632778", "setlist")</f>
        <v>setlist</v>
      </c>
      <c r="D258" s="132" t="s">
        <v>2855</v>
      </c>
      <c r="E258" s="132" t="s">
        <v>445</v>
      </c>
      <c r="F258" s="133" t="s">
        <v>446</v>
      </c>
      <c r="G258" s="133">
        <v>192.0</v>
      </c>
      <c r="H258" s="105" t="str">
        <f>HYPERLINK("http://www.mediafire.com/?acxlsqtm4avwp", "download link")</f>
        <v>download link</v>
      </c>
      <c r="I258" s="174"/>
    </row>
    <row r="259">
      <c r="A259" s="150">
        <v>38469.0</v>
      </c>
      <c r="B259" s="158"/>
      <c r="C259" s="116" t="str">
        <f>HYPERLINK("http://phish.net/sideshows/trey-anastasio-band/?showid=1300632828", "setlist")</f>
        <v>setlist</v>
      </c>
      <c r="D259" s="149" t="s">
        <v>2918</v>
      </c>
      <c r="E259" s="149" t="s">
        <v>652</v>
      </c>
      <c r="F259" s="148" t="s">
        <v>650</v>
      </c>
      <c r="G259" s="158"/>
      <c r="H259" s="138"/>
      <c r="I259" s="173"/>
    </row>
    <row r="260">
      <c r="A260" s="130">
        <v>38471.0</v>
      </c>
      <c r="B260" s="131"/>
      <c r="C260" s="105" t="str">
        <f>HYPERLINK("http://phish.net/sideshows/trey-anastasio-band/?d="&amp;RIGHT(TEXT(A260,"mm/dd/yyyy"),4)&amp;"-"&amp;LEFT(TEXT(A260,"mm/dd/yyyy"),2)&amp;"-"&amp;MID(TEXT(A260,"mm/dd/yyyy"),4,2), "setlist")</f>
        <v>setlist</v>
      </c>
      <c r="D260" s="132" t="s">
        <v>2919</v>
      </c>
      <c r="E260" s="132" t="s">
        <v>656</v>
      </c>
      <c r="F260" s="133" t="s">
        <v>650</v>
      </c>
      <c r="G260" s="131"/>
      <c r="H260" s="108"/>
      <c r="I260" s="174"/>
    </row>
    <row r="261">
      <c r="A261" s="150">
        <v>38472.0</v>
      </c>
      <c r="B261" s="158"/>
      <c r="C261" s="116" t="str">
        <f>HYPERLINK("http://phish.net/sideshows/trey-anastasio-band/?showid=1300632962", "setlist")</f>
        <v>setlist</v>
      </c>
      <c r="D261" s="149" t="s">
        <v>1364</v>
      </c>
      <c r="E261" s="149" t="s">
        <v>585</v>
      </c>
      <c r="F261" s="148" t="s">
        <v>586</v>
      </c>
      <c r="G261" s="158"/>
      <c r="H261" s="138"/>
      <c r="I261" s="149" t="s">
        <v>2920</v>
      </c>
    </row>
    <row r="262">
      <c r="A262" s="130">
        <v>38473.0</v>
      </c>
      <c r="B262" s="131"/>
      <c r="C262" s="105" t="str">
        <f t="shared" ref="C262:C271" si="19">HYPERLINK("http://phish.net/sideshows/trey-anastasio-band/?d="&amp;RIGHT(TEXT(A262,"mm/dd/yyyy"),4)&amp;"-"&amp;LEFT(TEXT(A262,"mm/dd/yyyy"),2)&amp;"-"&amp;MID(TEXT(A262,"mm/dd/yyyy"),4,2), "setlist")</f>
        <v>setlist</v>
      </c>
      <c r="D262" s="132" t="s">
        <v>2921</v>
      </c>
      <c r="E262" s="132" t="s">
        <v>585</v>
      </c>
      <c r="F262" s="133" t="s">
        <v>586</v>
      </c>
      <c r="G262" s="133">
        <v>192.0</v>
      </c>
      <c r="H262" s="105" t="str">
        <f>HYPERLINK("http://www.mediafire.com/?2sz6m7bbghayn", "download link")</f>
        <v>download link</v>
      </c>
      <c r="I262" s="174"/>
    </row>
    <row r="263">
      <c r="A263" s="150">
        <v>38475.0</v>
      </c>
      <c r="B263" s="158"/>
      <c r="C263" s="116" t="str">
        <f t="shared" si="19"/>
        <v>setlist</v>
      </c>
      <c r="D263" s="149" t="s">
        <v>1345</v>
      </c>
      <c r="E263" s="149" t="s">
        <v>439</v>
      </c>
      <c r="F263" s="148" t="s">
        <v>430</v>
      </c>
      <c r="G263" s="148" t="s">
        <v>36</v>
      </c>
      <c r="H263" s="135" t="str">
        <f>HYPERLINK("http://www.mediafire.com/?he7u2p9dkqlab", "download link")</f>
        <v>download link</v>
      </c>
      <c r="I263" s="173"/>
    </row>
    <row r="264">
      <c r="A264" s="130">
        <v>38476.0</v>
      </c>
      <c r="B264" s="131"/>
      <c r="C264" s="105" t="str">
        <f t="shared" si="19"/>
        <v>setlist</v>
      </c>
      <c r="D264" s="132" t="s">
        <v>2922</v>
      </c>
      <c r="E264" s="132" t="s">
        <v>541</v>
      </c>
      <c r="F264" s="133" t="s">
        <v>443</v>
      </c>
      <c r="G264" s="131"/>
      <c r="H264" s="108"/>
      <c r="I264" s="174"/>
    </row>
    <row r="265">
      <c r="A265" s="150">
        <v>38478.0</v>
      </c>
      <c r="B265" s="158"/>
      <c r="C265" s="116" t="str">
        <f t="shared" si="19"/>
        <v>setlist</v>
      </c>
      <c r="D265" s="149" t="s">
        <v>897</v>
      </c>
      <c r="E265" s="149" t="s">
        <v>437</v>
      </c>
      <c r="F265" s="148" t="s">
        <v>433</v>
      </c>
      <c r="G265" s="148" t="s">
        <v>36</v>
      </c>
      <c r="H265" s="135" t="str">
        <f>HYPERLINK("http://www.mediafire.com/?mp54544nwffpi", "download link")</f>
        <v>download link</v>
      </c>
      <c r="I265" s="173"/>
    </row>
    <row r="266">
      <c r="A266" s="130">
        <v>38479.0</v>
      </c>
      <c r="B266" s="131"/>
      <c r="C266" s="105" t="str">
        <f t="shared" si="19"/>
        <v>setlist</v>
      </c>
      <c r="D266" s="132" t="s">
        <v>2923</v>
      </c>
      <c r="E266" s="132" t="s">
        <v>943</v>
      </c>
      <c r="F266" s="133" t="s">
        <v>472</v>
      </c>
      <c r="G266" s="133" t="s">
        <v>36</v>
      </c>
      <c r="H266" s="105" t="str">
        <f>HYPERLINK("http://www.mediafire.com/?po80hribch9mj", "download link")</f>
        <v>download link</v>
      </c>
      <c r="I266" s="174"/>
    </row>
    <row r="267">
      <c r="A267" s="150">
        <v>38480.0</v>
      </c>
      <c r="B267" s="158"/>
      <c r="C267" s="116" t="str">
        <f t="shared" si="19"/>
        <v>setlist</v>
      </c>
      <c r="D267" s="149" t="s">
        <v>1410</v>
      </c>
      <c r="E267" s="149" t="s">
        <v>936</v>
      </c>
      <c r="F267" s="148" t="s">
        <v>483</v>
      </c>
      <c r="G267" s="148">
        <v>192.0</v>
      </c>
      <c r="H267" s="135" t="str">
        <f>HYPERLINK("http://www.mediafire.com/?f2b56g7bracj3", "download link")</f>
        <v>download link</v>
      </c>
      <c r="I267" s="173"/>
    </row>
    <row r="268">
      <c r="A268" s="130">
        <v>38482.0</v>
      </c>
      <c r="B268" s="131"/>
      <c r="C268" s="105" t="str">
        <f t="shared" si="19"/>
        <v>setlist</v>
      </c>
      <c r="D268" s="132" t="s">
        <v>2924</v>
      </c>
      <c r="E268" s="132" t="s">
        <v>479</v>
      </c>
      <c r="F268" s="133" t="s">
        <v>480</v>
      </c>
      <c r="G268" s="131"/>
      <c r="H268" s="108"/>
      <c r="I268" s="174"/>
    </row>
    <row r="269">
      <c r="A269" s="150">
        <v>38483.0</v>
      </c>
      <c r="B269" s="158"/>
      <c r="C269" s="116" t="str">
        <f t="shared" si="19"/>
        <v>setlist</v>
      </c>
      <c r="D269" s="149" t="s">
        <v>1419</v>
      </c>
      <c r="E269" s="149" t="s">
        <v>471</v>
      </c>
      <c r="F269" s="148" t="s">
        <v>472</v>
      </c>
      <c r="G269" s="158"/>
      <c r="H269" s="138"/>
      <c r="I269" s="173"/>
    </row>
    <row r="270">
      <c r="A270" s="130">
        <v>38485.0</v>
      </c>
      <c r="B270" s="131"/>
      <c r="C270" s="105" t="str">
        <f t="shared" si="19"/>
        <v>setlist</v>
      </c>
      <c r="D270" s="132" t="s">
        <v>2902</v>
      </c>
      <c r="E270" s="132" t="s">
        <v>162</v>
      </c>
      <c r="F270" s="133" t="s">
        <v>129</v>
      </c>
      <c r="G270" s="131"/>
      <c r="H270" s="108"/>
      <c r="I270" s="174"/>
    </row>
    <row r="271">
      <c r="A271" s="150">
        <v>38486.0</v>
      </c>
      <c r="B271" s="158"/>
      <c r="C271" s="116" t="str">
        <f t="shared" si="19"/>
        <v>setlist</v>
      </c>
      <c r="D271" s="149" t="s">
        <v>2902</v>
      </c>
      <c r="E271" s="149" t="s">
        <v>162</v>
      </c>
      <c r="F271" s="148" t="s">
        <v>129</v>
      </c>
      <c r="G271" s="148">
        <v>192.0</v>
      </c>
      <c r="H271" s="135" t="str">
        <f>HYPERLINK("http://www.mediafire.com/?jdhb8lb49pq97", "download link")</f>
        <v>download link</v>
      </c>
      <c r="I271" s="149" t="s">
        <v>2925</v>
      </c>
    </row>
    <row r="272">
      <c r="A272" s="350"/>
      <c r="B272" s="354"/>
      <c r="C272" s="352"/>
      <c r="D272" s="353" t="s">
        <v>2926</v>
      </c>
      <c r="E272" s="355"/>
      <c r="F272" s="354"/>
      <c r="G272" s="354"/>
      <c r="H272" s="351"/>
      <c r="I272" s="355"/>
    </row>
    <row r="273">
      <c r="A273" s="150">
        <v>38514.0</v>
      </c>
      <c r="B273" s="158"/>
      <c r="C273" s="116" t="str">
        <f t="shared" ref="C273:C279" si="20">HYPERLINK("http://phish.net/sideshows/trey-anastasio-band/?d="&amp;RIGHT(TEXT(A273,"mm/dd/yyyy"),4)&amp;"-"&amp;LEFT(TEXT(A273,"mm/dd/yyyy"),2)&amp;"-"&amp;MID(TEXT(A273,"mm/dd/yyyy"),4,2), "setlist")</f>
        <v>setlist</v>
      </c>
      <c r="D273" s="149" t="s">
        <v>2333</v>
      </c>
      <c r="E273" s="149" t="s">
        <v>2332</v>
      </c>
      <c r="F273" s="148" t="s">
        <v>650</v>
      </c>
      <c r="G273" s="148" t="s">
        <v>36</v>
      </c>
      <c r="H273" s="135" t="str">
        <f>HYPERLINK("http://www.mediafire.com/?0wxgz88847cgr", "download link")</f>
        <v>download link</v>
      </c>
      <c r="I273" s="173"/>
    </row>
    <row r="274">
      <c r="A274" s="130">
        <v>38557.0</v>
      </c>
      <c r="B274" s="131"/>
      <c r="C274" s="105" t="str">
        <f t="shared" si="20"/>
        <v>setlist</v>
      </c>
      <c r="D274" s="132" t="s">
        <v>2927</v>
      </c>
      <c r="E274" s="132" t="s">
        <v>2928</v>
      </c>
      <c r="F274" s="133" t="s">
        <v>486</v>
      </c>
      <c r="G274" s="133" t="s">
        <v>36</v>
      </c>
      <c r="H274" s="105" t="str">
        <f>HYPERLINK("http://www.mediafire.com/?ij5bj59i8hqn4", "download link")</f>
        <v>download link</v>
      </c>
      <c r="I274" s="174"/>
    </row>
    <row r="275">
      <c r="A275" s="150">
        <v>38568.0</v>
      </c>
      <c r="B275" s="158"/>
      <c r="C275" s="116" t="str">
        <f t="shared" si="20"/>
        <v>setlist</v>
      </c>
      <c r="D275" s="149" t="s">
        <v>2929</v>
      </c>
      <c r="E275" s="149" t="s">
        <v>94</v>
      </c>
      <c r="F275" s="148" t="s">
        <v>95</v>
      </c>
      <c r="G275" s="148" t="s">
        <v>36</v>
      </c>
      <c r="H275" s="135" t="str">
        <f>HYPERLINK("http://www.mediafire.com/?e4wcn7wsfa83t", "download link")</f>
        <v>download link</v>
      </c>
      <c r="I275" s="173"/>
    </row>
    <row r="276">
      <c r="A276" s="130">
        <v>38569.0</v>
      </c>
      <c r="B276" s="131"/>
      <c r="C276" s="105" t="str">
        <f t="shared" si="20"/>
        <v>setlist</v>
      </c>
      <c r="D276" s="132" t="s">
        <v>2930</v>
      </c>
      <c r="E276" s="132" t="s">
        <v>871</v>
      </c>
      <c r="F276" s="133" t="s">
        <v>212</v>
      </c>
      <c r="G276" s="133" t="s">
        <v>36</v>
      </c>
      <c r="H276" s="105" t="str">
        <f>HYPERLINK("http://www.mediafire.com/?h48o17r5n7n8t", "download link")</f>
        <v>download link</v>
      </c>
      <c r="I276" s="174"/>
    </row>
    <row r="277">
      <c r="A277" s="150">
        <v>38570.0</v>
      </c>
      <c r="B277" s="158"/>
      <c r="C277" s="116" t="str">
        <f t="shared" si="20"/>
        <v>setlist</v>
      </c>
      <c r="D277" s="149" t="s">
        <v>993</v>
      </c>
      <c r="E277" s="149" t="s">
        <v>994</v>
      </c>
      <c r="F277" s="148" t="s">
        <v>129</v>
      </c>
      <c r="G277" s="148" t="s">
        <v>36</v>
      </c>
      <c r="H277" s="135" t="str">
        <f>HYPERLINK("http://www.mediafire.com/?j4scwaix4b4aa", "download link")</f>
        <v>download link</v>
      </c>
      <c r="I277" s="173"/>
    </row>
    <row r="278">
      <c r="A278" s="130">
        <v>38571.0</v>
      </c>
      <c r="B278" s="131"/>
      <c r="C278" s="105" t="str">
        <f t="shared" si="20"/>
        <v>setlist</v>
      </c>
      <c r="D278" s="132" t="s">
        <v>2887</v>
      </c>
      <c r="E278" s="132" t="s">
        <v>773</v>
      </c>
      <c r="F278" s="133" t="s">
        <v>472</v>
      </c>
      <c r="G278" s="133" t="s">
        <v>36</v>
      </c>
      <c r="H278" s="105" t="str">
        <f>HYPERLINK("http://www.mediafire.com/?g7kj990js1j9b", "download link")</f>
        <v>download link</v>
      </c>
      <c r="I278" s="174"/>
    </row>
    <row r="279">
      <c r="A279" s="150">
        <v>38573.0</v>
      </c>
      <c r="B279" s="158"/>
      <c r="C279" s="116" t="str">
        <f t="shared" si="20"/>
        <v>setlist</v>
      </c>
      <c r="D279" s="149" t="s">
        <v>2931</v>
      </c>
      <c r="E279" s="149" t="s">
        <v>1289</v>
      </c>
      <c r="F279" s="148" t="s">
        <v>508</v>
      </c>
      <c r="G279" s="148" t="s">
        <v>36</v>
      </c>
      <c r="H279" s="135" t="str">
        <f>HYPERLINK("http://www.mediafire.com/?313o34sdbj7xe", "download link")</f>
        <v>download link</v>
      </c>
      <c r="I279" s="173"/>
    </row>
    <row r="280">
      <c r="A280" s="130">
        <v>38574.0</v>
      </c>
      <c r="B280" s="131"/>
      <c r="C280" s="105" t="str">
        <f>HYPERLINK("http://phish.net/sideshows/trey-anastasio-band/?showid=1300640529", "setlist")</f>
        <v>setlist</v>
      </c>
      <c r="D280" s="132" t="s">
        <v>2932</v>
      </c>
      <c r="E280" s="132" t="s">
        <v>479</v>
      </c>
      <c r="F280" s="133" t="s">
        <v>480</v>
      </c>
      <c r="G280" s="133" t="s">
        <v>36</v>
      </c>
      <c r="H280" s="105" t="str">
        <f>HYPERLINK("http://www.mediafire.com/?8wla08u353056", "download link")</f>
        <v>download link</v>
      </c>
      <c r="I280" s="174"/>
    </row>
    <row r="281">
      <c r="A281" s="150">
        <v>38575.0</v>
      </c>
      <c r="B281" s="158"/>
      <c r="C281" s="116" t="str">
        <f t="shared" ref="C281:C282" si="21">HYPERLINK("http://phish.net/sideshows/trey-anastasio-band/?d="&amp;RIGHT(TEXT(A281,"mm/dd/yyyy"),4)&amp;"-"&amp;LEFT(TEXT(A281,"mm/dd/yyyy"),2)&amp;"-"&amp;MID(TEXT(A281,"mm/dd/yyyy"),4,2), "setlist")</f>
        <v>setlist</v>
      </c>
      <c r="D281" s="149" t="s">
        <v>897</v>
      </c>
      <c r="E281" s="149" t="s">
        <v>885</v>
      </c>
      <c r="F281" s="148" t="s">
        <v>886</v>
      </c>
      <c r="G281" s="148" t="s">
        <v>36</v>
      </c>
      <c r="H281" s="135" t="str">
        <f>HYPERLINK("http://www.mediafire.com/?ecvtdj7f6m3vs", "download link")</f>
        <v>download link</v>
      </c>
      <c r="I281" s="173"/>
    </row>
    <row r="282">
      <c r="A282" s="130">
        <v>38577.0</v>
      </c>
      <c r="B282" s="131"/>
      <c r="C282" s="105" t="str">
        <f t="shared" si="21"/>
        <v>setlist</v>
      </c>
      <c r="D282" s="132" t="s">
        <v>1297</v>
      </c>
      <c r="E282" s="132" t="s">
        <v>1298</v>
      </c>
      <c r="F282" s="133" t="s">
        <v>203</v>
      </c>
      <c r="G282" s="133" t="s">
        <v>36</v>
      </c>
      <c r="H282" s="105" t="str">
        <f>HYPERLINK("http://www.mediafire.com/?vkq9gxuh4491y", "download link")</f>
        <v>download link</v>
      </c>
      <c r="I282" s="174"/>
    </row>
    <row r="283">
      <c r="A283" s="350"/>
      <c r="B283" s="354"/>
      <c r="C283" s="352"/>
      <c r="D283" s="353" t="s">
        <v>2933</v>
      </c>
      <c r="E283" s="355"/>
      <c r="F283" s="354"/>
      <c r="G283" s="354"/>
      <c r="H283" s="351"/>
      <c r="I283" s="355"/>
    </row>
    <row r="284">
      <c r="A284" s="147">
        <v>38598.0</v>
      </c>
      <c r="B284" s="158"/>
      <c r="C284" s="116" t="str">
        <f t="shared" ref="C284:C285" si="22">HYPERLINK("http://phish.net/sideshows/trey-anastasio-band/?d="&amp;RIGHT(TEXT(A284,"mm/dd/yyyy"),4)&amp;"-"&amp;LEFT(TEXT(A284,"mm/dd/yyyy"),2)&amp;"-"&amp;MID(TEXT(A284,"mm/dd/yyyy"),4,2), "setlist")</f>
        <v>setlist</v>
      </c>
      <c r="D284" s="149" t="s">
        <v>2934</v>
      </c>
      <c r="E284" s="149" t="s">
        <v>791</v>
      </c>
      <c r="F284" s="148" t="s">
        <v>701</v>
      </c>
      <c r="G284" s="158"/>
      <c r="H284" s="138"/>
      <c r="I284" s="173"/>
    </row>
    <row r="285">
      <c r="A285" s="130">
        <v>38615.0</v>
      </c>
      <c r="B285" s="131"/>
      <c r="C285" s="105" t="str">
        <f t="shared" si="22"/>
        <v>setlist</v>
      </c>
      <c r="D285" s="132" t="s">
        <v>2157</v>
      </c>
      <c r="E285" s="132" t="s">
        <v>162</v>
      </c>
      <c r="F285" s="133" t="s">
        <v>129</v>
      </c>
      <c r="G285" s="131"/>
      <c r="H285" s="108"/>
      <c r="I285" s="174"/>
    </row>
    <row r="286">
      <c r="A286" s="147">
        <v>38631.0</v>
      </c>
      <c r="B286" s="158"/>
      <c r="C286" s="116" t="str">
        <f>HYPERLINK("http://phish.net/sideshows/trey-anastasio-band/?showid=1300641597", "setlist")</f>
        <v>setlist</v>
      </c>
      <c r="D286" s="149" t="s">
        <v>2935</v>
      </c>
      <c r="E286" s="149" t="s">
        <v>579</v>
      </c>
      <c r="F286" s="148" t="s">
        <v>446</v>
      </c>
      <c r="G286" s="158"/>
      <c r="H286" s="138"/>
      <c r="I286" s="173"/>
    </row>
    <row r="287">
      <c r="A287" s="130">
        <v>38632.0</v>
      </c>
      <c r="B287" s="131"/>
      <c r="C287" s="105" t="str">
        <f t="shared" ref="C287:C288" si="23">HYPERLINK("http://phish.net/sideshows/trey-anastasio-band/?d="&amp;RIGHT(TEXT(A287,"mm/dd/yyyy"),4)&amp;"-"&amp;LEFT(TEXT(A287,"mm/dd/yyyy"),2)&amp;"-"&amp;MID(TEXT(A287,"mm/dd/yyyy"),4,2), "setlist")</f>
        <v>setlist</v>
      </c>
      <c r="D287" s="132" t="s">
        <v>2837</v>
      </c>
      <c r="E287" s="132" t="s">
        <v>2327</v>
      </c>
      <c r="F287" s="133" t="s">
        <v>443</v>
      </c>
      <c r="G287" s="133" t="s">
        <v>36</v>
      </c>
      <c r="H287" s="105" t="str">
        <f>HYPERLINK("http://www.mediafire.com/?gqo9rlmbdb047", "download link")</f>
        <v>download link</v>
      </c>
      <c r="I287" s="174"/>
    </row>
    <row r="288">
      <c r="A288" s="147">
        <v>38633.0</v>
      </c>
      <c r="B288" s="158"/>
      <c r="C288" s="116" t="str">
        <f t="shared" si="23"/>
        <v>setlist</v>
      </c>
      <c r="D288" s="149" t="s">
        <v>2936</v>
      </c>
      <c r="E288" s="149" t="s">
        <v>225</v>
      </c>
      <c r="F288" s="148" t="s">
        <v>443</v>
      </c>
      <c r="G288" s="148" t="s">
        <v>36</v>
      </c>
      <c r="H288" s="135" t="str">
        <f>HYPERLINK("http://www.mediafire.com/?wvht4tywadxay", "download link")</f>
        <v>download link</v>
      </c>
      <c r="I288" s="173"/>
    </row>
    <row r="289">
      <c r="A289" s="130">
        <v>38653.0</v>
      </c>
      <c r="B289" s="131"/>
      <c r="C289" s="105" t="str">
        <f>HYPERLINK("http://phish.net/sideshows/trey-anastasio-band/?showid=1300647621", "setlist")</f>
        <v>setlist</v>
      </c>
      <c r="D289" s="132" t="s">
        <v>1803</v>
      </c>
      <c r="E289" s="132" t="s">
        <v>1804</v>
      </c>
      <c r="F289" s="133" t="s">
        <v>1805</v>
      </c>
      <c r="G289" s="133" t="s">
        <v>36</v>
      </c>
      <c r="H289" s="105" t="str">
        <f>HYPERLINK("http://www.mediafire.com/?zq47bczx8t44g", "download link")</f>
        <v>download link</v>
      </c>
      <c r="I289" s="174"/>
    </row>
    <row r="290">
      <c r="A290" s="350"/>
      <c r="B290" s="354"/>
      <c r="C290" s="352"/>
      <c r="D290" s="353" t="s">
        <v>2905</v>
      </c>
      <c r="E290" s="355"/>
      <c r="F290" s="354"/>
      <c r="G290" s="354"/>
      <c r="H290" s="351"/>
      <c r="I290" s="355"/>
    </row>
    <row r="291">
      <c r="A291" s="147">
        <v>38654.0</v>
      </c>
      <c r="B291" s="158"/>
      <c r="C291" s="116" t="str">
        <f>HYPERLINK("http://phish.net/sideshows/trey-anastasio-band/?showid=1324754667", "setlist")</f>
        <v>setlist</v>
      </c>
      <c r="D291" s="149" t="s">
        <v>2937</v>
      </c>
      <c r="E291" s="149" t="s">
        <v>1804</v>
      </c>
      <c r="F291" s="148" t="s">
        <v>1805</v>
      </c>
      <c r="G291" s="158"/>
      <c r="H291" s="138"/>
      <c r="I291" s="173"/>
    </row>
    <row r="292">
      <c r="A292" s="350"/>
      <c r="B292" s="354"/>
      <c r="C292" s="352"/>
      <c r="D292" s="353" t="s">
        <v>2938</v>
      </c>
      <c r="E292" s="355"/>
      <c r="F292" s="354"/>
      <c r="G292" s="354"/>
      <c r="H292" s="351"/>
      <c r="I292" s="355"/>
    </row>
    <row r="293">
      <c r="A293" s="150">
        <v>38655.0</v>
      </c>
      <c r="B293" s="158"/>
      <c r="C293" s="116" t="str">
        <f>HYPERLINK("http://phish.net/sideshows/trey-anastasio-band/?showid=1300647854", "setlist")</f>
        <v>setlist</v>
      </c>
      <c r="D293" s="149" t="s">
        <v>2937</v>
      </c>
      <c r="E293" s="149" t="s">
        <v>1804</v>
      </c>
      <c r="F293" s="148" t="s">
        <v>1805</v>
      </c>
      <c r="G293" s="148" t="s">
        <v>36</v>
      </c>
      <c r="H293" s="135" t="str">
        <f>HYPERLINK("http://www.mediafire.com/?xi1dc0b7h5eml", "download link")</f>
        <v>download link</v>
      </c>
      <c r="I293" s="173"/>
    </row>
    <row r="294">
      <c r="A294" s="130">
        <v>38658.0</v>
      </c>
      <c r="B294" s="131"/>
      <c r="C294" s="105" t="str">
        <f>HYPERLINK("http://phish.net/sideshows/trey-anastasio-band/?showid=1300647893", "setlist")</f>
        <v>setlist</v>
      </c>
      <c r="D294" s="132" t="s">
        <v>958</v>
      </c>
      <c r="E294" s="132" t="s">
        <v>485</v>
      </c>
      <c r="F294" s="133" t="s">
        <v>486</v>
      </c>
      <c r="G294" s="131"/>
      <c r="H294" s="108"/>
      <c r="I294" s="174"/>
    </row>
    <row r="295">
      <c r="A295" s="150">
        <v>38659.0</v>
      </c>
      <c r="B295" s="158"/>
      <c r="C295" s="116" t="str">
        <f t="shared" ref="C295:C307" si="24">HYPERLINK("http://phish.net/sideshows/trey-anastasio-band/?d="&amp;RIGHT(TEXT(A295,"mm/dd/yyyy"),4)&amp;"-"&amp;LEFT(TEXT(A295,"mm/dd/yyyy"),2)&amp;"-"&amp;MID(TEXT(A295,"mm/dd/yyyy"),4,2), "setlist")</f>
        <v>setlist</v>
      </c>
      <c r="D295" s="149" t="s">
        <v>1454</v>
      </c>
      <c r="E295" s="149" t="s">
        <v>482</v>
      </c>
      <c r="F295" s="148" t="s">
        <v>483</v>
      </c>
      <c r="G295" s="148" t="s">
        <v>36</v>
      </c>
      <c r="H295" s="135" t="str">
        <f>HYPERLINK("http://www.mediafire.com/?co6m6xzzlx0c9", "download link")</f>
        <v>download link</v>
      </c>
      <c r="I295" s="173"/>
    </row>
    <row r="296">
      <c r="A296" s="130">
        <v>38660.0</v>
      </c>
      <c r="B296" s="131"/>
      <c r="C296" s="105" t="str">
        <f t="shared" si="24"/>
        <v>setlist</v>
      </c>
      <c r="D296" s="132" t="s">
        <v>2939</v>
      </c>
      <c r="E296" s="132" t="s">
        <v>2940</v>
      </c>
      <c r="F296" s="133" t="s">
        <v>480</v>
      </c>
      <c r="G296" s="131"/>
      <c r="H296" s="108"/>
      <c r="I296" s="174"/>
    </row>
    <row r="297">
      <c r="A297" s="150">
        <v>38661.0</v>
      </c>
      <c r="B297" s="158"/>
      <c r="C297" s="116" t="str">
        <f t="shared" si="24"/>
        <v>setlist</v>
      </c>
      <c r="D297" s="149" t="s">
        <v>2923</v>
      </c>
      <c r="E297" s="149" t="s">
        <v>943</v>
      </c>
      <c r="F297" s="148" t="s">
        <v>472</v>
      </c>
      <c r="G297" s="158"/>
      <c r="H297" s="138"/>
      <c r="I297" s="173"/>
    </row>
    <row r="298">
      <c r="A298" s="130">
        <v>38664.0</v>
      </c>
      <c r="B298" s="131"/>
      <c r="C298" s="105" t="str">
        <f t="shared" si="24"/>
        <v>setlist</v>
      </c>
      <c r="D298" s="132" t="s">
        <v>863</v>
      </c>
      <c r="E298" s="132" t="s">
        <v>162</v>
      </c>
      <c r="F298" s="133" t="s">
        <v>129</v>
      </c>
      <c r="G298" s="133" t="s">
        <v>36</v>
      </c>
      <c r="H298" s="105" t="str">
        <f>HYPERLINK("http://www.mediafire.com/?b0wubi5uw3k60", "download link")</f>
        <v>download link</v>
      </c>
      <c r="I298" s="132" t="s">
        <v>2941</v>
      </c>
    </row>
    <row r="299">
      <c r="A299" s="150">
        <v>38666.0</v>
      </c>
      <c r="B299" s="158"/>
      <c r="C299" s="116" t="str">
        <f t="shared" si="24"/>
        <v>setlist</v>
      </c>
      <c r="D299" s="149" t="s">
        <v>2942</v>
      </c>
      <c r="E299" s="149" t="s">
        <v>715</v>
      </c>
      <c r="F299" s="148" t="s">
        <v>129</v>
      </c>
      <c r="G299" s="148" t="s">
        <v>36</v>
      </c>
      <c r="H299" s="135" t="str">
        <f>HYPERLINK("http://www.mediafire.com/?b5z5h4a5cafr3", "download link")</f>
        <v>download link</v>
      </c>
      <c r="I299" s="173"/>
    </row>
    <row r="300">
      <c r="A300" s="130">
        <v>38667.0</v>
      </c>
      <c r="B300" s="131"/>
      <c r="C300" s="105" t="str">
        <f t="shared" si="24"/>
        <v>setlist</v>
      </c>
      <c r="D300" s="132" t="s">
        <v>2412</v>
      </c>
      <c r="E300" s="132" t="s">
        <v>2413</v>
      </c>
      <c r="F300" s="133" t="s">
        <v>129</v>
      </c>
      <c r="G300" s="133" t="s">
        <v>36</v>
      </c>
      <c r="H300" s="105" t="str">
        <f>HYPERLINK("http://www.mediafire.com/?t7k7635iiz6cx", "download link")</f>
        <v>download link</v>
      </c>
      <c r="I300" s="132" t="s">
        <v>2943</v>
      </c>
    </row>
    <row r="301">
      <c r="A301" s="150">
        <v>38668.0</v>
      </c>
      <c r="B301" s="158"/>
      <c r="C301" s="116" t="str">
        <f t="shared" si="24"/>
        <v>setlist</v>
      </c>
      <c r="D301" s="149" t="s">
        <v>2944</v>
      </c>
      <c r="E301" s="149" t="s">
        <v>363</v>
      </c>
      <c r="F301" s="148" t="s">
        <v>257</v>
      </c>
      <c r="G301" s="158"/>
      <c r="H301" s="138"/>
      <c r="I301" s="173"/>
    </row>
    <row r="302">
      <c r="A302" s="130">
        <v>38670.0</v>
      </c>
      <c r="B302" s="131"/>
      <c r="C302" s="105" t="str">
        <f t="shared" si="24"/>
        <v>setlist</v>
      </c>
      <c r="D302" s="132" t="s">
        <v>2945</v>
      </c>
      <c r="E302" s="132" t="s">
        <v>42</v>
      </c>
      <c r="F302" s="133" t="s">
        <v>43</v>
      </c>
      <c r="G302" s="133" t="s">
        <v>36</v>
      </c>
      <c r="H302" s="105" t="str">
        <f>HYPERLINK("http://www.mediafire.com/?8hdf6tt1qff3f", "download link")</f>
        <v>download link</v>
      </c>
      <c r="I302" s="132" t="s">
        <v>2946</v>
      </c>
    </row>
    <row r="303">
      <c r="A303" s="150">
        <v>38671.0</v>
      </c>
      <c r="B303" s="148" t="s">
        <v>32</v>
      </c>
      <c r="C303" s="116" t="str">
        <f t="shared" si="24"/>
        <v>setlist</v>
      </c>
      <c r="D303" s="149" t="s">
        <v>1229</v>
      </c>
      <c r="E303" s="149" t="s">
        <v>1230</v>
      </c>
      <c r="F303" s="148" t="s">
        <v>212</v>
      </c>
      <c r="G303" s="148" t="s">
        <v>36</v>
      </c>
      <c r="H303" s="135" t="str">
        <f>HYPERLINK("http://www.mediafire.com/?ofd6bhn9n6mib", "download link")</f>
        <v>download link</v>
      </c>
      <c r="I303" s="149" t="s">
        <v>2947</v>
      </c>
    </row>
    <row r="304">
      <c r="A304" s="130">
        <v>38672.0</v>
      </c>
      <c r="B304" s="131"/>
      <c r="C304" s="105" t="str">
        <f t="shared" si="24"/>
        <v>setlist</v>
      </c>
      <c r="D304" s="132" t="s">
        <v>958</v>
      </c>
      <c r="E304" s="132" t="s">
        <v>94</v>
      </c>
      <c r="F304" s="133" t="s">
        <v>95</v>
      </c>
      <c r="G304" s="133" t="s">
        <v>36</v>
      </c>
      <c r="H304" s="105" t="str">
        <f>HYPERLINK("http://www.mediafire.com/?jyoll9m9bi4x4", "download link")</f>
        <v>download link</v>
      </c>
      <c r="I304" s="174"/>
    </row>
    <row r="305">
      <c r="A305" s="147">
        <v>38673.0</v>
      </c>
      <c r="B305" s="158"/>
      <c r="C305" s="116" t="str">
        <f t="shared" si="24"/>
        <v>setlist</v>
      </c>
      <c r="D305" s="149" t="s">
        <v>2182</v>
      </c>
      <c r="E305" s="149" t="s">
        <v>162</v>
      </c>
      <c r="F305" s="148" t="s">
        <v>129</v>
      </c>
      <c r="G305" s="158"/>
      <c r="H305" s="138"/>
      <c r="I305" s="173"/>
    </row>
    <row r="306">
      <c r="A306" s="130">
        <v>38674.0</v>
      </c>
      <c r="B306" s="131"/>
      <c r="C306" s="105" t="str">
        <f t="shared" si="24"/>
        <v>setlist</v>
      </c>
      <c r="D306" s="132" t="s">
        <v>866</v>
      </c>
      <c r="E306" s="132" t="s">
        <v>309</v>
      </c>
      <c r="F306" s="133" t="s">
        <v>129</v>
      </c>
      <c r="G306" s="133" t="s">
        <v>36</v>
      </c>
      <c r="H306" s="105" t="str">
        <f>HYPERLINK("http://www.mediafire.com/?l08kf0tsvjlsj", "download link")</f>
        <v>download link</v>
      </c>
      <c r="I306" s="174"/>
    </row>
    <row r="307">
      <c r="A307" s="150">
        <v>38675.0</v>
      </c>
      <c r="B307" s="156"/>
      <c r="C307" s="116" t="str">
        <f t="shared" si="24"/>
        <v>setlist</v>
      </c>
      <c r="D307" s="153" t="s">
        <v>2948</v>
      </c>
      <c r="E307" s="153" t="s">
        <v>2949</v>
      </c>
      <c r="F307" s="151" t="s">
        <v>171</v>
      </c>
      <c r="G307" s="151" t="s">
        <v>36</v>
      </c>
      <c r="H307" s="116" t="str">
        <f>HYPERLINK("http://www.mediafire.com/?dkm4wksdtulz0", "download link")</f>
        <v>download link</v>
      </c>
      <c r="I307" s="79"/>
    </row>
    <row r="308">
      <c r="A308" s="350"/>
      <c r="B308" s="354"/>
      <c r="C308" s="352"/>
      <c r="D308" s="353" t="s">
        <v>2879</v>
      </c>
      <c r="E308" s="355"/>
      <c r="F308" s="354"/>
      <c r="G308" s="354"/>
      <c r="H308" s="351"/>
      <c r="I308" s="355"/>
    </row>
    <row r="309">
      <c r="A309" s="147">
        <v>38681.0</v>
      </c>
      <c r="B309" s="158"/>
      <c r="C309" s="116" t="str">
        <f>HYPERLINK("http://phish.net/sideshows/trey-anastasio-band/?d="&amp;RIGHT(TEXT(A309,"mm/dd/yyyy"),4)&amp;"-"&amp;LEFT(TEXT(A309,"mm/dd/yyyy"),2)&amp;"-"&amp;MID(TEXT(A309,"mm/dd/yyyy"),4,2), "setlist")</f>
        <v>setlist</v>
      </c>
      <c r="D309" s="149" t="s">
        <v>2873</v>
      </c>
      <c r="E309" s="149" t="s">
        <v>871</v>
      </c>
      <c r="F309" s="148" t="s">
        <v>212</v>
      </c>
      <c r="G309" s="148" t="s">
        <v>36</v>
      </c>
      <c r="H309" s="135" t="str">
        <f>HYPERLINK("http://www.mediafire.com/?6am5u2joqz4d3", "download link")</f>
        <v>download link</v>
      </c>
      <c r="I309" s="173"/>
    </row>
    <row r="310">
      <c r="A310" s="350"/>
      <c r="B310" s="354"/>
      <c r="C310" s="352"/>
      <c r="D310" s="353" t="s">
        <v>2938</v>
      </c>
      <c r="E310" s="355"/>
      <c r="F310" s="354"/>
      <c r="G310" s="354"/>
      <c r="H310" s="351"/>
      <c r="I310" s="355"/>
    </row>
    <row r="311">
      <c r="A311" s="150">
        <v>38682.0</v>
      </c>
      <c r="B311" s="158"/>
      <c r="C311" s="116" t="str">
        <f t="shared" ref="C311:C317" si="25">HYPERLINK("http://phish.net/sideshows/trey-anastasio-band/?d="&amp;RIGHT(TEXT(A311,"mm/dd/yyyy"),4)&amp;"-"&amp;LEFT(TEXT(A311,"mm/dd/yyyy"),2)&amp;"-"&amp;MID(TEXT(A311,"mm/dd/yyyy"),4,2), "setlist")</f>
        <v>setlist</v>
      </c>
      <c r="D311" s="149" t="s">
        <v>2840</v>
      </c>
      <c r="E311" s="149" t="s">
        <v>499</v>
      </c>
      <c r="F311" s="148" t="s">
        <v>203</v>
      </c>
      <c r="G311" s="148" t="s">
        <v>36</v>
      </c>
      <c r="H311" s="135" t="str">
        <f>HYPERLINK("http://www.mediafire.com/?8nx1cceobz686", "download link")</f>
        <v>download link</v>
      </c>
      <c r="I311" s="173"/>
    </row>
    <row r="312">
      <c r="A312" s="130">
        <v>38685.0</v>
      </c>
      <c r="B312" s="131"/>
      <c r="C312" s="105" t="str">
        <f t="shared" si="25"/>
        <v>setlist</v>
      </c>
      <c r="D312" s="132" t="s">
        <v>1306</v>
      </c>
      <c r="E312" s="132" t="s">
        <v>791</v>
      </c>
      <c r="F312" s="133" t="s">
        <v>701</v>
      </c>
      <c r="G312" s="131"/>
      <c r="H312" s="108"/>
      <c r="I312" s="174"/>
    </row>
    <row r="313">
      <c r="A313" s="150">
        <v>38686.0</v>
      </c>
      <c r="B313" s="158"/>
      <c r="C313" s="116" t="str">
        <f t="shared" si="25"/>
        <v>setlist</v>
      </c>
      <c r="D313" s="149" t="s">
        <v>794</v>
      </c>
      <c r="E313" s="149" t="s">
        <v>279</v>
      </c>
      <c r="F313" s="148" t="s">
        <v>692</v>
      </c>
      <c r="G313" s="148" t="s">
        <v>36</v>
      </c>
      <c r="H313" s="135" t="str">
        <f>HYPERLINK("http://www.mediafire.com/?2ptk9us91uuh1", "download link")</f>
        <v>download link</v>
      </c>
      <c r="I313" s="173"/>
    </row>
    <row r="314">
      <c r="A314" s="130">
        <v>38688.0</v>
      </c>
      <c r="B314" s="131"/>
      <c r="C314" s="105" t="str">
        <f t="shared" si="25"/>
        <v>setlist</v>
      </c>
      <c r="D314" s="132" t="s">
        <v>914</v>
      </c>
      <c r="E314" s="132" t="s">
        <v>683</v>
      </c>
      <c r="F314" s="133" t="s">
        <v>679</v>
      </c>
      <c r="G314" s="133" t="s">
        <v>36</v>
      </c>
      <c r="H314" s="105" t="str">
        <f>HYPERLINK("http://www.mediafire.com/?aye9farus7tyf", "download link")</f>
        <v>download link</v>
      </c>
      <c r="I314" s="174"/>
    </row>
    <row r="315">
      <c r="A315" s="150">
        <v>38689.0</v>
      </c>
      <c r="B315" s="158"/>
      <c r="C315" s="116" t="str">
        <f t="shared" si="25"/>
        <v>setlist</v>
      </c>
      <c r="D315" s="149" t="s">
        <v>914</v>
      </c>
      <c r="E315" s="149" t="s">
        <v>683</v>
      </c>
      <c r="F315" s="148" t="s">
        <v>679</v>
      </c>
      <c r="G315" s="148" t="s">
        <v>36</v>
      </c>
      <c r="H315" s="135" t="str">
        <f>HYPERLINK("http://www.mediafire.com/?ac25caygcga24", "download link")</f>
        <v>download link</v>
      </c>
      <c r="I315" s="173"/>
    </row>
    <row r="316">
      <c r="A316" s="130">
        <v>38692.0</v>
      </c>
      <c r="B316" s="131"/>
      <c r="C316" s="105" t="str">
        <f t="shared" si="25"/>
        <v>setlist</v>
      </c>
      <c r="D316" s="132" t="s">
        <v>2950</v>
      </c>
      <c r="E316" s="132" t="s">
        <v>1381</v>
      </c>
      <c r="F316" s="133" t="s">
        <v>679</v>
      </c>
      <c r="G316" s="133" t="s">
        <v>36</v>
      </c>
      <c r="H316" s="105" t="str">
        <f>HYPERLINK("http://www.mediafire.com/?f5zfcf61z4gz9", "download link")</f>
        <v>download link</v>
      </c>
      <c r="I316" s="132" t="s">
        <v>2951</v>
      </c>
    </row>
    <row r="317">
      <c r="A317" s="150">
        <v>38693.0</v>
      </c>
      <c r="B317" s="158"/>
      <c r="C317" s="116" t="str">
        <f t="shared" si="25"/>
        <v>setlist</v>
      </c>
      <c r="D317" s="149" t="s">
        <v>1383</v>
      </c>
      <c r="E317" s="149" t="s">
        <v>911</v>
      </c>
      <c r="F317" s="148" t="s">
        <v>679</v>
      </c>
      <c r="G317" s="148" t="s">
        <v>36</v>
      </c>
      <c r="H317" s="135" t="str">
        <f>HYPERLINK("http://www.mediafire.com/?p97ctcn35tgdp", "download link")</f>
        <v>download link</v>
      </c>
      <c r="I317" s="173"/>
    </row>
    <row r="318">
      <c r="A318" s="350"/>
      <c r="B318" s="354"/>
      <c r="C318" s="352"/>
      <c r="D318" s="353" t="s">
        <v>2952</v>
      </c>
      <c r="E318" s="355"/>
      <c r="F318" s="354"/>
      <c r="G318" s="354"/>
      <c r="H318" s="351"/>
      <c r="I318" s="355"/>
    </row>
    <row r="319">
      <c r="A319" s="150">
        <v>38702.0</v>
      </c>
      <c r="B319" s="156"/>
      <c r="C319" s="116" t="str">
        <f t="shared" ref="C319:C320" si="26">HYPERLINK("http://phish.net/sideshows/trey-anastasio-band/?d="&amp;RIGHT(TEXT(A319,"mm/dd/yyyy"),4)&amp;"-"&amp;LEFT(TEXT(A319,"mm/dd/yyyy"),2)&amp;"-"&amp;MID(TEXT(A319,"mm/dd/yyyy"),4,2), "setlist")</f>
        <v>setlist</v>
      </c>
      <c r="D319" s="153" t="s">
        <v>2953</v>
      </c>
      <c r="E319" s="153" t="s">
        <v>2327</v>
      </c>
      <c r="F319" s="151" t="s">
        <v>443</v>
      </c>
      <c r="G319" s="156"/>
      <c r="H319" s="145"/>
      <c r="I319" s="79"/>
    </row>
    <row r="320">
      <c r="A320" s="130">
        <v>38703.0</v>
      </c>
      <c r="B320" s="131"/>
      <c r="C320" s="105" t="str">
        <f t="shared" si="26"/>
        <v>setlist</v>
      </c>
      <c r="D320" s="132" t="s">
        <v>2326</v>
      </c>
      <c r="E320" s="132" t="s">
        <v>2327</v>
      </c>
      <c r="F320" s="133" t="s">
        <v>443</v>
      </c>
      <c r="G320" s="133" t="s">
        <v>36</v>
      </c>
      <c r="H320" s="105" t="str">
        <f>HYPERLINK("http://www.mediafire.com/?p61q1qb2832r1", "download link")</f>
        <v>download link</v>
      </c>
      <c r="I320" s="174"/>
    </row>
    <row r="321">
      <c r="A321" s="350"/>
      <c r="B321" s="354"/>
      <c r="C321" s="352"/>
      <c r="D321" s="353" t="s">
        <v>2954</v>
      </c>
      <c r="E321" s="355"/>
      <c r="F321" s="354"/>
      <c r="G321" s="354"/>
      <c r="H321" s="351"/>
      <c r="I321" s="355"/>
    </row>
    <row r="322">
      <c r="A322" s="147">
        <v>38717.0</v>
      </c>
      <c r="B322" s="158"/>
      <c r="C322" s="116" t="str">
        <f>HYPERLINK("http://phish.net/sideshows/trey-anastasio-band/?showid=1300649862", "setlist")</f>
        <v>setlist</v>
      </c>
      <c r="D322" s="149" t="s">
        <v>1553</v>
      </c>
      <c r="E322" s="149" t="s">
        <v>162</v>
      </c>
      <c r="F322" s="148" t="s">
        <v>129</v>
      </c>
      <c r="G322" s="148" t="s">
        <v>36</v>
      </c>
      <c r="H322" s="135" t="str">
        <f>HYPERLINK("http://www.mediafire.com/?odt4f95xtwk61", "download link")</f>
        <v>download link</v>
      </c>
      <c r="I322" s="173"/>
    </row>
    <row r="323">
      <c r="A323" s="350"/>
      <c r="B323" s="354"/>
      <c r="C323" s="352"/>
      <c r="D323" s="353" t="s">
        <v>2905</v>
      </c>
      <c r="E323" s="355"/>
      <c r="F323" s="354"/>
      <c r="G323" s="354"/>
      <c r="H323" s="351"/>
      <c r="I323" s="355"/>
    </row>
    <row r="324">
      <c r="A324" s="147">
        <v>38752.0</v>
      </c>
      <c r="B324" s="158"/>
      <c r="C324" s="116" t="str">
        <f>HYPERLINK("http://phish.net/sideshows/trey-anastasio-band/?d="&amp;RIGHT(TEXT(A324,"mm/dd/yyyy"),4)&amp;"-"&amp;LEFT(TEXT(A324,"mm/dd/yyyy"),2)&amp;"-"&amp;MID(TEXT(A324,"mm/dd/yyyy"),4,2), "setlist")</f>
        <v>setlist</v>
      </c>
      <c r="D324" s="149" t="s">
        <v>2955</v>
      </c>
      <c r="E324" s="149" t="s">
        <v>2956</v>
      </c>
      <c r="F324" s="148" t="s">
        <v>2957</v>
      </c>
      <c r="G324" s="158"/>
      <c r="H324" s="138"/>
      <c r="I324" s="173"/>
    </row>
    <row r="325">
      <c r="A325" s="130">
        <v>38753.0</v>
      </c>
      <c r="B325" s="131"/>
      <c r="C325" s="105" t="str">
        <f>HYPERLINK("http://phish.net/sideshows/trey-anastasio-band/?showid=1325087219", "setlist")</f>
        <v>setlist</v>
      </c>
      <c r="D325" s="132" t="s">
        <v>2958</v>
      </c>
      <c r="E325" s="132" t="s">
        <v>2956</v>
      </c>
      <c r="F325" s="133" t="s">
        <v>2957</v>
      </c>
      <c r="G325" s="133" t="s">
        <v>36</v>
      </c>
      <c r="H325" s="105" t="str">
        <f>HYPERLINK("http://www.mediafire.com/?q3nc8cs9sfnx6", "download link")</f>
        <v>download link</v>
      </c>
      <c r="I325" s="174"/>
    </row>
    <row r="326">
      <c r="A326" s="150">
        <v>38753.0</v>
      </c>
      <c r="B326" s="156"/>
      <c r="C326" s="116" t="str">
        <f>HYPERLINK("http://phish.net/sideshows/trey-anastasio-band/?showid=1325087863", "setlist")</f>
        <v>setlist</v>
      </c>
      <c r="D326" s="153" t="s">
        <v>2959</v>
      </c>
      <c r="E326" s="153" t="s">
        <v>2956</v>
      </c>
      <c r="F326" s="151" t="s">
        <v>2957</v>
      </c>
      <c r="G326" s="156"/>
      <c r="H326" s="145"/>
      <c r="I326" s="79"/>
    </row>
    <row r="327">
      <c r="A327" s="350"/>
      <c r="B327" s="354"/>
      <c r="C327" s="352"/>
      <c r="D327" s="353" t="s">
        <v>2879</v>
      </c>
      <c r="E327" s="350"/>
      <c r="F327" s="351"/>
      <c r="G327" s="354"/>
      <c r="H327" s="351"/>
      <c r="I327" s="355"/>
    </row>
    <row r="328">
      <c r="A328" s="110">
        <v>38783.0</v>
      </c>
      <c r="B328" s="111"/>
      <c r="C328" s="116" t="str">
        <f>HYPERLINK("http://phish.net/sideshows/trey-anastasio-band/?d="&amp;RIGHT(TEXT(A328,"mm/dd/yyyy"),4)&amp;"-"&amp;LEFT(TEXT(A328,"mm/dd/yyyy"),2)&amp;"-"&amp;MID(TEXT(A328,"mm/dd/yyyy"),4,2), "setlist")</f>
        <v>setlist</v>
      </c>
      <c r="D328" s="113" t="s">
        <v>2960</v>
      </c>
      <c r="E328" s="113" t="s">
        <v>393</v>
      </c>
      <c r="F328" s="114" t="s">
        <v>394</v>
      </c>
      <c r="G328" s="114" t="s">
        <v>36</v>
      </c>
      <c r="H328" s="135" t="str">
        <f>HYPERLINK("http://www.mediafire.com/?zg0gjaapti071", "download link")</f>
        <v>download link</v>
      </c>
      <c r="I328" s="80"/>
    </row>
    <row r="329">
      <c r="A329" s="350"/>
      <c r="B329" s="354"/>
      <c r="C329" s="352"/>
      <c r="D329" s="353" t="s">
        <v>2961</v>
      </c>
      <c r="E329" s="350"/>
      <c r="F329" s="351"/>
      <c r="G329" s="354"/>
      <c r="H329" s="351"/>
      <c r="I329" s="355"/>
    </row>
    <row r="330">
      <c r="A330" s="147">
        <v>38833.0</v>
      </c>
      <c r="B330" s="158"/>
      <c r="C330" s="116" t="str">
        <f t="shared" ref="C330:C331" si="27">HYPERLINK("http://phish.net/sideshows/trey-anastasio-band/?d="&amp;RIGHT(TEXT(A330,"mm/dd/yyyy"),4)&amp;"-"&amp;LEFT(TEXT(A330,"mm/dd/yyyy"),2)&amp;"-"&amp;MID(TEXT(A330,"mm/dd/yyyy"),4,2), "setlist")</f>
        <v>setlist</v>
      </c>
      <c r="D330" s="149" t="s">
        <v>2898</v>
      </c>
      <c r="E330" s="149" t="s">
        <v>437</v>
      </c>
      <c r="F330" s="148" t="s">
        <v>433</v>
      </c>
      <c r="G330" s="148" t="s">
        <v>36</v>
      </c>
      <c r="H330" s="135" t="str">
        <f>HYPERLINK("http://www.mediafire.com/?368xnx16grcga", "download link")</f>
        <v>download link</v>
      </c>
      <c r="I330" s="173"/>
    </row>
    <row r="331">
      <c r="A331" s="130">
        <v>38834.0</v>
      </c>
      <c r="B331" s="131"/>
      <c r="C331" s="105" t="str">
        <f t="shared" si="27"/>
        <v>setlist</v>
      </c>
      <c r="D331" s="132" t="s">
        <v>2898</v>
      </c>
      <c r="E331" s="132" t="s">
        <v>437</v>
      </c>
      <c r="F331" s="133" t="s">
        <v>433</v>
      </c>
      <c r="G331" s="133" t="s">
        <v>36</v>
      </c>
      <c r="H331" s="105" t="str">
        <f>HYPERLINK("http://www.mediafire.com/?fal43fqhn3gj1", "download link")</f>
        <v>download link</v>
      </c>
      <c r="I331" s="174"/>
    </row>
    <row r="332">
      <c r="A332" s="350"/>
      <c r="B332" s="354"/>
      <c r="C332" s="352"/>
      <c r="D332" s="353" t="s">
        <v>2962</v>
      </c>
      <c r="E332" s="355"/>
      <c r="F332" s="354"/>
      <c r="G332" s="354"/>
      <c r="H332" s="351"/>
      <c r="I332" s="355"/>
    </row>
    <row r="333">
      <c r="A333" s="147">
        <v>38877.0</v>
      </c>
      <c r="B333" s="158"/>
      <c r="C333" s="116" t="str">
        <f t="shared" ref="C333:C336" si="28">HYPERLINK("http://phish.net/sideshows/trey-anastasio-band/?d="&amp;RIGHT(TEXT(A333,"mm/dd/yyyy"),4)&amp;"-"&amp;LEFT(TEXT(A333,"mm/dd/yyyy"),2)&amp;"-"&amp;MID(TEXT(A333,"mm/dd/yyyy"),4,2), "setlist")</f>
        <v>setlist</v>
      </c>
      <c r="D333" s="149" t="s">
        <v>2963</v>
      </c>
      <c r="E333" s="149" t="s">
        <v>541</v>
      </c>
      <c r="F333" s="148" t="s">
        <v>443</v>
      </c>
      <c r="G333" s="158"/>
      <c r="H333" s="138"/>
      <c r="I333" s="173"/>
    </row>
    <row r="334">
      <c r="A334" s="130">
        <v>38878.0</v>
      </c>
      <c r="B334" s="131"/>
      <c r="C334" s="105" t="str">
        <f t="shared" si="28"/>
        <v>setlist</v>
      </c>
      <c r="D334" s="132" t="s">
        <v>1576</v>
      </c>
      <c r="E334" s="132" t="s">
        <v>2964</v>
      </c>
      <c r="F334" s="133" t="s">
        <v>446</v>
      </c>
      <c r="G334" s="133" t="s">
        <v>36</v>
      </c>
      <c r="H334" s="105" t="str">
        <f>HYPERLINK("http://www.mediafire.com/?8ea13q2hxqi6m", "download link")</f>
        <v>download link</v>
      </c>
      <c r="I334" s="174"/>
    </row>
    <row r="335">
      <c r="A335" s="147">
        <v>38880.0</v>
      </c>
      <c r="B335" s="158"/>
      <c r="C335" s="116" t="str">
        <f t="shared" si="28"/>
        <v>setlist</v>
      </c>
      <c r="D335" s="149" t="s">
        <v>2383</v>
      </c>
      <c r="E335" s="149" t="s">
        <v>634</v>
      </c>
      <c r="F335" s="148" t="s">
        <v>446</v>
      </c>
      <c r="G335" s="148" t="s">
        <v>36</v>
      </c>
      <c r="H335" s="135" t="str">
        <f>HYPERLINK("http://www.mediafire.com/?byes9ebgoshss", "download link")</f>
        <v>download link</v>
      </c>
      <c r="I335" s="173"/>
    </row>
    <row r="336">
      <c r="A336" s="130">
        <v>38882.0</v>
      </c>
      <c r="B336" s="131"/>
      <c r="C336" s="105" t="str">
        <f t="shared" si="28"/>
        <v>setlist</v>
      </c>
      <c r="D336" s="132" t="s">
        <v>2965</v>
      </c>
      <c r="E336" s="132" t="s">
        <v>471</v>
      </c>
      <c r="F336" s="133" t="s">
        <v>472</v>
      </c>
      <c r="G336" s="131"/>
      <c r="H336" s="108"/>
      <c r="I336" s="174"/>
    </row>
    <row r="337">
      <c r="A337" s="350"/>
      <c r="B337" s="354"/>
      <c r="C337" s="352"/>
      <c r="D337" s="353" t="s">
        <v>2843</v>
      </c>
      <c r="E337" s="355"/>
      <c r="F337" s="354"/>
      <c r="G337" s="354"/>
      <c r="H337" s="351"/>
      <c r="I337" s="355"/>
    </row>
    <row r="338">
      <c r="A338" s="147">
        <v>38884.0</v>
      </c>
      <c r="B338" s="158"/>
      <c r="C338" s="116" t="str">
        <f>HYPERLINK("http://phish.net/sideshows/trey-anastasio-band/?showid=1298353525", "setlist")</f>
        <v>setlist</v>
      </c>
      <c r="D338" s="149" t="s">
        <v>2333</v>
      </c>
      <c r="E338" s="149" t="s">
        <v>2332</v>
      </c>
      <c r="F338" s="148" t="s">
        <v>650</v>
      </c>
      <c r="G338" s="148" t="s">
        <v>36</v>
      </c>
      <c r="H338" s="135" t="str">
        <f>HYPERLINK("http://www.mediafire.com/?yo8d7dz27lofa", "download link")</f>
        <v>download link</v>
      </c>
      <c r="I338" s="173"/>
    </row>
    <row r="339">
      <c r="A339" s="350"/>
      <c r="B339" s="354"/>
      <c r="C339" s="352"/>
      <c r="D339" s="353" t="s">
        <v>2966</v>
      </c>
      <c r="E339" s="355"/>
      <c r="F339" s="354"/>
      <c r="G339" s="354"/>
      <c r="H339" s="351"/>
      <c r="I339" s="355"/>
    </row>
    <row r="340">
      <c r="A340" s="150">
        <v>38885.0</v>
      </c>
      <c r="B340" s="158"/>
      <c r="C340" s="116" t="str">
        <f>HYPERLINK("http://phish.net/sideshows/trey-anastasio-band/?showid=1318103701", "setlist")</f>
        <v>setlist</v>
      </c>
      <c r="D340" s="149" t="s">
        <v>2333</v>
      </c>
      <c r="E340" s="149" t="s">
        <v>2332</v>
      </c>
      <c r="F340" s="148" t="s">
        <v>650</v>
      </c>
      <c r="G340" s="148" t="s">
        <v>36</v>
      </c>
      <c r="H340" s="135" t="str">
        <f>HYPERLINK("http://www.mediafire.com/?yr0emid44jp7i", "download link")</f>
        <v>download link</v>
      </c>
      <c r="I340" s="173"/>
    </row>
    <row r="341">
      <c r="A341" s="350"/>
      <c r="B341" s="354"/>
      <c r="C341" s="352"/>
      <c r="D341" s="353" t="s">
        <v>2967</v>
      </c>
      <c r="E341" s="355"/>
      <c r="F341" s="354"/>
      <c r="G341" s="354"/>
      <c r="H341" s="351"/>
      <c r="I341" s="355"/>
    </row>
    <row r="342">
      <c r="A342" s="147">
        <v>38885.0</v>
      </c>
      <c r="B342" s="158"/>
      <c r="C342" s="116" t="str">
        <f>HYPERLINK("http://phish.net/sideshows/trey-anastasio-band/?showid=1300122869", "setlist")</f>
        <v>setlist</v>
      </c>
      <c r="D342" s="149" t="s">
        <v>2968</v>
      </c>
      <c r="E342" s="149" t="s">
        <v>1569</v>
      </c>
      <c r="F342" s="148" t="s">
        <v>886</v>
      </c>
      <c r="G342" s="158"/>
      <c r="H342" s="138"/>
      <c r="I342" s="173"/>
    </row>
    <row r="343">
      <c r="A343" s="130">
        <v>38888.0</v>
      </c>
      <c r="B343" s="131"/>
      <c r="C343" s="105" t="str">
        <f t="shared" ref="C343:C346" si="29">HYPERLINK("http://phish.net/sideshows/trey-anastasio-band/?d="&amp;RIGHT(TEXT(A343,"mm/dd/yyyy"),4)&amp;"-"&amp;LEFT(TEXT(A343,"mm/dd/yyyy"),2)&amp;"-"&amp;MID(TEXT(A343,"mm/dd/yyyy"),4,2), "setlist")</f>
        <v>setlist</v>
      </c>
      <c r="D343" s="132" t="s">
        <v>1553</v>
      </c>
      <c r="E343" s="132" t="s">
        <v>162</v>
      </c>
      <c r="F343" s="133" t="s">
        <v>129</v>
      </c>
      <c r="G343" s="131"/>
      <c r="H343" s="108"/>
      <c r="I343" s="174"/>
    </row>
    <row r="344">
      <c r="A344" s="147">
        <v>38889.0</v>
      </c>
      <c r="B344" s="158"/>
      <c r="C344" s="116" t="str">
        <f t="shared" si="29"/>
        <v>setlist</v>
      </c>
      <c r="D344" s="149" t="s">
        <v>2969</v>
      </c>
      <c r="E344" s="149" t="s">
        <v>1004</v>
      </c>
      <c r="F344" s="148" t="s">
        <v>95</v>
      </c>
      <c r="G344" s="158"/>
      <c r="H344" s="138"/>
      <c r="I344" s="173"/>
    </row>
    <row r="345">
      <c r="A345" s="130">
        <v>38891.0</v>
      </c>
      <c r="B345" s="131"/>
      <c r="C345" s="105" t="str">
        <f t="shared" si="29"/>
        <v>setlist</v>
      </c>
      <c r="D345" s="132" t="s">
        <v>2263</v>
      </c>
      <c r="E345" s="132" t="s">
        <v>1579</v>
      </c>
      <c r="F345" s="133" t="s">
        <v>508</v>
      </c>
      <c r="G345" s="131"/>
      <c r="H345" s="108"/>
      <c r="I345" s="174"/>
    </row>
    <row r="346">
      <c r="A346" s="150">
        <v>38893.0</v>
      </c>
      <c r="B346" s="158"/>
      <c r="C346" s="116" t="str">
        <f t="shared" si="29"/>
        <v>setlist</v>
      </c>
      <c r="D346" s="149" t="s">
        <v>2970</v>
      </c>
      <c r="E346" s="149" t="s">
        <v>208</v>
      </c>
      <c r="F346" s="148" t="s">
        <v>203</v>
      </c>
      <c r="G346" s="148" t="s">
        <v>36</v>
      </c>
      <c r="H346" s="135" t="str">
        <f>HYPERLINK("http://www.mediafire.com/?262zftav5xatg", "download link")</f>
        <v>download link</v>
      </c>
      <c r="I346" s="149" t="s">
        <v>2971</v>
      </c>
    </row>
    <row r="347">
      <c r="A347" s="350"/>
      <c r="B347" s="354"/>
      <c r="C347" s="352"/>
      <c r="D347" s="356" t="s">
        <v>2972</v>
      </c>
      <c r="E347" s="355"/>
      <c r="F347" s="354"/>
      <c r="G347" s="354"/>
      <c r="H347" s="351"/>
      <c r="I347" s="355"/>
    </row>
    <row r="348">
      <c r="A348" s="150">
        <v>38896.0</v>
      </c>
      <c r="B348" s="158"/>
      <c r="C348" s="116" t="str">
        <f t="shared" ref="C348:C366" si="30">HYPERLINK("http://phish.net/sideshows/trey-anastasio-band/?d="&amp;RIGHT(TEXT(A348,"mm/dd/yyyy"),4)&amp;"-"&amp;LEFT(TEXT(A348,"mm/dd/yyyy"),2)&amp;"-"&amp;MID(TEXT(A348,"mm/dd/yyyy"),4,2), "setlist")</f>
        <v>setlist</v>
      </c>
      <c r="D348" s="149" t="s">
        <v>2180</v>
      </c>
      <c r="E348" s="149" t="s">
        <v>536</v>
      </c>
      <c r="F348" s="148" t="s">
        <v>443</v>
      </c>
      <c r="G348" s="148" t="s">
        <v>36</v>
      </c>
      <c r="H348" s="135" t="str">
        <f>HYPERLINK("http://www.mediafire.com/?v5rxbad9dme8f", "download link")</f>
        <v>download link</v>
      </c>
      <c r="I348" s="173"/>
    </row>
    <row r="349">
      <c r="A349" s="130">
        <v>38898.0</v>
      </c>
      <c r="B349" s="131"/>
      <c r="C349" s="105" t="str">
        <f t="shared" si="30"/>
        <v>setlist</v>
      </c>
      <c r="D349" s="132" t="s">
        <v>2272</v>
      </c>
      <c r="E349" s="132" t="s">
        <v>2070</v>
      </c>
      <c r="F349" s="133" t="s">
        <v>43</v>
      </c>
      <c r="G349" s="133" t="s">
        <v>36</v>
      </c>
      <c r="H349" s="105" t="str">
        <f>HYPERLINK("http://www.mediafire.com/file/ob9ccqs08b2mcct/2006-06-30_-_Tweeter_Center_at_the_Waterfront_-_Camden%2C_NJ.rar", "download link")</f>
        <v>download link</v>
      </c>
      <c r="I349" s="174"/>
    </row>
    <row r="350">
      <c r="A350" s="150">
        <v>38899.0</v>
      </c>
      <c r="B350" s="158"/>
      <c r="C350" s="116" t="str">
        <f t="shared" si="30"/>
        <v>setlist</v>
      </c>
      <c r="D350" s="149" t="s">
        <v>2072</v>
      </c>
      <c r="E350" s="149" t="s">
        <v>992</v>
      </c>
      <c r="F350" s="148" t="s">
        <v>43</v>
      </c>
      <c r="G350" s="148" t="s">
        <v>36</v>
      </c>
      <c r="H350" s="135" t="str">
        <f>HYPERLINK("http://www.mediafire.com/?d3u4x4u2ajrxr", "download link")</f>
        <v>download link</v>
      </c>
      <c r="I350" s="173"/>
    </row>
    <row r="351">
      <c r="A351" s="130">
        <v>38900.0</v>
      </c>
      <c r="B351" s="131"/>
      <c r="C351" s="105" t="str">
        <f t="shared" si="30"/>
        <v>setlist</v>
      </c>
      <c r="D351" s="132" t="s">
        <v>1015</v>
      </c>
      <c r="E351" s="132" t="s">
        <v>465</v>
      </c>
      <c r="F351" s="133" t="s">
        <v>129</v>
      </c>
      <c r="G351" s="133" t="s">
        <v>36</v>
      </c>
      <c r="H351" s="105" t="str">
        <f>HYPERLINK("http://www.mediafire.com/?yvupm0v81m6f8", "download link")</f>
        <v>download link</v>
      </c>
      <c r="I351" s="174"/>
    </row>
    <row r="352">
      <c r="A352" s="150">
        <v>38901.0</v>
      </c>
      <c r="B352" s="158"/>
      <c r="C352" s="116" t="str">
        <f t="shared" si="30"/>
        <v>setlist</v>
      </c>
      <c r="D352" s="149" t="s">
        <v>2973</v>
      </c>
      <c r="E352" s="149" t="s">
        <v>323</v>
      </c>
      <c r="F352" s="148" t="s">
        <v>171</v>
      </c>
      <c r="G352" s="148" t="s">
        <v>36</v>
      </c>
      <c r="H352" s="135" t="str">
        <f>HYPERLINK("http://www.mediafire.com/?4gq5xcajd7imr", "download link")</f>
        <v>download link</v>
      </c>
      <c r="I352" s="173"/>
    </row>
    <row r="353">
      <c r="A353" s="130">
        <v>38904.0</v>
      </c>
      <c r="B353" s="131"/>
      <c r="C353" s="105" t="str">
        <f t="shared" si="30"/>
        <v>setlist</v>
      </c>
      <c r="D353" s="132" t="s">
        <v>2071</v>
      </c>
      <c r="E353" s="132" t="s">
        <v>1004</v>
      </c>
      <c r="F353" s="133" t="s">
        <v>95</v>
      </c>
      <c r="G353" s="133" t="s">
        <v>36</v>
      </c>
      <c r="H353" s="105" t="str">
        <f>HYPERLINK("http://www.mediafire.com/?2ryha0lze1v3k", "download link")</f>
        <v>download link</v>
      </c>
      <c r="I353" s="174"/>
    </row>
    <row r="354">
      <c r="A354" s="150">
        <v>38905.0</v>
      </c>
      <c r="B354" s="158"/>
      <c r="C354" s="116" t="str">
        <f t="shared" si="30"/>
        <v>setlist</v>
      </c>
      <c r="D354" s="149" t="s">
        <v>2974</v>
      </c>
      <c r="E354" s="149" t="s">
        <v>994</v>
      </c>
      <c r="F354" s="148" t="s">
        <v>129</v>
      </c>
      <c r="G354" s="148" t="s">
        <v>36</v>
      </c>
      <c r="H354" s="135" t="str">
        <f>HYPERLINK("http://www.mediafire.com/?cg788cg2x78o8", "download link")</f>
        <v>download link</v>
      </c>
      <c r="I354" s="173"/>
    </row>
    <row r="355">
      <c r="A355" s="130">
        <v>38906.0</v>
      </c>
      <c r="B355" s="131"/>
      <c r="C355" s="105" t="str">
        <f t="shared" si="30"/>
        <v>setlist</v>
      </c>
      <c r="D355" s="132" t="s">
        <v>1278</v>
      </c>
      <c r="E355" s="132" t="s">
        <v>1279</v>
      </c>
      <c r="F355" s="133" t="s">
        <v>129</v>
      </c>
      <c r="G355" s="133" t="s">
        <v>36</v>
      </c>
      <c r="H355" s="105" t="str">
        <f>HYPERLINK("http://www.mediafire.com/?e4z86r02a179h", "download link")</f>
        <v>download link</v>
      </c>
      <c r="I355" s="174"/>
    </row>
    <row r="356">
      <c r="A356" s="150">
        <v>38907.0</v>
      </c>
      <c r="B356" s="158"/>
      <c r="C356" s="116" t="str">
        <f t="shared" si="30"/>
        <v>setlist</v>
      </c>
      <c r="D356" s="149" t="s">
        <v>2425</v>
      </c>
      <c r="E356" s="149" t="s">
        <v>2426</v>
      </c>
      <c r="F356" s="148" t="s">
        <v>129</v>
      </c>
      <c r="G356" s="148" t="s">
        <v>36</v>
      </c>
      <c r="H356" s="135" t="str">
        <f>HYPERLINK("http://www.mediafire.com/?6nql8zf3dnz7e", "download link")</f>
        <v>download link</v>
      </c>
      <c r="I356" s="173"/>
    </row>
    <row r="357">
      <c r="A357" s="130">
        <v>38909.0</v>
      </c>
      <c r="B357" s="131"/>
      <c r="C357" s="105" t="str">
        <f t="shared" si="30"/>
        <v>setlist</v>
      </c>
      <c r="D357" s="132" t="s">
        <v>2975</v>
      </c>
      <c r="E357" s="132" t="s">
        <v>2976</v>
      </c>
      <c r="F357" s="133" t="s">
        <v>212</v>
      </c>
      <c r="G357" s="133" t="s">
        <v>36</v>
      </c>
      <c r="H357" s="105" t="str">
        <f>HYPERLINK("http://www.mediafire.com/?e1j0jdb3edj3l", "download link")</f>
        <v>download link</v>
      </c>
      <c r="I357" s="174"/>
    </row>
    <row r="358">
      <c r="A358" s="150">
        <v>38910.0</v>
      </c>
      <c r="B358" s="158"/>
      <c r="C358" s="116" t="str">
        <f t="shared" si="30"/>
        <v>setlist</v>
      </c>
      <c r="D358" s="149" t="s">
        <v>2462</v>
      </c>
      <c r="E358" s="149" t="s">
        <v>2463</v>
      </c>
      <c r="F358" s="148" t="s">
        <v>35</v>
      </c>
      <c r="G358" s="148">
        <v>192.0</v>
      </c>
      <c r="H358" s="135" t="str">
        <f>HYPERLINK("http://www.mediafire.com/?m7ij2vqw3nvxs", "download link")</f>
        <v>download link</v>
      </c>
      <c r="I358" s="149" t="s">
        <v>2812</v>
      </c>
    </row>
    <row r="359">
      <c r="A359" s="130">
        <v>38912.0</v>
      </c>
      <c r="B359" s="131"/>
      <c r="C359" s="105" t="str">
        <f t="shared" si="30"/>
        <v>setlist</v>
      </c>
      <c r="D359" s="132" t="s">
        <v>2977</v>
      </c>
      <c r="E359" s="132" t="s">
        <v>2978</v>
      </c>
      <c r="F359" s="133" t="s">
        <v>874</v>
      </c>
      <c r="G359" s="133" t="s">
        <v>36</v>
      </c>
      <c r="H359" s="105" t="str">
        <f>HYPERLINK("http://www.mediafire.com/?x4vouu1nut89l", "download link")</f>
        <v>download link</v>
      </c>
      <c r="I359" s="174"/>
    </row>
    <row r="360">
      <c r="A360" s="150">
        <v>38913.0</v>
      </c>
      <c r="B360" s="158"/>
      <c r="C360" s="116" t="str">
        <f t="shared" si="30"/>
        <v>setlist</v>
      </c>
      <c r="D360" s="149" t="s">
        <v>1270</v>
      </c>
      <c r="E360" s="149" t="s">
        <v>437</v>
      </c>
      <c r="F360" s="148" t="s">
        <v>433</v>
      </c>
      <c r="G360" s="148" t="s">
        <v>36</v>
      </c>
      <c r="H360" s="135" t="str">
        <f>HYPERLINK("http://www.mediafire.com/?yircg7im9s3kn", "download link")</f>
        <v>download link</v>
      </c>
      <c r="I360" s="173"/>
    </row>
    <row r="361">
      <c r="A361" s="130">
        <v>38914.0</v>
      </c>
      <c r="B361" s="131"/>
      <c r="C361" s="105" t="str">
        <f t="shared" si="30"/>
        <v>setlist</v>
      </c>
      <c r="D361" s="132" t="s">
        <v>2918</v>
      </c>
      <c r="E361" s="132" t="s">
        <v>652</v>
      </c>
      <c r="F361" s="133" t="s">
        <v>650</v>
      </c>
      <c r="G361" s="133">
        <v>192.0</v>
      </c>
      <c r="H361" s="105" t="str">
        <f>HYPERLINK("http://www.mediafire.com/?6uelql2vjrn16", "download link")</f>
        <v>download link</v>
      </c>
      <c r="I361" s="174"/>
    </row>
    <row r="362">
      <c r="A362" s="147">
        <v>38915.0</v>
      </c>
      <c r="B362" s="158"/>
      <c r="C362" s="116" t="str">
        <f t="shared" si="30"/>
        <v>setlist</v>
      </c>
      <c r="D362" s="149" t="s">
        <v>2979</v>
      </c>
      <c r="E362" s="149" t="s">
        <v>1090</v>
      </c>
      <c r="F362" s="148" t="s">
        <v>1091</v>
      </c>
      <c r="G362" s="158"/>
      <c r="H362" s="138"/>
      <c r="I362" s="173"/>
    </row>
    <row r="363">
      <c r="A363" s="130">
        <v>38916.0</v>
      </c>
      <c r="B363" s="131"/>
      <c r="C363" s="105" t="str">
        <f t="shared" si="30"/>
        <v>setlist</v>
      </c>
      <c r="D363" s="132" t="s">
        <v>2980</v>
      </c>
      <c r="E363" s="132" t="s">
        <v>1090</v>
      </c>
      <c r="F363" s="133" t="s">
        <v>1091</v>
      </c>
      <c r="G363" s="133" t="s">
        <v>36</v>
      </c>
      <c r="H363" s="105" t="str">
        <f>HYPERLINK("http://www.mediafire.com/?54jcnokrcnzin", "download link")</f>
        <v>download link</v>
      </c>
      <c r="I363" s="174"/>
    </row>
    <row r="364">
      <c r="A364" s="150">
        <v>38917.0</v>
      </c>
      <c r="B364" s="156"/>
      <c r="C364" s="116" t="str">
        <f t="shared" si="30"/>
        <v>setlist</v>
      </c>
      <c r="D364" s="153" t="s">
        <v>2981</v>
      </c>
      <c r="E364" s="153" t="s">
        <v>773</v>
      </c>
      <c r="F364" s="151" t="s">
        <v>472</v>
      </c>
      <c r="G364" s="151" t="s">
        <v>36</v>
      </c>
      <c r="H364" s="116" t="str">
        <f>HYPERLINK("http://www.mediafire.com/?8cswrmrz6ug92", "download link")</f>
        <v>download link</v>
      </c>
      <c r="I364" s="79"/>
    </row>
    <row r="365">
      <c r="A365" s="130">
        <v>38918.0</v>
      </c>
      <c r="B365" s="131"/>
      <c r="C365" s="105" t="str">
        <f t="shared" si="30"/>
        <v>setlist</v>
      </c>
      <c r="D365" s="132" t="s">
        <v>2932</v>
      </c>
      <c r="E365" s="132" t="s">
        <v>479</v>
      </c>
      <c r="F365" s="133" t="s">
        <v>480</v>
      </c>
      <c r="G365" s="133" t="s">
        <v>36</v>
      </c>
      <c r="H365" s="105" t="str">
        <f>HYPERLINK("http://www.mediafire.com/?b2tz59xwisg9b", "download link")</f>
        <v>download link</v>
      </c>
      <c r="I365" s="174"/>
    </row>
    <row r="366">
      <c r="A366" s="150">
        <v>38920.0</v>
      </c>
      <c r="B366" s="156"/>
      <c r="C366" s="116" t="str">
        <f t="shared" si="30"/>
        <v>setlist</v>
      </c>
      <c r="D366" s="153" t="s">
        <v>2927</v>
      </c>
      <c r="E366" s="153" t="s">
        <v>2928</v>
      </c>
      <c r="F366" s="151" t="s">
        <v>486</v>
      </c>
      <c r="G366" s="151" t="s">
        <v>36</v>
      </c>
      <c r="H366" s="116" t="str">
        <f>HYPERLINK("http://www.mediafire.com/?okxq6jch419x2", "download link")</f>
        <v>download link</v>
      </c>
      <c r="I366" s="79"/>
    </row>
    <row r="367">
      <c r="A367" s="350"/>
      <c r="B367" s="354"/>
      <c r="C367" s="352"/>
      <c r="D367" s="353" t="s">
        <v>2967</v>
      </c>
      <c r="E367" s="355"/>
      <c r="F367" s="354"/>
      <c r="G367" s="354"/>
      <c r="H367" s="351"/>
      <c r="I367" s="355"/>
    </row>
    <row r="368">
      <c r="A368" s="147">
        <v>38927.0</v>
      </c>
      <c r="B368" s="158"/>
      <c r="C368" s="116" t="str">
        <f t="shared" ref="C368:C370" si="31">HYPERLINK("http://phish.net/sideshows/trey-anastasio-band/?d="&amp;RIGHT(TEXT(A368,"mm/dd/yyyy"),4)&amp;"-"&amp;LEFT(TEXT(A368,"mm/dd/yyyy"),2)&amp;"-"&amp;MID(TEXT(A368,"mm/dd/yyyy"),4,2), "setlist")</f>
        <v>setlist</v>
      </c>
      <c r="D368" s="149" t="s">
        <v>2982</v>
      </c>
      <c r="E368" s="149" t="s">
        <v>2983</v>
      </c>
      <c r="F368" s="148" t="s">
        <v>701</v>
      </c>
      <c r="G368" s="158"/>
      <c r="H368" s="138"/>
      <c r="I368" s="173"/>
    </row>
    <row r="369">
      <c r="A369" s="130">
        <v>38928.0</v>
      </c>
      <c r="B369" s="131"/>
      <c r="C369" s="105" t="str">
        <f t="shared" si="31"/>
        <v>setlist</v>
      </c>
      <c r="D369" s="132" t="s">
        <v>2984</v>
      </c>
      <c r="E369" s="132" t="s">
        <v>764</v>
      </c>
      <c r="F369" s="133" t="s">
        <v>701</v>
      </c>
      <c r="G369" s="131"/>
      <c r="H369" s="108"/>
      <c r="I369" s="174"/>
    </row>
    <row r="370">
      <c r="A370" s="147">
        <v>38930.0</v>
      </c>
      <c r="B370" s="158"/>
      <c r="C370" s="116" t="str">
        <f t="shared" si="31"/>
        <v>setlist</v>
      </c>
      <c r="D370" s="149" t="s">
        <v>1786</v>
      </c>
      <c r="E370" s="149" t="s">
        <v>1603</v>
      </c>
      <c r="F370" s="148" t="s">
        <v>701</v>
      </c>
      <c r="G370" s="158"/>
      <c r="H370" s="138"/>
      <c r="I370" s="173"/>
    </row>
    <row r="371">
      <c r="A371" s="130">
        <v>38933.0</v>
      </c>
      <c r="B371" s="131"/>
      <c r="C371" s="105" t="str">
        <f>HYPERLINK("http://phish.net/sideshows/trey-anastasio-band/?showid=1300218476", "setlist")</f>
        <v>setlist</v>
      </c>
      <c r="D371" s="132" t="s">
        <v>2985</v>
      </c>
      <c r="E371" s="132" t="s">
        <v>593</v>
      </c>
      <c r="F371" s="133" t="s">
        <v>589</v>
      </c>
      <c r="G371" s="131"/>
      <c r="H371" s="108"/>
      <c r="I371" s="174"/>
    </row>
    <row r="372">
      <c r="A372" s="147">
        <v>38934.0</v>
      </c>
      <c r="B372" s="158"/>
      <c r="C372" s="116" t="str">
        <f t="shared" ref="C372:C373" si="32">HYPERLINK("http://phish.net/sideshows/trey-anastasio-band/?d="&amp;RIGHT(TEXT(A372,"mm/dd/yyyy"),4)&amp;"-"&amp;LEFT(TEXT(A372,"mm/dd/yyyy"),2)&amp;"-"&amp;MID(TEXT(A372,"mm/dd/yyyy"),4,2), "setlist")</f>
        <v>setlist</v>
      </c>
      <c r="D372" s="149" t="s">
        <v>1995</v>
      </c>
      <c r="E372" s="149" t="s">
        <v>1996</v>
      </c>
      <c r="F372" s="148" t="s">
        <v>589</v>
      </c>
      <c r="G372" s="158"/>
      <c r="H372" s="138"/>
      <c r="I372" s="173"/>
    </row>
    <row r="373">
      <c r="A373" s="130">
        <v>38937.0</v>
      </c>
      <c r="B373" s="131"/>
      <c r="C373" s="105" t="str">
        <f t="shared" si="32"/>
        <v>setlist</v>
      </c>
      <c r="D373" s="132" t="s">
        <v>2431</v>
      </c>
      <c r="E373" s="132" t="s">
        <v>2432</v>
      </c>
      <c r="F373" s="133" t="s">
        <v>712</v>
      </c>
      <c r="G373" s="131"/>
      <c r="H373" s="108"/>
      <c r="I373" s="174"/>
    </row>
    <row r="374">
      <c r="A374" s="350"/>
      <c r="B374" s="354"/>
      <c r="C374" s="352"/>
      <c r="D374" s="353" t="s">
        <v>2986</v>
      </c>
      <c r="E374" s="355"/>
      <c r="F374" s="354"/>
      <c r="G374" s="354"/>
      <c r="H374" s="351"/>
      <c r="I374" s="355"/>
    </row>
    <row r="375">
      <c r="A375" s="110">
        <v>38996.0</v>
      </c>
      <c r="B375" s="111"/>
      <c r="C375" s="116" t="str">
        <f t="shared" ref="C375:C381" si="33">HYPERLINK("http://phish.net/sideshows/trey-anastasio-band/?d="&amp;RIGHT(TEXT(A375,"mm/dd/yyyy"),4)&amp;"-"&amp;LEFT(TEXT(A375,"mm/dd/yyyy"),2)&amp;"-"&amp;MID(TEXT(A375,"mm/dd/yyyy"),4,2), "setlist")</f>
        <v>setlist</v>
      </c>
      <c r="D375" s="113" t="s">
        <v>1551</v>
      </c>
      <c r="E375" s="113" t="s">
        <v>162</v>
      </c>
      <c r="F375" s="114" t="s">
        <v>129</v>
      </c>
      <c r="G375" s="111"/>
      <c r="H375" s="359"/>
      <c r="I375" s="80"/>
    </row>
    <row r="376">
      <c r="A376" s="130">
        <v>38998.0</v>
      </c>
      <c r="B376" s="131"/>
      <c r="C376" s="105" t="str">
        <f t="shared" si="33"/>
        <v>setlist</v>
      </c>
      <c r="D376" s="132" t="s">
        <v>2987</v>
      </c>
      <c r="E376" s="132" t="s">
        <v>162</v>
      </c>
      <c r="F376" s="133" t="s">
        <v>129</v>
      </c>
      <c r="G376" s="133" t="s">
        <v>36</v>
      </c>
      <c r="H376" s="105" t="str">
        <f>HYPERLINK("http://www.mediafire.com/?6loct5yqa66m4", "download link")</f>
        <v>download link</v>
      </c>
      <c r="I376" s="174"/>
    </row>
    <row r="377">
      <c r="A377" s="150">
        <v>38999.0</v>
      </c>
      <c r="B377" s="156"/>
      <c r="C377" s="116" t="str">
        <f t="shared" si="33"/>
        <v>setlist</v>
      </c>
      <c r="D377" s="153" t="s">
        <v>2987</v>
      </c>
      <c r="E377" s="153" t="s">
        <v>162</v>
      </c>
      <c r="F377" s="151" t="s">
        <v>129</v>
      </c>
      <c r="G377" s="156"/>
      <c r="H377" s="145"/>
      <c r="I377" s="79"/>
    </row>
    <row r="378">
      <c r="A378" s="130">
        <v>39001.0</v>
      </c>
      <c r="B378" s="131"/>
      <c r="C378" s="105" t="str">
        <f t="shared" si="33"/>
        <v>setlist</v>
      </c>
      <c r="D378" s="132" t="s">
        <v>2903</v>
      </c>
      <c r="E378" s="132" t="s">
        <v>871</v>
      </c>
      <c r="F378" s="133" t="s">
        <v>212</v>
      </c>
      <c r="G378" s="133" t="s">
        <v>36</v>
      </c>
      <c r="H378" s="105" t="str">
        <f>HYPERLINK("http://www.mediafire.com/?kp1amb6lkqv1b", "download link")</f>
        <v>download link</v>
      </c>
      <c r="I378" s="132" t="s">
        <v>2988</v>
      </c>
    </row>
    <row r="379">
      <c r="A379" s="150">
        <v>39003.0</v>
      </c>
      <c r="B379" s="156"/>
      <c r="C379" s="116" t="str">
        <f t="shared" si="33"/>
        <v>setlist</v>
      </c>
      <c r="D379" s="153" t="s">
        <v>2989</v>
      </c>
      <c r="E379" s="153" t="s">
        <v>579</v>
      </c>
      <c r="F379" s="151" t="s">
        <v>446</v>
      </c>
      <c r="G379" s="151" t="s">
        <v>36</v>
      </c>
      <c r="H379" s="116" t="str">
        <f>HYPERLINK("http://www.mediafire.com/?wg6n1xi46499c", "download link")</f>
        <v>download link</v>
      </c>
      <c r="I379" s="79"/>
    </row>
    <row r="380">
      <c r="A380" s="130">
        <v>39004.0</v>
      </c>
      <c r="B380" s="131"/>
      <c r="C380" s="105" t="str">
        <f t="shared" si="33"/>
        <v>setlist</v>
      </c>
      <c r="D380" s="132" t="s">
        <v>2990</v>
      </c>
      <c r="E380" s="132" t="s">
        <v>2991</v>
      </c>
      <c r="F380" s="133" t="s">
        <v>430</v>
      </c>
      <c r="G380" s="133" t="s">
        <v>36</v>
      </c>
      <c r="H380" s="105" t="str">
        <f>HYPERLINK("http://www.mediafire.com/?wmavswr9eu6yj", "download link")</f>
        <v>download link</v>
      </c>
      <c r="I380" s="174"/>
    </row>
    <row r="381">
      <c r="A381" s="150">
        <v>39005.0</v>
      </c>
      <c r="B381" s="156"/>
      <c r="C381" s="116" t="str">
        <f t="shared" si="33"/>
        <v>setlist</v>
      </c>
      <c r="D381" s="153" t="s">
        <v>2837</v>
      </c>
      <c r="E381" s="153" t="s">
        <v>2327</v>
      </c>
      <c r="F381" s="151" t="s">
        <v>443</v>
      </c>
      <c r="G381" s="151" t="s">
        <v>36</v>
      </c>
      <c r="H381" s="116" t="str">
        <f>HYPERLINK("http://www.mediafire.com/?k17u7smr86s4o", "download link")</f>
        <v>download link</v>
      </c>
      <c r="I381" s="153" t="s">
        <v>2992</v>
      </c>
    </row>
    <row r="382">
      <c r="A382" s="130">
        <v>39008.0</v>
      </c>
      <c r="B382" s="131"/>
      <c r="C382" s="105" t="str">
        <f>HYPERLINK("http://phish.net/sideshows/trey-anastasio-band/?showid=1300223668", "setlist")</f>
        <v>setlist</v>
      </c>
      <c r="D382" s="132" t="s">
        <v>1080</v>
      </c>
      <c r="E382" s="132" t="s">
        <v>479</v>
      </c>
      <c r="F382" s="133" t="s">
        <v>480</v>
      </c>
      <c r="G382" s="133" t="s">
        <v>36</v>
      </c>
      <c r="H382" s="105" t="str">
        <f>HYPERLINK("http://www.mediafire.com/?u9q127sza2y21", "download link")</f>
        <v>download link</v>
      </c>
      <c r="I382" s="174"/>
    </row>
    <row r="383">
      <c r="A383" s="150">
        <v>39009.0</v>
      </c>
      <c r="B383" s="156"/>
      <c r="C383" s="116" t="str">
        <f>HYPERLINK("http://phish.net/sideshows/trey-anastasio-band/?showid=1300223697", "setlist")</f>
        <v>setlist</v>
      </c>
      <c r="D383" s="153" t="s">
        <v>1080</v>
      </c>
      <c r="E383" s="153" t="s">
        <v>479</v>
      </c>
      <c r="F383" s="151" t="s">
        <v>480</v>
      </c>
      <c r="G383" s="151" t="s">
        <v>36</v>
      </c>
      <c r="H383" s="116" t="str">
        <f>HYPERLINK("http://www.mediafire.com/?vc8emy68ene9f", "download link")</f>
        <v>download link</v>
      </c>
      <c r="I383" s="79"/>
    </row>
    <row r="384">
      <c r="A384" s="130">
        <v>39010.0</v>
      </c>
      <c r="B384" s="131"/>
      <c r="C384" s="105" t="str">
        <f>HYPERLINK("http://phish.net/sideshows/trey-anastasio-band/?d="&amp;RIGHT(TEXT(A384,"mm/dd/yyyy"),4)&amp;"-"&amp;LEFT(TEXT(A384,"mm/dd/yyyy"),2)&amp;"-"&amp;MID(TEXT(A384,"mm/dd/yyyy"),4,2), "setlist")</f>
        <v>setlist</v>
      </c>
      <c r="D384" s="132" t="s">
        <v>2993</v>
      </c>
      <c r="E384" s="132" t="s">
        <v>943</v>
      </c>
      <c r="F384" s="133" t="s">
        <v>472</v>
      </c>
      <c r="G384" s="131"/>
      <c r="H384" s="108"/>
      <c r="I384" s="174"/>
    </row>
    <row r="385">
      <c r="A385" s="150">
        <v>39011.0</v>
      </c>
      <c r="B385" s="156"/>
      <c r="C385" s="116" t="str">
        <f>HYPERLINK("http://phish.net/sideshows/trey-anastasio-band/?showid=1300223836", "setlist")</f>
        <v>setlist</v>
      </c>
      <c r="D385" s="153" t="s">
        <v>1086</v>
      </c>
      <c r="E385" s="153" t="s">
        <v>711</v>
      </c>
      <c r="F385" s="151" t="s">
        <v>712</v>
      </c>
      <c r="G385" s="156"/>
      <c r="H385" s="145"/>
      <c r="I385" s="79"/>
    </row>
    <row r="386">
      <c r="A386" s="350"/>
      <c r="B386" s="354"/>
      <c r="C386" s="352"/>
      <c r="D386" s="353" t="s">
        <v>2827</v>
      </c>
      <c r="E386" s="355"/>
      <c r="F386" s="354"/>
      <c r="G386" s="354"/>
      <c r="H386" s="351"/>
      <c r="I386" s="355"/>
    </row>
    <row r="387">
      <c r="A387" s="150">
        <v>39012.0</v>
      </c>
      <c r="B387" s="158"/>
      <c r="C387" s="116" t="str">
        <f>HYPERLINK("http://phish.net/sideshows/trey-anastasio-band/?showid=1319078347", "setlist")</f>
        <v>setlist</v>
      </c>
      <c r="D387" s="149" t="s">
        <v>2994</v>
      </c>
      <c r="E387" s="149" t="s">
        <v>499</v>
      </c>
      <c r="F387" s="148" t="s">
        <v>203</v>
      </c>
      <c r="G387" s="148" t="s">
        <v>36</v>
      </c>
      <c r="H387" s="135" t="str">
        <f>HYPERLINK("http://www.mediafire.com/?971b7bc3x9n1a", "download link")</f>
        <v>download link</v>
      </c>
      <c r="I387" s="173"/>
    </row>
    <row r="388">
      <c r="A388" s="350"/>
      <c r="B388" s="354"/>
      <c r="C388" s="352"/>
      <c r="D388" s="353" t="s">
        <v>2995</v>
      </c>
      <c r="E388" s="355"/>
      <c r="F388" s="354"/>
      <c r="G388" s="354"/>
      <c r="H388" s="351"/>
      <c r="I388" s="355"/>
    </row>
    <row r="389">
      <c r="A389" s="150">
        <v>39013.0</v>
      </c>
      <c r="B389" s="158"/>
      <c r="C389" s="116" t="str">
        <f>HYPERLINK("http://phish.net/sideshows/trey-anastasio-band/?d="&amp;RIGHT(TEXT(A389,"mm/dd/yyyy"),4)&amp;"-"&amp;LEFT(TEXT(A389,"mm/dd/yyyy"),2)&amp;"-"&amp;MID(TEXT(A389,"mm/dd/yyyy"),4,2), "setlist")</f>
        <v>setlist</v>
      </c>
      <c r="D389" s="149" t="s">
        <v>897</v>
      </c>
      <c r="E389" s="149" t="s">
        <v>488</v>
      </c>
      <c r="F389" s="148" t="s">
        <v>203</v>
      </c>
      <c r="G389" s="148" t="s">
        <v>36</v>
      </c>
      <c r="H389" s="135" t="str">
        <f>HYPERLINK("http://www.mediafire.com/?v44ccop5p44lo", "download link")</f>
        <v>download link</v>
      </c>
      <c r="I389" s="173"/>
    </row>
    <row r="390">
      <c r="A390" s="130">
        <v>39014.0</v>
      </c>
      <c r="B390" s="131"/>
      <c r="C390" s="105" t="str">
        <f>HYPERLINK("http://phish.net/sideshows/trey-anastasio-band/?showid=1300224209", "setlist")</f>
        <v>setlist</v>
      </c>
      <c r="D390" s="132" t="s">
        <v>897</v>
      </c>
      <c r="E390" s="132" t="s">
        <v>488</v>
      </c>
      <c r="F390" s="133" t="s">
        <v>203</v>
      </c>
      <c r="G390" s="133" t="s">
        <v>36</v>
      </c>
      <c r="H390" s="105" t="str">
        <f>HYPERLINK("http://www.mediafire.com/?mtexetbgmud6d", "download link")</f>
        <v>download link</v>
      </c>
      <c r="I390" s="174"/>
    </row>
    <row r="391">
      <c r="A391" s="150">
        <v>39017.0</v>
      </c>
      <c r="B391" s="158"/>
      <c r="C391" s="116" t="str">
        <f>HYPERLINK("http://phish.net/sideshows/trey-anastasio-band/?showid=1300224327", "setlist")</f>
        <v>setlist</v>
      </c>
      <c r="D391" s="149" t="s">
        <v>2996</v>
      </c>
      <c r="E391" s="149" t="s">
        <v>1804</v>
      </c>
      <c r="F391" s="148" t="s">
        <v>1805</v>
      </c>
      <c r="G391" s="148" t="s">
        <v>36</v>
      </c>
      <c r="H391" s="135" t="str">
        <f>HYPERLINK("http://www.mediafire.com/?11gotoo5uo1to", "download link")</f>
        <v>download link</v>
      </c>
      <c r="I391" s="173"/>
    </row>
    <row r="392">
      <c r="A392" s="364"/>
      <c r="B392" s="365"/>
      <c r="C392" s="366"/>
      <c r="D392" s="353" t="s">
        <v>2997</v>
      </c>
      <c r="E392" s="367"/>
      <c r="F392" s="365"/>
      <c r="G392" s="365"/>
      <c r="H392" s="358"/>
      <c r="I392" s="367"/>
    </row>
    <row r="393">
      <c r="A393" s="147">
        <v>39018.0</v>
      </c>
      <c r="B393" s="158"/>
      <c r="C393" s="116" t="str">
        <f>HYPERLINK("http://phish.net/sideshows/trey-anastasio-band/?d="&amp;RIGHT(TEXT(A393,"mm/dd/yyyy"),4)&amp;"-"&amp;LEFT(TEXT(A393,"mm/dd/yyyy"),2)&amp;"-"&amp;MID(TEXT(A393,"mm/dd/yyyy"),4,2), "setlist")</f>
        <v>setlist</v>
      </c>
      <c r="D393" s="149" t="s">
        <v>2996</v>
      </c>
      <c r="E393" s="149" t="s">
        <v>1804</v>
      </c>
      <c r="F393" s="148" t="s">
        <v>1805</v>
      </c>
      <c r="G393" s="148" t="s">
        <v>36</v>
      </c>
      <c r="H393" s="135" t="str">
        <f>HYPERLINK("http://www.mediafire.com/?91u5u4wow91hg", "download link")</f>
        <v>download link</v>
      </c>
      <c r="I393" s="173"/>
    </row>
    <row r="394">
      <c r="A394" s="130">
        <v>39019.0</v>
      </c>
      <c r="B394" s="131"/>
      <c r="C394" s="105" t="str">
        <f>HYPERLINK("http://phish.net/sideshows/trey-anastasio-band/?showid=1324834508", "setlist")</f>
        <v>setlist</v>
      </c>
      <c r="D394" s="132" t="s">
        <v>2937</v>
      </c>
      <c r="E394" s="132" t="s">
        <v>1804</v>
      </c>
      <c r="F394" s="133" t="s">
        <v>1805</v>
      </c>
      <c r="G394" s="133" t="s">
        <v>36</v>
      </c>
      <c r="H394" s="105" t="str">
        <f>HYPERLINK("http://www.mediafire.com/?b02ya6lwsvc1h", "download link")</f>
        <v>download link</v>
      </c>
      <c r="I394" s="132" t="s">
        <v>2998</v>
      </c>
    </row>
    <row r="395">
      <c r="A395" s="350"/>
      <c r="B395" s="354"/>
      <c r="C395" s="352"/>
      <c r="D395" s="353" t="s">
        <v>2995</v>
      </c>
      <c r="E395" s="355"/>
      <c r="F395" s="354"/>
      <c r="G395" s="354"/>
      <c r="H395" s="351"/>
      <c r="I395" s="355"/>
    </row>
    <row r="396">
      <c r="A396" s="150">
        <v>39021.0</v>
      </c>
      <c r="B396" s="156"/>
      <c r="C396" s="116" t="str">
        <f t="shared" ref="C396:C399" si="34">HYPERLINK("http://phish.net/sideshows/trey-anastasio-band/?d="&amp;RIGHT(TEXT(A396,"mm/dd/yyyy"),4)&amp;"-"&amp;LEFT(TEXT(A396,"mm/dd/yyyy"),2)&amp;"-"&amp;MID(TEXT(A396,"mm/dd/yyyy"),4,2), "setlist")</f>
        <v>setlist</v>
      </c>
      <c r="D396" s="153" t="s">
        <v>2999</v>
      </c>
      <c r="E396" s="153" t="s">
        <v>591</v>
      </c>
      <c r="F396" s="151" t="s">
        <v>589</v>
      </c>
      <c r="G396" s="151" t="s">
        <v>36</v>
      </c>
      <c r="H396" s="116" t="str">
        <f>HYPERLINK("http://www.mediafire.com/?e119cu2f3uot5", "download link")</f>
        <v>download link</v>
      </c>
      <c r="I396" s="79"/>
    </row>
    <row r="397">
      <c r="A397" s="130">
        <v>39023.0</v>
      </c>
      <c r="B397" s="131"/>
      <c r="C397" s="105" t="str">
        <f t="shared" si="34"/>
        <v>setlist</v>
      </c>
      <c r="D397" s="132" t="s">
        <v>655</v>
      </c>
      <c r="E397" s="132" t="s">
        <v>656</v>
      </c>
      <c r="F397" s="133" t="s">
        <v>650</v>
      </c>
      <c r="G397" s="133" t="s">
        <v>36</v>
      </c>
      <c r="H397" s="105" t="str">
        <f>HYPERLINK("http://www.mediafire.com/?lk6tspe6mol74", "download link")</f>
        <v>download link</v>
      </c>
      <c r="I397" s="174"/>
    </row>
    <row r="398">
      <c r="A398" s="150">
        <v>39024.0</v>
      </c>
      <c r="B398" s="156"/>
      <c r="C398" s="116" t="str">
        <f t="shared" si="34"/>
        <v>setlist</v>
      </c>
      <c r="D398" s="153" t="s">
        <v>3000</v>
      </c>
      <c r="E398" s="153" t="s">
        <v>1481</v>
      </c>
      <c r="F398" s="151" t="s">
        <v>443</v>
      </c>
      <c r="G398" s="151" t="s">
        <v>36</v>
      </c>
      <c r="H398" s="116" t="str">
        <f>HYPERLINK("http://www.mediafire.com/?o7lq7t3aqu3ep", "download link")</f>
        <v>download link</v>
      </c>
      <c r="I398" s="79"/>
    </row>
    <row r="399">
      <c r="A399" s="130">
        <v>39025.0</v>
      </c>
      <c r="B399" s="131"/>
      <c r="C399" s="105" t="str">
        <f t="shared" si="34"/>
        <v>setlist</v>
      </c>
      <c r="D399" s="132" t="s">
        <v>3001</v>
      </c>
      <c r="E399" s="132" t="s">
        <v>168</v>
      </c>
      <c r="F399" s="133" t="s">
        <v>129</v>
      </c>
      <c r="G399" s="133" t="s">
        <v>36</v>
      </c>
      <c r="H399" s="105" t="str">
        <f>HYPERLINK("http://www.mediafire.com/?fokxykxn851n3", "download link")</f>
        <v>download link</v>
      </c>
      <c r="I399" s="174"/>
    </row>
    <row r="400">
      <c r="A400" s="350"/>
      <c r="B400" s="354"/>
      <c r="C400" s="352"/>
      <c r="D400" s="353" t="s">
        <v>2827</v>
      </c>
      <c r="E400" s="355"/>
      <c r="F400" s="354"/>
      <c r="G400" s="354"/>
      <c r="H400" s="351"/>
      <c r="I400" s="355"/>
    </row>
    <row r="401">
      <c r="A401" s="147">
        <v>39031.0</v>
      </c>
      <c r="B401" s="148" t="s">
        <v>32</v>
      </c>
      <c r="C401" s="116" t="str">
        <f>HYPERLINK("http://phish.net/sideshows/trey-anastasio-band/?d="&amp;RIGHT(TEXT(A401,"mm/dd/yyyy"),4)&amp;"-"&amp;LEFT(TEXT(A401,"mm/dd/yyyy"),2)&amp;"-"&amp;MID(TEXT(A401,"mm/dd/yyyy"),4,2), "setlist")</f>
        <v>setlist</v>
      </c>
      <c r="D401" s="149" t="s">
        <v>2873</v>
      </c>
      <c r="E401" s="149" t="s">
        <v>871</v>
      </c>
      <c r="F401" s="148" t="s">
        <v>212</v>
      </c>
      <c r="G401" s="148">
        <v>64.0</v>
      </c>
      <c r="H401" s="116" t="str">
        <f>HYPERLINK("http://www.mediafire.com/download/zebf58s9739o3j9/2006-11-10_-_WXPN-FM_Indre_Studios_-_Philadelphia,_PA.rar", "download link")</f>
        <v>download link</v>
      </c>
      <c r="I401" s="173"/>
    </row>
    <row r="402">
      <c r="A402" s="350"/>
      <c r="B402" s="354"/>
      <c r="C402" s="352"/>
      <c r="D402" s="353" t="s">
        <v>2995</v>
      </c>
      <c r="E402" s="355"/>
      <c r="F402" s="354"/>
      <c r="G402" s="354"/>
      <c r="H402" s="351"/>
      <c r="I402" s="355"/>
    </row>
    <row r="403">
      <c r="A403" s="150">
        <v>39057.0</v>
      </c>
      <c r="B403" s="156"/>
      <c r="C403" s="116" t="str">
        <f t="shared" ref="C403:C407" si="35">HYPERLINK("http://phish.net/sideshows/trey-anastasio-band/?d="&amp;RIGHT(TEXT(A403,"mm/dd/yyyy"),4)&amp;"-"&amp;LEFT(TEXT(A403,"mm/dd/yyyy"),2)&amp;"-"&amp;MID(TEXT(A403,"mm/dd/yyyy"),4,2), "setlist")</f>
        <v>setlist</v>
      </c>
      <c r="D403" s="153" t="s">
        <v>3002</v>
      </c>
      <c r="E403" s="153" t="s">
        <v>922</v>
      </c>
      <c r="F403" s="151" t="s">
        <v>679</v>
      </c>
      <c r="G403" s="151" t="s">
        <v>36</v>
      </c>
      <c r="H403" s="116" t="str">
        <f>HYPERLINK("http://www.mediafire.com/?7pozaicd1p26x", "download link")</f>
        <v>download link</v>
      </c>
      <c r="I403" s="79"/>
    </row>
    <row r="404">
      <c r="A404" s="130">
        <v>39058.0</v>
      </c>
      <c r="B404" s="131"/>
      <c r="C404" s="105" t="str">
        <f t="shared" si="35"/>
        <v>setlist</v>
      </c>
      <c r="D404" s="132" t="s">
        <v>914</v>
      </c>
      <c r="E404" s="132" t="s">
        <v>683</v>
      </c>
      <c r="F404" s="133" t="s">
        <v>679</v>
      </c>
      <c r="G404" s="133" t="s">
        <v>36</v>
      </c>
      <c r="H404" s="105" t="str">
        <f>HYPERLINK("http://www.mediafire.com/?h7h18lh115t8k", "download link")</f>
        <v>download link</v>
      </c>
      <c r="I404" s="174"/>
    </row>
    <row r="405">
      <c r="A405" s="150">
        <v>39059.0</v>
      </c>
      <c r="B405" s="156"/>
      <c r="C405" s="116" t="str">
        <f t="shared" si="35"/>
        <v>setlist</v>
      </c>
      <c r="D405" s="153" t="s">
        <v>914</v>
      </c>
      <c r="E405" s="153" t="s">
        <v>683</v>
      </c>
      <c r="F405" s="151" t="s">
        <v>679</v>
      </c>
      <c r="G405" s="151" t="s">
        <v>36</v>
      </c>
      <c r="H405" s="116" t="str">
        <f>HYPERLINK("http://www.mediafire.com/?k5241ok92413f", "download link")</f>
        <v>download link</v>
      </c>
      <c r="I405" s="79"/>
    </row>
    <row r="406">
      <c r="A406" s="130">
        <v>39060.0</v>
      </c>
      <c r="B406" s="131"/>
      <c r="C406" s="105" t="str">
        <f t="shared" si="35"/>
        <v>setlist</v>
      </c>
      <c r="D406" s="132" t="s">
        <v>1167</v>
      </c>
      <c r="E406" s="132" t="s">
        <v>1168</v>
      </c>
      <c r="F406" s="133" t="s">
        <v>679</v>
      </c>
      <c r="G406" s="133" t="s">
        <v>36</v>
      </c>
      <c r="H406" s="105" t="str">
        <f>HYPERLINK("http://www.mediafire.com/?55w4u1twlzhe1", "download link")</f>
        <v>download link</v>
      </c>
      <c r="I406" s="174"/>
    </row>
    <row r="407">
      <c r="A407" s="150">
        <v>39061.0</v>
      </c>
      <c r="B407" s="156"/>
      <c r="C407" s="116" t="str">
        <f t="shared" si="35"/>
        <v>setlist</v>
      </c>
      <c r="D407" s="153" t="s">
        <v>1383</v>
      </c>
      <c r="E407" s="153" t="s">
        <v>911</v>
      </c>
      <c r="F407" s="151" t="s">
        <v>679</v>
      </c>
      <c r="G407" s="151" t="s">
        <v>36</v>
      </c>
      <c r="H407" s="116" t="str">
        <f>HYPERLINK("http://www.mediafire.com/?2y7mkz94kap5u", "download link")</f>
        <v>download link</v>
      </c>
      <c r="I407" s="79"/>
    </row>
    <row r="408">
      <c r="A408" s="350"/>
      <c r="B408" s="354"/>
      <c r="C408" s="352"/>
      <c r="D408" s="353" t="s">
        <v>3003</v>
      </c>
      <c r="E408" s="355"/>
      <c r="F408" s="354"/>
      <c r="G408" s="354"/>
      <c r="H408" s="351"/>
      <c r="I408" s="355"/>
    </row>
    <row r="409">
      <c r="A409" s="150">
        <v>39078.0</v>
      </c>
      <c r="B409" s="158"/>
      <c r="C409" s="116" t="str">
        <f t="shared" ref="C409:C413" si="36">HYPERLINK("http://phish.net/sideshows/trey-anastasio-band/?d="&amp;RIGHT(TEXT(A409,"mm/dd/yyyy"),4)&amp;"-"&amp;LEFT(TEXT(A409,"mm/dd/yyyy"),2)&amp;"-"&amp;MID(TEXT(A409,"mm/dd/yyyy"),4,2), "setlist")</f>
        <v>setlist</v>
      </c>
      <c r="D409" s="149" t="s">
        <v>2838</v>
      </c>
      <c r="E409" s="149" t="s">
        <v>393</v>
      </c>
      <c r="F409" s="148" t="s">
        <v>394</v>
      </c>
      <c r="G409" s="148" t="s">
        <v>36</v>
      </c>
      <c r="H409" s="135" t="str">
        <f>HYPERLINK("http://www.mediafire.com/?y24903l8y5645", "download link")</f>
        <v>download link</v>
      </c>
      <c r="I409" s="173"/>
    </row>
    <row r="410">
      <c r="A410" s="130">
        <v>39079.0</v>
      </c>
      <c r="B410" s="131"/>
      <c r="C410" s="105" t="str">
        <f t="shared" si="36"/>
        <v>setlist</v>
      </c>
      <c r="D410" s="132" t="s">
        <v>958</v>
      </c>
      <c r="E410" s="132" t="s">
        <v>94</v>
      </c>
      <c r="F410" s="133" t="s">
        <v>95</v>
      </c>
      <c r="G410" s="133" t="s">
        <v>36</v>
      </c>
      <c r="H410" s="105" t="str">
        <f>HYPERLINK("http://www.mediafire.com/?3cf5d87ukvb7q", "download link")</f>
        <v>download link</v>
      </c>
      <c r="I410" s="174"/>
    </row>
    <row r="411">
      <c r="A411" s="150">
        <v>39080.0</v>
      </c>
      <c r="B411" s="158"/>
      <c r="C411" s="116" t="str">
        <f t="shared" si="36"/>
        <v>setlist</v>
      </c>
      <c r="D411" s="149" t="s">
        <v>866</v>
      </c>
      <c r="E411" s="149" t="s">
        <v>309</v>
      </c>
      <c r="F411" s="148" t="s">
        <v>129</v>
      </c>
      <c r="G411" s="148" t="s">
        <v>36</v>
      </c>
      <c r="H411" s="135" t="str">
        <f>HYPERLINK("http://www.mediafire.com/?8nrf5x81c7ag4", "download link")</f>
        <v>download link</v>
      </c>
      <c r="I411" s="173"/>
    </row>
    <row r="412">
      <c r="A412" s="130">
        <v>39081.0</v>
      </c>
      <c r="B412" s="131"/>
      <c r="C412" s="105" t="str">
        <f t="shared" si="36"/>
        <v>setlist</v>
      </c>
      <c r="D412" s="132" t="s">
        <v>2990</v>
      </c>
      <c r="E412" s="132" t="s">
        <v>2421</v>
      </c>
      <c r="F412" s="133" t="s">
        <v>43</v>
      </c>
      <c r="G412" s="133" t="s">
        <v>36</v>
      </c>
      <c r="H412" s="105" t="str">
        <f>HYPERLINK("http://www.mediafire.com/?m9ar420m4iezu", "download link")</f>
        <v>download link</v>
      </c>
      <c r="I412" s="174"/>
    </row>
    <row r="413">
      <c r="A413" s="150">
        <v>39082.0</v>
      </c>
      <c r="B413" s="158"/>
      <c r="C413" s="116" t="str">
        <f t="shared" si="36"/>
        <v>setlist</v>
      </c>
      <c r="D413" s="149" t="s">
        <v>2990</v>
      </c>
      <c r="E413" s="149" t="s">
        <v>2421</v>
      </c>
      <c r="F413" s="148" t="s">
        <v>43</v>
      </c>
      <c r="G413" s="148" t="s">
        <v>36</v>
      </c>
      <c r="H413" s="135" t="str">
        <f>HYPERLINK("http://www.mediafire.com/?m3tqm47gpm6b7", "download link")</f>
        <v>download link</v>
      </c>
      <c r="I413" s="173"/>
    </row>
    <row r="414">
      <c r="A414" s="350"/>
      <c r="B414" s="354"/>
      <c r="C414" s="352"/>
      <c r="D414" s="353" t="s">
        <v>2879</v>
      </c>
      <c r="E414" s="350"/>
      <c r="F414" s="351"/>
      <c r="G414" s="354"/>
      <c r="H414" s="351"/>
      <c r="I414" s="355"/>
    </row>
    <row r="415">
      <c r="A415" s="110">
        <v>39120.0</v>
      </c>
      <c r="B415" s="111"/>
      <c r="C415" s="116" t="str">
        <f>HYPERLINK("http://phish.net/sideshows/trey-anastasio-band/?d="&amp;RIGHT(TEXT(A415,"mm/dd/yyyy"),4)&amp;"-"&amp;LEFT(TEXT(A415,"mm/dd/yyyy"),2)&amp;"-"&amp;MID(TEXT(A415,"mm/dd/yyyy"),4,2), "setlist")</f>
        <v>setlist</v>
      </c>
      <c r="D415" s="113" t="s">
        <v>3004</v>
      </c>
      <c r="E415" s="113" t="s">
        <v>162</v>
      </c>
      <c r="F415" s="114" t="s">
        <v>129</v>
      </c>
      <c r="G415" s="111"/>
      <c r="H415" s="359"/>
      <c r="I415" s="80"/>
    </row>
    <row r="416">
      <c r="A416" s="350"/>
      <c r="B416" s="354"/>
      <c r="C416" s="352"/>
      <c r="D416" s="353" t="s">
        <v>3005</v>
      </c>
      <c r="E416" s="350"/>
      <c r="F416" s="351"/>
      <c r="G416" s="354"/>
      <c r="H416" s="351"/>
      <c r="I416" s="355"/>
    </row>
    <row r="417">
      <c r="A417" s="150">
        <v>39149.0</v>
      </c>
      <c r="B417" s="158"/>
      <c r="C417" s="116" t="str">
        <f t="shared" ref="C417:C418" si="37">HYPERLINK("http://phish.net/sideshows/trey-anastasio-band/?d="&amp;RIGHT(TEXT(A417,"mm/dd/yyyy"),4)&amp;"-"&amp;LEFT(TEXT(A417,"mm/dd/yyyy"),2)&amp;"-"&amp;MID(TEXT(A417,"mm/dd/yyyy"),4,2), "setlist")</f>
        <v>setlist</v>
      </c>
      <c r="D417" s="149" t="s">
        <v>3006</v>
      </c>
      <c r="E417" s="149" t="s">
        <v>3007</v>
      </c>
      <c r="F417" s="148" t="s">
        <v>1133</v>
      </c>
      <c r="G417" s="148" t="s">
        <v>36</v>
      </c>
      <c r="H417" s="135" t="str">
        <f>HYPERLINK("http://www.mediafire.com/?k7k1fwek1anr2", "download link")</f>
        <v>download link</v>
      </c>
      <c r="I417" s="173"/>
    </row>
    <row r="418">
      <c r="A418" s="130">
        <v>39150.0</v>
      </c>
      <c r="B418" s="131"/>
      <c r="C418" s="105" t="str">
        <f t="shared" si="37"/>
        <v>setlist</v>
      </c>
      <c r="D418" s="132" t="s">
        <v>3008</v>
      </c>
      <c r="E418" s="132" t="s">
        <v>1471</v>
      </c>
      <c r="F418" s="133" t="s">
        <v>1133</v>
      </c>
      <c r="G418" s="133" t="s">
        <v>36</v>
      </c>
      <c r="H418" s="105" t="str">
        <f>HYPERLINK("http://www.mediafire.com/?fm647clzkt130", "download link")</f>
        <v>download link</v>
      </c>
      <c r="I418" s="174"/>
    </row>
    <row r="419">
      <c r="A419" s="350"/>
      <c r="B419" s="354"/>
      <c r="C419" s="352"/>
      <c r="D419" s="353" t="s">
        <v>2827</v>
      </c>
      <c r="E419" s="350"/>
      <c r="F419" s="351"/>
      <c r="G419" s="354"/>
      <c r="H419" s="351"/>
      <c r="I419" s="355"/>
    </row>
    <row r="420">
      <c r="A420" s="150">
        <v>39635.0</v>
      </c>
      <c r="B420" s="158"/>
      <c r="C420" s="116" t="str">
        <f>HYPERLINK("http://phish.net/sideshows/trey-anastasio-band/?showid=1319058367", "setlist")</f>
        <v>setlist</v>
      </c>
      <c r="D420" s="149" t="s">
        <v>3009</v>
      </c>
      <c r="E420" s="149" t="s">
        <v>3010</v>
      </c>
      <c r="F420" s="148" t="s">
        <v>712</v>
      </c>
      <c r="G420" s="148" t="s">
        <v>36</v>
      </c>
      <c r="H420" s="135" t="str">
        <f>HYPERLINK("http://www.mediafire.com/?ljltxx5gv7wm3", "download link")</f>
        <v>download link</v>
      </c>
      <c r="I420" s="149" t="s">
        <v>3011</v>
      </c>
    </row>
    <row r="421">
      <c r="A421" s="130">
        <v>39662.0</v>
      </c>
      <c r="B421" s="131"/>
      <c r="C421" s="105" t="str">
        <f>HYPERLINK("http://phish.net/sideshows/trey-anastasio-band/?showid=1319073223", "setlist")</f>
        <v>setlist</v>
      </c>
      <c r="D421" s="132" t="s">
        <v>3012</v>
      </c>
      <c r="E421" s="132" t="s">
        <v>315</v>
      </c>
      <c r="F421" s="133" t="s">
        <v>298</v>
      </c>
      <c r="G421" s="133" t="s">
        <v>36</v>
      </c>
      <c r="H421" s="105" t="str">
        <f>HYPERLINK("http://www.mediafire.com/?hav54epgn2j7h", "download link")</f>
        <v>download link</v>
      </c>
      <c r="I421" s="174"/>
    </row>
    <row r="422">
      <c r="A422" s="350"/>
      <c r="B422" s="354"/>
      <c r="C422" s="352"/>
      <c r="D422" s="353" t="s">
        <v>3013</v>
      </c>
      <c r="E422" s="355"/>
      <c r="F422" s="354"/>
      <c r="G422" s="354"/>
      <c r="H422" s="351"/>
      <c r="I422" s="355"/>
    </row>
    <row r="423">
      <c r="A423" s="150">
        <v>39667.0</v>
      </c>
      <c r="B423" s="158"/>
      <c r="C423" s="116" t="str">
        <f>HYPERLINK("http://phish.net/sideshows/trey-anastasio-band/?showid=1300084455", "setlist")</f>
        <v>setlist</v>
      </c>
      <c r="D423" s="149" t="s">
        <v>3014</v>
      </c>
      <c r="E423" s="149" t="s">
        <v>2294</v>
      </c>
      <c r="F423" s="148" t="s">
        <v>129</v>
      </c>
      <c r="G423" s="148" t="s">
        <v>36</v>
      </c>
      <c r="H423" s="135" t="str">
        <f>HYPERLINK("http://www.mediafire.com/?w6yi6865avdfv", "download link")</f>
        <v>download link</v>
      </c>
      <c r="I423" s="173"/>
    </row>
    <row r="424">
      <c r="A424" s="130">
        <v>39670.0</v>
      </c>
      <c r="B424" s="131"/>
      <c r="C424" s="105" t="str">
        <f>HYPERLINK("http://phish.net/sideshows/trey-anastasio-band/?d="&amp;RIGHT(TEXT(A424,"mm/dd/yyyy"),4)&amp;"-"&amp;LEFT(TEXT(A424,"mm/dd/yyyy"),2)&amp;"-"&amp;MID(TEXT(A424,"mm/dd/yyyy"),4,2), "setlist")</f>
        <v>setlist</v>
      </c>
      <c r="D424" s="132" t="s">
        <v>3015</v>
      </c>
      <c r="E424" s="132" t="s">
        <v>3016</v>
      </c>
      <c r="F424" s="133" t="s">
        <v>43</v>
      </c>
      <c r="G424" s="131"/>
      <c r="H424" s="108"/>
      <c r="I424" s="174"/>
    </row>
    <row r="425">
      <c r="A425" s="350"/>
      <c r="B425" s="354"/>
      <c r="C425" s="352"/>
      <c r="D425" s="353" t="s">
        <v>3017</v>
      </c>
      <c r="E425" s="355"/>
      <c r="F425" s="354"/>
      <c r="G425" s="354"/>
      <c r="H425" s="351"/>
      <c r="I425" s="355"/>
    </row>
    <row r="426">
      <c r="A426" s="150">
        <v>39718.0</v>
      </c>
      <c r="B426" s="158"/>
      <c r="C426" s="116" t="str">
        <f>HYPERLINK("http://phish.net/sideshows/trey-anastasio-band/?showid=1320505147", "setlist")</f>
        <v>setlist</v>
      </c>
      <c r="D426" s="149" t="s">
        <v>2918</v>
      </c>
      <c r="E426" s="149" t="s">
        <v>652</v>
      </c>
      <c r="F426" s="148" t="s">
        <v>650</v>
      </c>
      <c r="G426" s="148" t="s">
        <v>36</v>
      </c>
      <c r="H426" s="135" t="str">
        <f>HYPERLINK("http://www.mediafire.com/?jj9qxf7we2urx", "download link")</f>
        <v>download link</v>
      </c>
      <c r="I426" s="173"/>
    </row>
    <row r="427">
      <c r="A427" s="350"/>
      <c r="B427" s="354"/>
      <c r="C427" s="352"/>
      <c r="D427" s="353" t="s">
        <v>3013</v>
      </c>
      <c r="E427" s="355"/>
      <c r="F427" s="354"/>
      <c r="G427" s="354"/>
      <c r="H427" s="351"/>
      <c r="I427" s="355"/>
    </row>
    <row r="428">
      <c r="A428" s="150">
        <v>39737.0</v>
      </c>
      <c r="B428" s="158"/>
      <c r="C428" s="116" t="str">
        <f t="shared" ref="C428:C435" si="38">HYPERLINK("http://phish.net/sideshows/trey-anastasio-band/?d="&amp;RIGHT(TEXT(A428,"mm/dd/yyyy"),4)&amp;"-"&amp;LEFT(TEXT(A428,"mm/dd/yyyy"),2)&amp;"-"&amp;MID(TEXT(A428,"mm/dd/yyyy"),4,2), "setlist")</f>
        <v>setlist</v>
      </c>
      <c r="D428" s="149" t="s">
        <v>863</v>
      </c>
      <c r="E428" s="149" t="s">
        <v>162</v>
      </c>
      <c r="F428" s="148" t="s">
        <v>129</v>
      </c>
      <c r="G428" s="148" t="s">
        <v>36</v>
      </c>
      <c r="H428" s="135" t="str">
        <f>HYPERLINK("http://www.mediafire.com/?006i6pbxapo26", "download link")</f>
        <v>download link</v>
      </c>
      <c r="I428" s="173"/>
    </row>
    <row r="429">
      <c r="A429" s="130">
        <v>39738.0</v>
      </c>
      <c r="B429" s="131"/>
      <c r="C429" s="105" t="str">
        <f t="shared" si="38"/>
        <v>setlist</v>
      </c>
      <c r="D429" s="132" t="s">
        <v>2948</v>
      </c>
      <c r="E429" s="132" t="s">
        <v>2949</v>
      </c>
      <c r="F429" s="133" t="s">
        <v>171</v>
      </c>
      <c r="G429" s="133" t="s">
        <v>36</v>
      </c>
      <c r="H429" s="105" t="str">
        <f>HYPERLINK("http://www.mediafire.com/?87udr14rc4pac", "download link")</f>
        <v>download link</v>
      </c>
      <c r="I429" s="174"/>
    </row>
    <row r="430">
      <c r="A430" s="150">
        <v>39739.0</v>
      </c>
      <c r="B430" s="158"/>
      <c r="C430" s="116" t="str">
        <f t="shared" si="38"/>
        <v>setlist</v>
      </c>
      <c r="D430" s="149" t="s">
        <v>866</v>
      </c>
      <c r="E430" s="149" t="s">
        <v>309</v>
      </c>
      <c r="F430" s="148" t="s">
        <v>129</v>
      </c>
      <c r="G430" s="148" t="s">
        <v>36</v>
      </c>
      <c r="H430" s="135" t="str">
        <f>HYPERLINK("http://www.mediafire.com/?xw2ltx2rnu3i3", "download link")</f>
        <v>download link</v>
      </c>
      <c r="I430" s="173"/>
    </row>
    <row r="431">
      <c r="A431" s="130">
        <v>39740.0</v>
      </c>
      <c r="B431" s="131"/>
      <c r="C431" s="105" t="str">
        <f t="shared" si="38"/>
        <v>setlist</v>
      </c>
      <c r="D431" s="132" t="s">
        <v>2817</v>
      </c>
      <c r="E431" s="132" t="s">
        <v>2826</v>
      </c>
      <c r="F431" s="133" t="s">
        <v>35</v>
      </c>
      <c r="G431" s="133" t="s">
        <v>36</v>
      </c>
      <c r="H431" s="105" t="str">
        <f>HYPERLINK("http://www.mediafire.com/?wyczb5byc55tq", "download link")</f>
        <v>download link</v>
      </c>
      <c r="I431" s="174"/>
    </row>
    <row r="432">
      <c r="A432" s="150">
        <v>39742.0</v>
      </c>
      <c r="B432" s="158"/>
      <c r="C432" s="116" t="str">
        <f t="shared" si="38"/>
        <v>setlist</v>
      </c>
      <c r="D432" s="149" t="s">
        <v>3018</v>
      </c>
      <c r="E432" s="149" t="s">
        <v>297</v>
      </c>
      <c r="F432" s="148" t="s">
        <v>298</v>
      </c>
      <c r="G432" s="148" t="s">
        <v>36</v>
      </c>
      <c r="H432" s="135" t="str">
        <f>HYPERLINK("http://www.mediafire.com/?2sij3xrxqci16", "download link")</f>
        <v>download link</v>
      </c>
      <c r="I432" s="173"/>
    </row>
    <row r="433">
      <c r="A433" s="130">
        <v>39744.0</v>
      </c>
      <c r="B433" s="131"/>
      <c r="C433" s="105" t="str">
        <f t="shared" si="38"/>
        <v>setlist</v>
      </c>
      <c r="D433" s="132" t="s">
        <v>958</v>
      </c>
      <c r="E433" s="132" t="s">
        <v>94</v>
      </c>
      <c r="F433" s="133" t="s">
        <v>95</v>
      </c>
      <c r="G433" s="133" t="s">
        <v>36</v>
      </c>
      <c r="H433" s="105" t="str">
        <f>HYPERLINK("http://www.mediafire.com/?71b7l0t5ko778", "download link")</f>
        <v>download link</v>
      </c>
      <c r="I433" s="174"/>
    </row>
    <row r="434">
      <c r="A434" s="150">
        <v>39745.0</v>
      </c>
      <c r="B434" s="158"/>
      <c r="C434" s="116" t="str">
        <f t="shared" si="38"/>
        <v>setlist</v>
      </c>
      <c r="D434" s="149" t="s">
        <v>2903</v>
      </c>
      <c r="E434" s="149" t="s">
        <v>871</v>
      </c>
      <c r="F434" s="148" t="s">
        <v>212</v>
      </c>
      <c r="G434" s="148" t="s">
        <v>36</v>
      </c>
      <c r="H434" s="135" t="str">
        <f>HYPERLINK("http://www.mediafire.com/?ast9pp911e5k7", "download link")</f>
        <v>download link</v>
      </c>
      <c r="I434" s="173"/>
    </row>
    <row r="435">
      <c r="A435" s="130">
        <v>39746.0</v>
      </c>
      <c r="B435" s="131"/>
      <c r="C435" s="105" t="str">
        <f t="shared" si="38"/>
        <v>setlist</v>
      </c>
      <c r="D435" s="132" t="s">
        <v>3019</v>
      </c>
      <c r="E435" s="132" t="s">
        <v>445</v>
      </c>
      <c r="F435" s="133" t="s">
        <v>446</v>
      </c>
      <c r="G435" s="133" t="s">
        <v>36</v>
      </c>
      <c r="H435" s="105" t="str">
        <f>HYPERLINK("http://www.mediafire.com/?m8ej6dhdd48k6", "download link")</f>
        <v>download link</v>
      </c>
      <c r="I435" s="174"/>
    </row>
    <row r="436">
      <c r="A436" s="350"/>
      <c r="B436" s="354"/>
      <c r="C436" s="352"/>
      <c r="D436" s="353" t="s">
        <v>3020</v>
      </c>
      <c r="E436" s="350"/>
      <c r="F436" s="351"/>
      <c r="G436" s="354"/>
      <c r="H436" s="351"/>
      <c r="I436" s="355"/>
    </row>
    <row r="437">
      <c r="A437" s="150">
        <v>39954.0</v>
      </c>
      <c r="B437" s="158"/>
      <c r="C437" s="116" t="str">
        <f>HYPERLINK("http://phish.net/sideshows/trey-anastasio-band/?d="&amp;RIGHT(TEXT(A437,"mm/dd/yyyy"),4)&amp;"-"&amp;LEFT(TEXT(A437,"mm/dd/yyyy"),2)&amp;"-"&amp;MID(TEXT(A437,"mm/dd/yyyy"),4,2), "setlist")</f>
        <v>setlist</v>
      </c>
      <c r="D437" s="149" t="s">
        <v>3021</v>
      </c>
      <c r="E437" s="149" t="s">
        <v>396</v>
      </c>
      <c r="F437" s="148" t="s">
        <v>397</v>
      </c>
      <c r="G437" s="148" t="s">
        <v>36</v>
      </c>
      <c r="H437" s="135" t="str">
        <f>HYPERLINK("http://www.mediafire.com/?b5qkhy98wvbxt", "download link")</f>
        <v>download link</v>
      </c>
      <c r="I437" s="173"/>
    </row>
    <row r="438">
      <c r="A438" s="350"/>
      <c r="B438" s="354"/>
      <c r="C438" s="352"/>
      <c r="D438" s="353" t="s">
        <v>3022</v>
      </c>
      <c r="E438" s="355"/>
      <c r="F438" s="354"/>
      <c r="G438" s="354"/>
      <c r="H438" s="351"/>
      <c r="I438" s="355"/>
    </row>
    <row r="439">
      <c r="A439" s="150">
        <v>40068.0</v>
      </c>
      <c r="B439" s="158"/>
      <c r="C439" s="116" t="str">
        <f>HYPERLINK("http://phish.net/sideshows/trey-anastasio-band/?showid=1319776222", "setlist")</f>
        <v>setlist</v>
      </c>
      <c r="D439" s="149" t="s">
        <v>2823</v>
      </c>
      <c r="E439" s="149" t="s">
        <v>162</v>
      </c>
      <c r="F439" s="148" t="s">
        <v>129</v>
      </c>
      <c r="G439" s="148" t="s">
        <v>36</v>
      </c>
      <c r="H439" s="135" t="str">
        <f>HYPERLINK("http://www.mediafire.com/?ubh04v9dssbl1", "download link")</f>
        <v>download link</v>
      </c>
      <c r="I439" s="173"/>
    </row>
    <row r="440">
      <c r="A440" s="350"/>
      <c r="B440" s="354"/>
      <c r="C440" s="352"/>
      <c r="D440" s="353" t="s">
        <v>3023</v>
      </c>
      <c r="E440" s="350"/>
      <c r="F440" s="351"/>
      <c r="G440" s="354"/>
      <c r="H440" s="351"/>
      <c r="I440" s="355"/>
    </row>
    <row r="441">
      <c r="A441" s="150">
        <v>40217.0</v>
      </c>
      <c r="B441" s="156"/>
      <c r="C441" s="116" t="str">
        <f t="shared" ref="C441:C457" si="39">HYPERLINK("http://phish.net/sideshows/trey-anastasio-band/?d="&amp;RIGHT(TEXT(A441,"mm/dd/yyyy"),4)&amp;"-"&amp;LEFT(TEXT(A441,"mm/dd/yyyy"),2)&amp;"-"&amp;MID(TEXT(A441,"mm/dd/yyyy"),4,2), "setlist")</f>
        <v>setlist</v>
      </c>
      <c r="D441" s="153" t="s">
        <v>3024</v>
      </c>
      <c r="E441" s="153" t="s">
        <v>579</v>
      </c>
      <c r="F441" s="151" t="s">
        <v>446</v>
      </c>
      <c r="G441" s="151" t="s">
        <v>36</v>
      </c>
      <c r="H441" s="116" t="str">
        <f>HYPERLINK("http://www.mediafire.com/?z25qz58y2i1r6", "download link")</f>
        <v>download link</v>
      </c>
      <c r="I441" s="79"/>
    </row>
    <row r="442">
      <c r="A442" s="130">
        <v>40218.0</v>
      </c>
      <c r="B442" s="131"/>
      <c r="C442" s="105" t="str">
        <f t="shared" si="39"/>
        <v>setlist</v>
      </c>
      <c r="D442" s="132" t="s">
        <v>2838</v>
      </c>
      <c r="E442" s="132" t="s">
        <v>393</v>
      </c>
      <c r="F442" s="133" t="s">
        <v>394</v>
      </c>
      <c r="G442" s="133" t="s">
        <v>36</v>
      </c>
      <c r="H442" s="105" t="str">
        <f>HYPERLINK("http://www.mediafire.com/?x1oq8wtfww8qj", "download link")</f>
        <v>download link</v>
      </c>
      <c r="I442" s="174"/>
    </row>
    <row r="443">
      <c r="A443" s="150">
        <v>40220.0</v>
      </c>
      <c r="B443" s="156"/>
      <c r="C443" s="116" t="str">
        <f t="shared" si="39"/>
        <v>setlist</v>
      </c>
      <c r="D443" s="153" t="s">
        <v>2903</v>
      </c>
      <c r="E443" s="153" t="s">
        <v>871</v>
      </c>
      <c r="F443" s="151" t="s">
        <v>212</v>
      </c>
      <c r="G443" s="151" t="s">
        <v>36</v>
      </c>
      <c r="H443" s="116" t="str">
        <f>HYPERLINK("http://www.mediafire.com/?p7195zd18lgrw", "download link")</f>
        <v>download link</v>
      </c>
      <c r="I443" s="79"/>
    </row>
    <row r="444">
      <c r="A444" s="130">
        <v>40221.0</v>
      </c>
      <c r="B444" s="131"/>
      <c r="C444" s="105" t="str">
        <f t="shared" si="39"/>
        <v>setlist</v>
      </c>
      <c r="D444" s="132" t="s">
        <v>2990</v>
      </c>
      <c r="E444" s="132" t="s">
        <v>94</v>
      </c>
      <c r="F444" s="133" t="s">
        <v>95</v>
      </c>
      <c r="G444" s="133" t="s">
        <v>36</v>
      </c>
      <c r="H444" s="105" t="str">
        <f>HYPERLINK("http://www.mediafire.com/?2396362ncl5gq", "download link")</f>
        <v>download link</v>
      </c>
      <c r="I444" s="174"/>
    </row>
    <row r="445">
      <c r="A445" s="150">
        <v>40222.0</v>
      </c>
      <c r="B445" s="156"/>
      <c r="C445" s="116" t="str">
        <f t="shared" si="39"/>
        <v>setlist</v>
      </c>
      <c r="D445" s="153" t="s">
        <v>3025</v>
      </c>
      <c r="E445" s="153" t="s">
        <v>2949</v>
      </c>
      <c r="F445" s="151" t="s">
        <v>171</v>
      </c>
      <c r="G445" s="151" t="s">
        <v>36</v>
      </c>
      <c r="H445" s="116" t="str">
        <f>HYPERLINK("http://www.mediafire.com/?6ia3x37a0ihk3", "download link")</f>
        <v>download link</v>
      </c>
      <c r="I445" s="79"/>
    </row>
    <row r="446">
      <c r="A446" s="130">
        <v>40223.0</v>
      </c>
      <c r="B446" s="131"/>
      <c r="C446" s="105" t="str">
        <f t="shared" si="39"/>
        <v>setlist</v>
      </c>
      <c r="D446" s="132" t="s">
        <v>3026</v>
      </c>
      <c r="E446" s="132" t="s">
        <v>3027</v>
      </c>
      <c r="F446" s="133" t="s">
        <v>43</v>
      </c>
      <c r="G446" s="133" t="s">
        <v>36</v>
      </c>
      <c r="H446" s="105" t="str">
        <f>HYPERLINK("http://www.mediafire.com/?n9xitq5bxzok4", "download link")</f>
        <v>download link</v>
      </c>
      <c r="I446" s="174"/>
    </row>
    <row r="447">
      <c r="A447" s="150">
        <v>40225.0</v>
      </c>
      <c r="B447" s="156"/>
      <c r="C447" s="116" t="str">
        <f t="shared" si="39"/>
        <v>setlist</v>
      </c>
      <c r="D447" s="153" t="s">
        <v>3028</v>
      </c>
      <c r="E447" s="153" t="s">
        <v>162</v>
      </c>
      <c r="F447" s="151" t="s">
        <v>129</v>
      </c>
      <c r="G447" s="151" t="s">
        <v>36</v>
      </c>
      <c r="H447" s="116" t="str">
        <f>HYPERLINK("http://www.mediafire.com/?n5ocpcf2378cm", "download link")</f>
        <v>download link</v>
      </c>
      <c r="I447" s="79"/>
    </row>
    <row r="448">
      <c r="A448" s="130">
        <v>40227.0</v>
      </c>
      <c r="B448" s="131"/>
      <c r="C448" s="105" t="str">
        <f t="shared" si="39"/>
        <v>setlist</v>
      </c>
      <c r="D448" s="132" t="s">
        <v>3029</v>
      </c>
      <c r="E448" s="132" t="s">
        <v>936</v>
      </c>
      <c r="F448" s="133" t="s">
        <v>483</v>
      </c>
      <c r="G448" s="133" t="s">
        <v>36</v>
      </c>
      <c r="H448" s="105" t="str">
        <f>HYPERLINK("http://www.mediafire.com/?ojgk4tp292qic", "download link")</f>
        <v>download link</v>
      </c>
      <c r="I448" s="174"/>
    </row>
    <row r="449">
      <c r="A449" s="150">
        <v>40228.0</v>
      </c>
      <c r="B449" s="156"/>
      <c r="C449" s="116" t="str">
        <f t="shared" si="39"/>
        <v>setlist</v>
      </c>
      <c r="D449" s="153" t="s">
        <v>2835</v>
      </c>
      <c r="E449" s="153" t="s">
        <v>479</v>
      </c>
      <c r="F449" s="151" t="s">
        <v>480</v>
      </c>
      <c r="G449" s="151" t="s">
        <v>36</v>
      </c>
      <c r="H449" s="116" t="str">
        <f>HYPERLINK("http://www.mediafire.com/?16a27a9ybtont", "download link")</f>
        <v>download link</v>
      </c>
      <c r="I449" s="79"/>
    </row>
    <row r="450">
      <c r="A450" s="130">
        <v>40229.0</v>
      </c>
      <c r="B450" s="131"/>
      <c r="C450" s="105" t="str">
        <f t="shared" si="39"/>
        <v>setlist</v>
      </c>
      <c r="D450" s="132" t="s">
        <v>1193</v>
      </c>
      <c r="E450" s="132" t="s">
        <v>485</v>
      </c>
      <c r="F450" s="133" t="s">
        <v>486</v>
      </c>
      <c r="G450" s="133" t="s">
        <v>36</v>
      </c>
      <c r="H450" s="105" t="str">
        <f>HYPERLINK("http://www.mediafire.com/?74oefeik47143", "download link")</f>
        <v>download link</v>
      </c>
      <c r="I450" s="174"/>
    </row>
    <row r="451">
      <c r="A451" s="150">
        <v>40230.0</v>
      </c>
      <c r="B451" s="156"/>
      <c r="C451" s="116" t="str">
        <f t="shared" si="39"/>
        <v>setlist</v>
      </c>
      <c r="D451" s="153" t="s">
        <v>3030</v>
      </c>
      <c r="E451" s="153" t="s">
        <v>1204</v>
      </c>
      <c r="F451" s="151" t="s">
        <v>886</v>
      </c>
      <c r="G451" s="151" t="s">
        <v>36</v>
      </c>
      <c r="H451" s="116" t="str">
        <f>HYPERLINK("http://www.mediafire.com/?7i8azual69s6c", "download link")</f>
        <v>download link</v>
      </c>
      <c r="I451" s="79"/>
    </row>
    <row r="452">
      <c r="A452" s="130">
        <v>40232.0</v>
      </c>
      <c r="B452" s="131"/>
      <c r="C452" s="105" t="str">
        <f t="shared" si="39"/>
        <v>setlist</v>
      </c>
      <c r="D452" s="132" t="s">
        <v>3031</v>
      </c>
      <c r="E452" s="132" t="s">
        <v>885</v>
      </c>
      <c r="F452" s="133" t="s">
        <v>886</v>
      </c>
      <c r="G452" s="133" t="s">
        <v>36</v>
      </c>
      <c r="H452" s="105" t="str">
        <f>HYPERLINK("http://www.mediafire.com/?pv0nq11gw2951", "download link")</f>
        <v>download link</v>
      </c>
      <c r="I452" s="174"/>
    </row>
    <row r="453">
      <c r="A453" s="150">
        <v>40234.0</v>
      </c>
      <c r="B453" s="156"/>
      <c r="C453" s="116" t="str">
        <f t="shared" si="39"/>
        <v>setlist</v>
      </c>
      <c r="D453" s="153" t="s">
        <v>2918</v>
      </c>
      <c r="E453" s="153" t="s">
        <v>652</v>
      </c>
      <c r="F453" s="151" t="s">
        <v>650</v>
      </c>
      <c r="G453" s="151" t="s">
        <v>36</v>
      </c>
      <c r="H453" s="116" t="str">
        <f>HYPERLINK("http://www.mediafire.com/?9253duuia0cui", "download link")</f>
        <v>download link</v>
      </c>
      <c r="I453" s="79"/>
    </row>
    <row r="454">
      <c r="A454" s="130">
        <v>40235.0</v>
      </c>
      <c r="B454" s="131"/>
      <c r="C454" s="105" t="str">
        <f t="shared" si="39"/>
        <v>setlist</v>
      </c>
      <c r="D454" s="132" t="s">
        <v>3032</v>
      </c>
      <c r="E454" s="132" t="s">
        <v>541</v>
      </c>
      <c r="F454" s="133" t="s">
        <v>443</v>
      </c>
      <c r="G454" s="133" t="s">
        <v>36</v>
      </c>
      <c r="H454" s="105" t="str">
        <f>HYPERLINK("http://www.mediafire.com/?bfrodnfrsno69", "download link")</f>
        <v>download link</v>
      </c>
      <c r="I454" s="174"/>
    </row>
    <row r="455">
      <c r="A455" s="150">
        <v>40236.0</v>
      </c>
      <c r="B455" s="156"/>
      <c r="C455" s="116" t="str">
        <f t="shared" si="39"/>
        <v>setlist</v>
      </c>
      <c r="D455" s="153" t="s">
        <v>2898</v>
      </c>
      <c r="E455" s="153" t="s">
        <v>437</v>
      </c>
      <c r="F455" s="151" t="s">
        <v>433</v>
      </c>
      <c r="G455" s="151" t="s">
        <v>36</v>
      </c>
      <c r="H455" s="116" t="str">
        <f>HYPERLINK("http://www.mediafire.com/?0yugzbtztkk10", "download link")</f>
        <v>download link</v>
      </c>
      <c r="I455" s="79"/>
    </row>
    <row r="456">
      <c r="A456" s="130">
        <v>40237.0</v>
      </c>
      <c r="B456" s="131"/>
      <c r="C456" s="105" t="str">
        <f t="shared" si="39"/>
        <v>setlist</v>
      </c>
      <c r="D456" s="132" t="s">
        <v>1265</v>
      </c>
      <c r="E456" s="132" t="s">
        <v>649</v>
      </c>
      <c r="F456" s="133" t="s">
        <v>650</v>
      </c>
      <c r="G456" s="133" t="s">
        <v>36</v>
      </c>
      <c r="H456" s="105" t="str">
        <f>HYPERLINK("http://www.mediafire.com/?hswjhb9izc96b", "download link")</f>
        <v>download link</v>
      </c>
      <c r="I456" s="174"/>
    </row>
    <row r="457">
      <c r="A457" s="150">
        <v>40314.0</v>
      </c>
      <c r="B457" s="156"/>
      <c r="C457" s="116" t="str">
        <f t="shared" si="39"/>
        <v>setlist</v>
      </c>
      <c r="D457" s="153" t="s">
        <v>3033</v>
      </c>
      <c r="E457" s="153" t="s">
        <v>3034</v>
      </c>
      <c r="F457" s="151" t="s">
        <v>583</v>
      </c>
      <c r="G457" s="151" t="s">
        <v>36</v>
      </c>
      <c r="H457" s="116" t="str">
        <f>HYPERLINK("http://www.mediafire.com/?bc8xiuy6dv4c8", "download link")</f>
        <v>download link</v>
      </c>
      <c r="I457" s="79"/>
    </row>
    <row r="458">
      <c r="A458" s="350"/>
      <c r="B458" s="354"/>
      <c r="C458" s="352"/>
      <c r="D458" s="353" t="s">
        <v>2819</v>
      </c>
      <c r="E458" s="350"/>
      <c r="F458" s="351"/>
      <c r="G458" s="354"/>
      <c r="H458" s="351"/>
      <c r="I458" s="355"/>
    </row>
    <row r="459">
      <c r="A459" s="150">
        <v>40460.0</v>
      </c>
      <c r="B459" s="156"/>
      <c r="C459" s="116" t="str">
        <f>HYPERLINK("http://phish.net/sideshows/trey-anastasio-band/?showid=1319222810", "setlist")</f>
        <v>setlist</v>
      </c>
      <c r="D459" s="153" t="s">
        <v>2406</v>
      </c>
      <c r="E459" s="153" t="s">
        <v>2407</v>
      </c>
      <c r="F459" s="151" t="s">
        <v>203</v>
      </c>
      <c r="G459" s="151" t="s">
        <v>36</v>
      </c>
      <c r="H459" s="116" t="str">
        <f>HYPERLINK("http://www.mediafire.com/?2642zya28uyci", "download link")</f>
        <v>download link</v>
      </c>
      <c r="I459" s="79"/>
    </row>
    <row r="460">
      <c r="A460" s="350"/>
      <c r="B460" s="354"/>
      <c r="C460" s="352"/>
      <c r="D460" s="353" t="s">
        <v>2916</v>
      </c>
      <c r="E460" s="355"/>
      <c r="F460" s="354"/>
      <c r="G460" s="354"/>
      <c r="H460" s="351"/>
      <c r="I460" s="355"/>
    </row>
    <row r="461">
      <c r="A461" s="150">
        <v>40500.0</v>
      </c>
      <c r="B461" s="156"/>
      <c r="C461" s="116" t="str">
        <f>HYPERLINK("http://phish.net/sideshows/trey-anastasio-band/?showid=1319853766", "setlist")</f>
        <v>setlist</v>
      </c>
      <c r="D461" s="153" t="s">
        <v>3035</v>
      </c>
      <c r="E461" s="153" t="s">
        <v>42</v>
      </c>
      <c r="F461" s="151" t="s">
        <v>43</v>
      </c>
      <c r="G461" s="151" t="s">
        <v>3036</v>
      </c>
      <c r="H461" s="116" t="str">
        <f>HYPERLINK("http://www.mediafire.com/?ctg4gus811gf5", "download link")</f>
        <v>download link</v>
      </c>
      <c r="I461" s="79"/>
    </row>
    <row r="462">
      <c r="A462" s="350"/>
      <c r="B462" s="351"/>
      <c r="C462" s="352"/>
      <c r="D462" s="353" t="s">
        <v>3037</v>
      </c>
      <c r="E462" s="350"/>
      <c r="F462" s="351"/>
      <c r="G462" s="351"/>
      <c r="H462" s="351"/>
      <c r="I462" s="350"/>
    </row>
    <row r="463">
      <c r="A463" s="150">
        <v>40592.0</v>
      </c>
      <c r="B463" s="156"/>
      <c r="C463" s="116" t="str">
        <f t="shared" ref="C463:C473" si="40">HYPERLINK("http://phish.net/sideshows/trey-anastasio-band/?d="&amp;RIGHT(TEXT(A463,"mm/dd/yyyy"),4)&amp;"-"&amp;LEFT(TEXT(A463,"mm/dd/yyyy"),2)&amp;"-"&amp;MID(TEXT(A463,"mm/dd/yyyy"),4,2), "setlist")</f>
        <v>setlist</v>
      </c>
      <c r="D463" s="153" t="s">
        <v>1193</v>
      </c>
      <c r="E463" s="153" t="s">
        <v>279</v>
      </c>
      <c r="F463" s="151" t="s">
        <v>257</v>
      </c>
      <c r="G463" s="151" t="s">
        <v>36</v>
      </c>
      <c r="H463" s="116" t="str">
        <f>HYPERLINK("http://www.mediafire.com/?ed9oa6n6452gs", "download link")</f>
        <v>download link</v>
      </c>
      <c r="I463" s="79"/>
    </row>
    <row r="464">
      <c r="A464" s="130">
        <v>40593.0</v>
      </c>
      <c r="B464" s="131"/>
      <c r="C464" s="105" t="str">
        <f t="shared" si="40"/>
        <v>setlist</v>
      </c>
      <c r="D464" s="132" t="s">
        <v>866</v>
      </c>
      <c r="E464" s="132" t="s">
        <v>309</v>
      </c>
      <c r="F464" s="133" t="s">
        <v>129</v>
      </c>
      <c r="G464" s="133" t="s">
        <v>36</v>
      </c>
      <c r="H464" s="105" t="str">
        <f>HYPERLINK("http://www.mediafire.com/?48a3tquhljlr8", "download link")</f>
        <v>download link</v>
      </c>
      <c r="I464" s="174"/>
    </row>
    <row r="465">
      <c r="A465" s="150">
        <v>40594.0</v>
      </c>
      <c r="B465" s="156"/>
      <c r="C465" s="116" t="str">
        <f t="shared" si="40"/>
        <v>setlist</v>
      </c>
      <c r="D465" s="153" t="s">
        <v>2990</v>
      </c>
      <c r="E465" s="153" t="s">
        <v>94</v>
      </c>
      <c r="F465" s="151" t="s">
        <v>95</v>
      </c>
      <c r="G465" s="151" t="s">
        <v>36</v>
      </c>
      <c r="H465" s="116" t="str">
        <f>HYPERLINK("http://www.mediafire.com/?gnagzlv4lzw63", "download link")</f>
        <v>download link</v>
      </c>
      <c r="I465" s="79"/>
    </row>
    <row r="466">
      <c r="A466" s="130">
        <v>40596.0</v>
      </c>
      <c r="B466" s="131"/>
      <c r="C466" s="105" t="str">
        <f t="shared" si="40"/>
        <v>setlist</v>
      </c>
      <c r="D466" s="132" t="s">
        <v>3028</v>
      </c>
      <c r="E466" s="132" t="s">
        <v>162</v>
      </c>
      <c r="F466" s="133" t="s">
        <v>129</v>
      </c>
      <c r="G466" s="133" t="s">
        <v>36</v>
      </c>
      <c r="H466" s="105" t="str">
        <f>HYPERLINK("http://www.mediafire.com/?5uhxz0hp6vugj", "download link")</f>
        <v>download link</v>
      </c>
      <c r="I466" s="174"/>
    </row>
    <row r="467">
      <c r="A467" s="150">
        <v>40597.0</v>
      </c>
      <c r="B467" s="156"/>
      <c r="C467" s="116" t="str">
        <f t="shared" si="40"/>
        <v>setlist</v>
      </c>
      <c r="D467" s="153" t="s">
        <v>2903</v>
      </c>
      <c r="E467" s="153" t="s">
        <v>871</v>
      </c>
      <c r="F467" s="151" t="s">
        <v>212</v>
      </c>
      <c r="G467" s="151" t="s">
        <v>36</v>
      </c>
      <c r="H467" s="116" t="str">
        <f>HYPERLINK("http://www.mediafire.com/?h0q1ronmaqp3q", "download link")</f>
        <v>download link</v>
      </c>
      <c r="I467" s="79"/>
    </row>
    <row r="468">
      <c r="A468" s="130">
        <v>40599.0</v>
      </c>
      <c r="B468" s="131"/>
      <c r="C468" s="105" t="str">
        <f t="shared" si="40"/>
        <v>setlist</v>
      </c>
      <c r="D468" s="132" t="s">
        <v>3038</v>
      </c>
      <c r="E468" s="132" t="s">
        <v>1073</v>
      </c>
      <c r="F468" s="133" t="s">
        <v>212</v>
      </c>
      <c r="G468" s="133" t="s">
        <v>36</v>
      </c>
      <c r="H468" s="105" t="str">
        <f>HYPERLINK("http://www.mediafire.com/?i8xiyy9wbql8k", "download link")</f>
        <v>download link</v>
      </c>
      <c r="I468" s="174"/>
    </row>
    <row r="469">
      <c r="A469" s="150">
        <v>40600.0</v>
      </c>
      <c r="B469" s="156"/>
      <c r="C469" s="116" t="str">
        <f t="shared" si="40"/>
        <v>setlist</v>
      </c>
      <c r="D469" s="153" t="s">
        <v>3039</v>
      </c>
      <c r="E469" s="153" t="s">
        <v>471</v>
      </c>
      <c r="F469" s="151" t="s">
        <v>472</v>
      </c>
      <c r="G469" s="151" t="s">
        <v>36</v>
      </c>
      <c r="H469" s="116" t="str">
        <f>HYPERLINK("http://www.mediafire.com/?7j5td77fskrm3", "download link")</f>
        <v>download link</v>
      </c>
      <c r="I469" s="79"/>
    </row>
    <row r="470">
      <c r="A470" s="130">
        <v>40601.0</v>
      </c>
      <c r="B470" s="131"/>
      <c r="C470" s="105" t="str">
        <f t="shared" si="40"/>
        <v>setlist</v>
      </c>
      <c r="D470" s="132" t="s">
        <v>2835</v>
      </c>
      <c r="E470" s="132" t="s">
        <v>479</v>
      </c>
      <c r="F470" s="133" t="s">
        <v>480</v>
      </c>
      <c r="G470" s="133" t="s">
        <v>36</v>
      </c>
      <c r="H470" s="105" t="str">
        <f>HYPERLINK("http://www.mediafire.com/?yozakacd5dhcy", "download link")</f>
        <v>download link</v>
      </c>
      <c r="I470" s="174"/>
    </row>
    <row r="471">
      <c r="A471" s="150">
        <v>40603.0</v>
      </c>
      <c r="B471" s="156"/>
      <c r="C471" s="116" t="str">
        <f t="shared" si="40"/>
        <v>setlist</v>
      </c>
      <c r="D471" s="153" t="s">
        <v>3040</v>
      </c>
      <c r="E471" s="153" t="s">
        <v>499</v>
      </c>
      <c r="F471" s="151" t="s">
        <v>203</v>
      </c>
      <c r="G471" s="151" t="s">
        <v>36</v>
      </c>
      <c r="H471" s="116" t="str">
        <f>HYPERLINK("http://www.mediafire.com/?nx7m3q3cby37b", "download link")</f>
        <v>download link</v>
      </c>
      <c r="I471" s="79"/>
    </row>
    <row r="472">
      <c r="A472" s="130">
        <v>40604.0</v>
      </c>
      <c r="B472" s="131"/>
      <c r="C472" s="105" t="str">
        <f t="shared" si="40"/>
        <v>setlist</v>
      </c>
      <c r="D472" s="132" t="s">
        <v>3040</v>
      </c>
      <c r="E472" s="132" t="s">
        <v>499</v>
      </c>
      <c r="F472" s="133" t="s">
        <v>203</v>
      </c>
      <c r="G472" s="133" t="s">
        <v>36</v>
      </c>
      <c r="H472" s="105" t="str">
        <f>HYPERLINK("http://www.mediafire.com/?ezksw4waihsla", "download link")</f>
        <v>download link</v>
      </c>
      <c r="I472" s="174"/>
    </row>
    <row r="473">
      <c r="A473" s="150">
        <v>40606.0</v>
      </c>
      <c r="B473" s="156"/>
      <c r="C473" s="116" t="str">
        <f t="shared" si="40"/>
        <v>setlist</v>
      </c>
      <c r="D473" s="153" t="s">
        <v>3041</v>
      </c>
      <c r="E473" s="153" t="s">
        <v>911</v>
      </c>
      <c r="F473" s="151" t="s">
        <v>679</v>
      </c>
      <c r="G473" s="151" t="s">
        <v>36</v>
      </c>
      <c r="H473" s="116" t="str">
        <f>HYPERLINK("http://www.mediafire.com/?u3xcjlici3b49", "download link")</f>
        <v>download link</v>
      </c>
      <c r="I473" s="79"/>
    </row>
    <row r="474">
      <c r="A474" s="130">
        <v>40607.0</v>
      </c>
      <c r="B474" s="131"/>
      <c r="C474" s="105" t="str">
        <f>HYPERLINK("http://phish.net/sideshows/trey-anastasio-band/?showid=1297795259", "setlist")</f>
        <v>setlist</v>
      </c>
      <c r="D474" s="132" t="s">
        <v>3042</v>
      </c>
      <c r="E474" s="132" t="s">
        <v>2909</v>
      </c>
      <c r="F474" s="133" t="s">
        <v>679</v>
      </c>
      <c r="G474" s="133" t="s">
        <v>36</v>
      </c>
      <c r="H474" s="105" t="str">
        <f>HYPERLINK("http://www.mediafire.com/?dzjd9uj52c0xd", "download link")</f>
        <v>download link</v>
      </c>
      <c r="I474" s="174"/>
    </row>
    <row r="475">
      <c r="A475" s="364"/>
      <c r="B475" s="365"/>
      <c r="C475" s="366"/>
      <c r="D475" s="353" t="s">
        <v>2986</v>
      </c>
      <c r="E475" s="367"/>
      <c r="F475" s="365"/>
      <c r="G475" s="365"/>
      <c r="H475" s="358"/>
      <c r="I475" s="367"/>
    </row>
    <row r="476">
      <c r="A476" s="150">
        <v>40817.0</v>
      </c>
      <c r="B476" s="156"/>
      <c r="C476" s="116" t="str">
        <f t="shared" ref="C476:C484" si="41">HYPERLINK("http://phish.net/sideshows/trey-anastasio-band/?d="&amp;RIGHT(TEXT(A476,"mm/dd/yyyy"),4)&amp;"-"&amp;LEFT(TEXT(A476,"mm/dd/yyyy"),2)&amp;"-"&amp;MID(TEXT(A476,"mm/dd/yyyy"),4,2), "setlist")</f>
        <v>setlist</v>
      </c>
      <c r="D476" s="153" t="s">
        <v>2817</v>
      </c>
      <c r="E476" s="153" t="s">
        <v>2826</v>
      </c>
      <c r="F476" s="151" t="s">
        <v>35</v>
      </c>
      <c r="G476" s="151" t="s">
        <v>36</v>
      </c>
      <c r="H476" s="116" t="str">
        <f>HYPERLINK("http://www.mediafire.com/?9bgqzetgrw34b", "download link")</f>
        <v>download link</v>
      </c>
      <c r="I476" s="79"/>
    </row>
    <row r="477">
      <c r="A477" s="130">
        <v>40822.0</v>
      </c>
      <c r="B477" s="131"/>
      <c r="C477" s="105" t="str">
        <f t="shared" si="41"/>
        <v>setlist</v>
      </c>
      <c r="D477" s="132" t="s">
        <v>2837</v>
      </c>
      <c r="E477" s="132" t="s">
        <v>2327</v>
      </c>
      <c r="F477" s="133" t="s">
        <v>443</v>
      </c>
      <c r="G477" s="133" t="s">
        <v>36</v>
      </c>
      <c r="H477" s="105" t="str">
        <f>HYPERLINK("http://www.mediafire.com/?hm80zawtv69o8", "download link")</f>
        <v>download link</v>
      </c>
      <c r="I477" s="174"/>
    </row>
    <row r="478">
      <c r="A478" s="150">
        <v>40823.0</v>
      </c>
      <c r="B478" s="156"/>
      <c r="C478" s="116" t="str">
        <f t="shared" si="41"/>
        <v>setlist</v>
      </c>
      <c r="D478" s="153" t="s">
        <v>2990</v>
      </c>
      <c r="E478" s="153" t="s">
        <v>2991</v>
      </c>
      <c r="F478" s="151" t="s">
        <v>430</v>
      </c>
      <c r="G478" s="156"/>
      <c r="H478" s="145"/>
      <c r="I478" s="79"/>
    </row>
    <row r="479">
      <c r="A479" s="130">
        <v>40824.0</v>
      </c>
      <c r="B479" s="131"/>
      <c r="C479" s="105" t="str">
        <f t="shared" si="41"/>
        <v>setlist</v>
      </c>
      <c r="D479" s="132" t="s">
        <v>3043</v>
      </c>
      <c r="E479" s="132" t="s">
        <v>396</v>
      </c>
      <c r="F479" s="133" t="s">
        <v>397</v>
      </c>
      <c r="G479" s="133" t="s">
        <v>36</v>
      </c>
      <c r="H479" s="105" t="str">
        <f>HYPERLINK("http://www.mediafire.com/?e1byc3tge21s6", "download link")</f>
        <v>download link</v>
      </c>
      <c r="I479" s="174"/>
    </row>
    <row r="480">
      <c r="A480" s="150">
        <v>40828.0</v>
      </c>
      <c r="B480" s="156"/>
      <c r="C480" s="116" t="str">
        <f t="shared" si="41"/>
        <v>setlist</v>
      </c>
      <c r="D480" s="153" t="s">
        <v>3044</v>
      </c>
      <c r="E480" s="153" t="s">
        <v>3045</v>
      </c>
      <c r="F480" s="151" t="s">
        <v>43</v>
      </c>
      <c r="G480" s="151" t="s">
        <v>36</v>
      </c>
      <c r="H480" s="116" t="str">
        <f>HYPERLINK("http://www.mediafire.com/?7zur5s1snv6ha", "download link")</f>
        <v>download link</v>
      </c>
      <c r="I480" s="79"/>
    </row>
    <row r="481">
      <c r="A481" s="130">
        <v>40829.0</v>
      </c>
      <c r="B481" s="131"/>
      <c r="C481" s="105" t="str">
        <f t="shared" si="41"/>
        <v>setlist</v>
      </c>
      <c r="D481" s="132" t="s">
        <v>3046</v>
      </c>
      <c r="E481" s="132" t="s">
        <v>3047</v>
      </c>
      <c r="F481" s="133" t="s">
        <v>397</v>
      </c>
      <c r="G481" s="133" t="s">
        <v>36</v>
      </c>
      <c r="H481" s="105" t="str">
        <f>HYPERLINK("http://www.mediafire.com/?u7r2h6kpz95x2", "download link")</f>
        <v>download link</v>
      </c>
      <c r="I481" s="174"/>
    </row>
    <row r="482">
      <c r="A482" s="150">
        <v>40830.0</v>
      </c>
      <c r="B482" s="156"/>
      <c r="C482" s="116" t="str">
        <f t="shared" si="41"/>
        <v>setlist</v>
      </c>
      <c r="D482" s="153" t="s">
        <v>3032</v>
      </c>
      <c r="E482" s="153" t="s">
        <v>541</v>
      </c>
      <c r="F482" s="151" t="s">
        <v>443</v>
      </c>
      <c r="G482" s="151" t="s">
        <v>36</v>
      </c>
      <c r="H482" s="116" t="str">
        <f>HYPERLINK("http://www.mediafire.com/?il8r7rld3byqd", "download link")</f>
        <v>download link</v>
      </c>
      <c r="I482" s="79"/>
    </row>
    <row r="483">
      <c r="A483" s="130">
        <v>40831.0</v>
      </c>
      <c r="B483" s="131"/>
      <c r="C483" s="105" t="str">
        <f t="shared" si="41"/>
        <v>setlist</v>
      </c>
      <c r="D483" s="132" t="s">
        <v>3048</v>
      </c>
      <c r="E483" s="132" t="s">
        <v>579</v>
      </c>
      <c r="F483" s="133" t="s">
        <v>446</v>
      </c>
      <c r="G483" s="133" t="s">
        <v>36</v>
      </c>
      <c r="H483" s="105" t="str">
        <f>HYPERLINK("http://www.mediafire.com/?6dtuwwld3464w", "download link")</f>
        <v>download link</v>
      </c>
      <c r="I483" s="174"/>
    </row>
    <row r="484">
      <c r="A484" s="150">
        <v>40858.0</v>
      </c>
      <c r="B484" s="156"/>
      <c r="C484" s="116" t="str">
        <f t="shared" si="41"/>
        <v>setlist</v>
      </c>
      <c r="D484" s="153" t="s">
        <v>2898</v>
      </c>
      <c r="E484" s="153" t="s">
        <v>437</v>
      </c>
      <c r="F484" s="151" t="s">
        <v>433</v>
      </c>
      <c r="G484" s="151" t="s">
        <v>36</v>
      </c>
      <c r="H484" s="116" t="str">
        <f>HYPERLINK("http://www.mediafire.com/?akjbav928p6ts", "download link")</f>
        <v>download link</v>
      </c>
      <c r="I484" s="79"/>
    </row>
    <row r="485">
      <c r="A485" s="130">
        <v>40859.0</v>
      </c>
      <c r="B485" s="131"/>
      <c r="C485" s="105" t="str">
        <f>HYPERLINK("http://phish.net/sideshows/trey-anastasio-band/?showid=1313603664", "setlist")</f>
        <v>setlist</v>
      </c>
      <c r="D485" s="132" t="s">
        <v>3049</v>
      </c>
      <c r="E485" s="132" t="s">
        <v>3050</v>
      </c>
      <c r="F485" s="133" t="s">
        <v>1133</v>
      </c>
      <c r="G485" s="133" t="s">
        <v>36</v>
      </c>
      <c r="H485" s="105" t="str">
        <f>HYPERLINK("http://www.mediafire.com/?s9p35mixp2gjp", "download link")</f>
        <v>download link</v>
      </c>
      <c r="I485" s="174"/>
    </row>
    <row r="486">
      <c r="A486" s="364"/>
      <c r="B486" s="365"/>
      <c r="C486" s="366"/>
      <c r="D486" s="353" t="s">
        <v>3051</v>
      </c>
      <c r="E486" s="367"/>
      <c r="F486" s="365"/>
      <c r="G486" s="365"/>
      <c r="H486" s="358"/>
      <c r="I486" s="367"/>
    </row>
    <row r="487">
      <c r="A487" s="150">
        <v>40948.0</v>
      </c>
      <c r="B487" s="156"/>
      <c r="C487" s="116" t="str">
        <f t="shared" ref="C487:C490" si="42">HYPERLINK("http://phish.net/sideshows/trey-anastasio-band/?d="&amp;RIGHT(TEXT(A487,"mm/dd/yyyy"),4)&amp;"-"&amp;LEFT(TEXT(A487,"mm/dd/yyyy"),2)&amp;"-"&amp;MID(TEXT(A487,"mm/dd/yyyy"),4,2), "setlist")</f>
        <v>setlist</v>
      </c>
      <c r="D487" s="153" t="s">
        <v>3052</v>
      </c>
      <c r="E487" s="153" t="s">
        <v>437</v>
      </c>
      <c r="F487" s="151" t="s">
        <v>433</v>
      </c>
      <c r="G487" s="156"/>
      <c r="H487" s="145"/>
      <c r="I487" s="79"/>
    </row>
    <row r="488">
      <c r="A488" s="130">
        <v>40953.0</v>
      </c>
      <c r="B488" s="131"/>
      <c r="C488" s="105" t="str">
        <f t="shared" si="42"/>
        <v>setlist</v>
      </c>
      <c r="D488" s="132" t="s">
        <v>3053</v>
      </c>
      <c r="E488" s="132" t="s">
        <v>1073</v>
      </c>
      <c r="F488" s="133" t="s">
        <v>212</v>
      </c>
      <c r="G488" s="131"/>
      <c r="H488" s="108"/>
      <c r="I488" s="174"/>
    </row>
    <row r="489">
      <c r="A489" s="150">
        <v>40967.0</v>
      </c>
      <c r="B489" s="156"/>
      <c r="C489" s="116" t="str">
        <f t="shared" si="42"/>
        <v>setlist</v>
      </c>
      <c r="D489" s="153" t="s">
        <v>3054</v>
      </c>
      <c r="E489" s="153" t="s">
        <v>499</v>
      </c>
      <c r="F489" s="151" t="s">
        <v>203</v>
      </c>
      <c r="G489" s="156"/>
      <c r="H489" s="145"/>
      <c r="I489" s="79"/>
    </row>
    <row r="490">
      <c r="A490" s="130">
        <v>40978.0</v>
      </c>
      <c r="B490" s="131"/>
      <c r="C490" s="105" t="str">
        <f t="shared" si="42"/>
        <v>setlist</v>
      </c>
      <c r="D490" s="132" t="s">
        <v>3055</v>
      </c>
      <c r="E490" s="132" t="s">
        <v>911</v>
      </c>
      <c r="F490" s="133" t="s">
        <v>679</v>
      </c>
      <c r="G490" s="131"/>
      <c r="H490" s="108"/>
      <c r="I490" s="174"/>
    </row>
    <row r="491">
      <c r="A491" s="364"/>
      <c r="B491" s="365"/>
      <c r="C491" s="366"/>
      <c r="D491" s="353" t="s">
        <v>2986</v>
      </c>
      <c r="E491" s="367"/>
      <c r="F491" s="365"/>
      <c r="G491" s="365"/>
      <c r="H491" s="358"/>
      <c r="I491" s="367"/>
    </row>
    <row r="492">
      <c r="A492" s="147">
        <v>41200.0</v>
      </c>
      <c r="B492" s="158"/>
      <c r="C492" s="116" t="str">
        <f t="shared" ref="C492:C497" si="43">HYPERLINK("http://phish.net/sideshows/trey-anastasio-band/?d="&amp;RIGHT(TEXT(A492,"mm/dd/yyyy"),4)&amp;"-"&amp;LEFT(TEXT(A492,"mm/dd/yyyy"),2)&amp;"-"&amp;MID(TEXT(A492,"mm/dd/yyyy"),4,2), "setlist")</f>
        <v>setlist</v>
      </c>
      <c r="D492" s="113" t="s">
        <v>3056</v>
      </c>
      <c r="E492" s="149" t="s">
        <v>946</v>
      </c>
      <c r="F492" s="148" t="s">
        <v>712</v>
      </c>
      <c r="G492" s="148" t="s">
        <v>36</v>
      </c>
      <c r="H492" s="116" t="str">
        <f>HYPERLINK("http://www.mediafire.com/?jlvf6l3oz3apw", "download link")</f>
        <v>download link</v>
      </c>
      <c r="I492" s="173"/>
    </row>
    <row r="493">
      <c r="A493" s="130">
        <v>41201.0</v>
      </c>
      <c r="B493" s="131"/>
      <c r="C493" s="105" t="str">
        <f t="shared" si="43"/>
        <v>setlist</v>
      </c>
      <c r="D493" s="132" t="s">
        <v>2904</v>
      </c>
      <c r="E493" s="132" t="s">
        <v>479</v>
      </c>
      <c r="F493" s="133" t="s">
        <v>480</v>
      </c>
      <c r="G493" s="133" t="s">
        <v>36</v>
      </c>
      <c r="H493" s="105" t="str">
        <f>HYPERLINK("http://www.mediafire.com/?m4b7vnn4nvl7j", "download link")</f>
        <v>download link</v>
      </c>
      <c r="I493" s="174"/>
    </row>
    <row r="494">
      <c r="A494" s="150">
        <v>41202.0</v>
      </c>
      <c r="B494" s="156"/>
      <c r="C494" s="116" t="str">
        <f t="shared" si="43"/>
        <v>setlist</v>
      </c>
      <c r="D494" s="153" t="s">
        <v>3039</v>
      </c>
      <c r="E494" s="153" t="s">
        <v>471</v>
      </c>
      <c r="F494" s="151" t="s">
        <v>472</v>
      </c>
      <c r="G494" s="156"/>
      <c r="H494" s="145"/>
      <c r="I494" s="79"/>
    </row>
    <row r="495">
      <c r="A495" s="130">
        <v>41204.0</v>
      </c>
      <c r="B495" s="131"/>
      <c r="C495" s="105" t="str">
        <f t="shared" si="43"/>
        <v>setlist</v>
      </c>
      <c r="D495" s="132" t="s">
        <v>3057</v>
      </c>
      <c r="E495" s="132" t="s">
        <v>3058</v>
      </c>
      <c r="F495" s="133" t="s">
        <v>212</v>
      </c>
      <c r="G495" s="133" t="s">
        <v>36</v>
      </c>
      <c r="H495" s="105" t="str">
        <f>HYPERLINK("http://www.mediafire.com/?jf5uomwhasc9d", "download link")</f>
        <v>download link</v>
      </c>
      <c r="I495" s="174"/>
    </row>
    <row r="496">
      <c r="A496" s="150">
        <v>41205.0</v>
      </c>
      <c r="B496" s="156"/>
      <c r="C496" s="116" t="str">
        <f t="shared" si="43"/>
        <v>setlist</v>
      </c>
      <c r="D496" s="153" t="s">
        <v>3019</v>
      </c>
      <c r="E496" s="153" t="s">
        <v>445</v>
      </c>
      <c r="F496" s="151" t="s">
        <v>446</v>
      </c>
      <c r="G496" s="151" t="s">
        <v>36</v>
      </c>
      <c r="H496" s="116" t="str">
        <f>HYPERLINK("http://www.mediafire.com/?ij646s8w6drmg", "download link")</f>
        <v>download link</v>
      </c>
      <c r="I496" s="79"/>
    </row>
    <row r="497">
      <c r="A497" s="130">
        <v>41206.0</v>
      </c>
      <c r="B497" s="131"/>
      <c r="C497" s="105" t="str">
        <f t="shared" si="43"/>
        <v>setlist</v>
      </c>
      <c r="D497" s="132" t="s">
        <v>3046</v>
      </c>
      <c r="E497" s="132" t="s">
        <v>3047</v>
      </c>
      <c r="F497" s="133" t="s">
        <v>397</v>
      </c>
      <c r="G497" s="133" t="s">
        <v>36</v>
      </c>
      <c r="H497" s="105" t="str">
        <f>HYPERLINK("http://www.mediafire.com/?1ajhon1nn1i1r", "download link")</f>
        <v>download link</v>
      </c>
      <c r="I497" s="174"/>
    </row>
    <row r="498">
      <c r="A498" s="150">
        <v>41208.0</v>
      </c>
      <c r="B498" s="156"/>
      <c r="C498" s="116" t="str">
        <f>HYPERLINK("http://phish.net/sideshows/trey-anastasio-band/?showid=1347042130", "setlist")</f>
        <v>setlist</v>
      </c>
      <c r="D498" s="153" t="s">
        <v>1330</v>
      </c>
      <c r="E498" s="153" t="s">
        <v>162</v>
      </c>
      <c r="F498" s="151" t="s">
        <v>129</v>
      </c>
      <c r="G498" s="156"/>
      <c r="H498" s="145"/>
      <c r="I498" s="79"/>
    </row>
    <row r="499">
      <c r="A499" s="130">
        <v>41209.0</v>
      </c>
      <c r="B499" s="131"/>
      <c r="C499" s="105" t="str">
        <f>HYPERLINK("http://phish.net/sideshows/trey-anastasio-band/?showid=1347042156", "setlist")</f>
        <v>setlist</v>
      </c>
      <c r="D499" s="132" t="s">
        <v>958</v>
      </c>
      <c r="E499" s="132" t="s">
        <v>94</v>
      </c>
      <c r="F499" s="133" t="s">
        <v>95</v>
      </c>
      <c r="G499" s="133" t="s">
        <v>36</v>
      </c>
      <c r="H499" s="105" t="str">
        <f>HYPERLINK("http://www.mediafire.com/?2b3pt59zrupd2", "download link")</f>
        <v>download link</v>
      </c>
      <c r="I499" s="174"/>
    </row>
    <row r="500">
      <c r="A500" s="150">
        <v>41210.0</v>
      </c>
      <c r="B500" s="156"/>
      <c r="C500" s="116" t="str">
        <f>HYPERLINK("http://phish.net/sideshows/trey-anastasio-band/?d="&amp;RIGHT(TEXT(A500,"mm/dd/yyyy"),4)&amp;"-"&amp;LEFT(TEXT(A500,"mm/dd/yyyy"),2)&amp;"-"&amp;MID(TEXT(A500,"mm/dd/yyyy"),4,2), "setlist")</f>
        <v>setlist</v>
      </c>
      <c r="D500" s="153" t="s">
        <v>570</v>
      </c>
      <c r="E500" s="153" t="s">
        <v>571</v>
      </c>
      <c r="F500" s="151" t="s">
        <v>129</v>
      </c>
      <c r="G500" s="156"/>
      <c r="H500" s="145"/>
      <c r="I500" s="79"/>
    </row>
    <row r="501">
      <c r="A501" s="350"/>
      <c r="B501" s="354"/>
      <c r="C501" s="352"/>
      <c r="D501" s="353" t="s">
        <v>2879</v>
      </c>
      <c r="E501" s="355"/>
      <c r="F501" s="354"/>
      <c r="G501" s="354"/>
      <c r="H501" s="351"/>
      <c r="I501" s="355"/>
    </row>
    <row r="502">
      <c r="A502" s="147">
        <v>41249.0</v>
      </c>
      <c r="B502" s="148" t="s">
        <v>32</v>
      </c>
      <c r="C502" s="369" t="s">
        <v>40</v>
      </c>
      <c r="D502" s="149" t="s">
        <v>2873</v>
      </c>
      <c r="E502" s="149" t="s">
        <v>871</v>
      </c>
      <c r="F502" s="148" t="s">
        <v>212</v>
      </c>
      <c r="G502" s="148" t="s">
        <v>36</v>
      </c>
      <c r="H502" s="116" t="str">
        <f>HYPERLINK("http://www.mediafire.com/?6wug9429ciocx", "download link")</f>
        <v>download link</v>
      </c>
      <c r="I502" s="173"/>
    </row>
    <row r="503">
      <c r="A503" s="364"/>
      <c r="B503" s="365"/>
      <c r="C503" s="366"/>
      <c r="D503" s="353" t="s">
        <v>3059</v>
      </c>
      <c r="E503" s="367"/>
      <c r="F503" s="365"/>
      <c r="G503" s="365"/>
      <c r="H503" s="358"/>
      <c r="I503" s="367"/>
    </row>
    <row r="504">
      <c r="A504" s="150">
        <v>41249.0</v>
      </c>
      <c r="B504" s="156"/>
      <c r="C504" s="116" t="str">
        <f>HYPERLINK("http://phish.net/sideshows/trey-anastasio-band/?d="&amp;RIGHT(TEXT(A504,"mm/dd/yyyy"),4)&amp;"-"&amp;LEFT(TEXT(A504,"mm/dd/yyyy"),2)&amp;"-"&amp;MID(TEXT(A504,"mm/dd/yyyy"),4,2), "setlist")</f>
        <v>setlist</v>
      </c>
      <c r="D504" s="153" t="s">
        <v>3060</v>
      </c>
      <c r="E504" s="153" t="s">
        <v>2421</v>
      </c>
      <c r="F504" s="151" t="s">
        <v>43</v>
      </c>
      <c r="G504" s="151" t="s">
        <v>36</v>
      </c>
      <c r="H504" s="116" t="str">
        <f>HYPERLINK("http://www.mediafire.com/?c69g39cxc1c5u", "download link")</f>
        <v>download link</v>
      </c>
      <c r="I504" s="79"/>
    </row>
    <row r="505">
      <c r="A505" s="350"/>
      <c r="B505" s="354"/>
      <c r="C505" s="352"/>
      <c r="D505" s="353" t="s">
        <v>3061</v>
      </c>
      <c r="E505" s="355"/>
      <c r="F505" s="354"/>
      <c r="G505" s="354"/>
      <c r="H505" s="351"/>
      <c r="I505" s="355"/>
    </row>
    <row r="506">
      <c r="A506" s="147">
        <v>41292.0</v>
      </c>
      <c r="B506" s="158"/>
      <c r="C506" s="116" t="str">
        <f t="shared" ref="C506:C512" si="44">HYPERLINK("http://phish.net/sideshows/trey-anastasio-band/?d="&amp;RIGHT(TEXT(A506,"mm/dd/yyyy"),4)&amp;"-"&amp;LEFT(TEXT(A506,"mm/dd/yyyy"),2)&amp;"-"&amp;MID(TEXT(A506,"mm/dd/yyyy"),4,2), "setlist")</f>
        <v>setlist</v>
      </c>
      <c r="D506" s="149" t="s">
        <v>3062</v>
      </c>
      <c r="E506" s="153" t="s">
        <v>1090</v>
      </c>
      <c r="F506" s="148" t="s">
        <v>1091</v>
      </c>
      <c r="G506" s="148" t="s">
        <v>36</v>
      </c>
      <c r="H506" s="116" t="str">
        <f>HYPERLINK("http://www.mediafire.com/?a5qzjojf554qg", "download link")</f>
        <v>download link</v>
      </c>
      <c r="I506" s="173"/>
    </row>
    <row r="507">
      <c r="A507" s="130">
        <v>41293.0</v>
      </c>
      <c r="B507" s="131"/>
      <c r="C507" s="105" t="str">
        <f t="shared" si="44"/>
        <v>setlist</v>
      </c>
      <c r="D507" s="132" t="s">
        <v>2851</v>
      </c>
      <c r="E507" s="132" t="s">
        <v>311</v>
      </c>
      <c r="F507" s="133" t="s">
        <v>129</v>
      </c>
      <c r="G507" s="131"/>
      <c r="H507" s="108"/>
      <c r="I507" s="174"/>
    </row>
    <row r="508">
      <c r="A508" s="147">
        <v>41294.0</v>
      </c>
      <c r="B508" s="158"/>
      <c r="C508" s="116" t="str">
        <f t="shared" si="44"/>
        <v>setlist</v>
      </c>
      <c r="D508" s="149" t="s">
        <v>1193</v>
      </c>
      <c r="E508" s="153" t="s">
        <v>279</v>
      </c>
      <c r="F508" s="148" t="s">
        <v>257</v>
      </c>
      <c r="G508" s="148" t="s">
        <v>36</v>
      </c>
      <c r="H508" s="116" t="str">
        <f>HYPERLINK("http://www.mediafire.com/?y6ws169b3buu8", "download link")</f>
        <v>download link</v>
      </c>
      <c r="I508" s="173"/>
    </row>
    <row r="509">
      <c r="A509" s="130">
        <v>41297.0</v>
      </c>
      <c r="B509" s="131"/>
      <c r="C509" s="105" t="str">
        <f t="shared" si="44"/>
        <v>setlist</v>
      </c>
      <c r="D509" s="132" t="s">
        <v>570</v>
      </c>
      <c r="E509" s="132" t="s">
        <v>571</v>
      </c>
      <c r="F509" s="133" t="s">
        <v>129</v>
      </c>
      <c r="G509" s="131"/>
      <c r="H509" s="108"/>
      <c r="I509" s="174"/>
    </row>
    <row r="510">
      <c r="A510" s="147">
        <v>41298.0</v>
      </c>
      <c r="B510" s="158"/>
      <c r="C510" s="116" t="str">
        <f t="shared" si="44"/>
        <v>setlist</v>
      </c>
      <c r="D510" s="149" t="s">
        <v>570</v>
      </c>
      <c r="E510" s="153" t="s">
        <v>571</v>
      </c>
      <c r="F510" s="148" t="s">
        <v>129</v>
      </c>
      <c r="G510" s="148" t="s">
        <v>36</v>
      </c>
      <c r="H510" s="116" t="str">
        <f>HYPERLINK("http://www.mediafire.com/?2cbab52z6p50b", "download link")</f>
        <v>download link</v>
      </c>
      <c r="I510" s="173"/>
    </row>
    <row r="511">
      <c r="A511" s="130">
        <v>41299.0</v>
      </c>
      <c r="B511" s="131"/>
      <c r="C511" s="105" t="str">
        <f t="shared" si="44"/>
        <v>setlist</v>
      </c>
      <c r="D511" s="132" t="s">
        <v>3044</v>
      </c>
      <c r="E511" s="132" t="s">
        <v>3045</v>
      </c>
      <c r="F511" s="133" t="s">
        <v>43</v>
      </c>
      <c r="G511" s="133" t="s">
        <v>36</v>
      </c>
      <c r="H511" s="105" t="str">
        <f>HYPERLINK("http://www.mediafire.com/?3teajj95hv1zd", "download link")</f>
        <v>download link</v>
      </c>
      <c r="I511" s="174"/>
    </row>
    <row r="512">
      <c r="A512" s="147">
        <v>41300.0</v>
      </c>
      <c r="B512" s="158"/>
      <c r="C512" s="116" t="str">
        <f t="shared" si="44"/>
        <v>setlist</v>
      </c>
      <c r="D512" s="149" t="s">
        <v>866</v>
      </c>
      <c r="E512" s="153" t="s">
        <v>309</v>
      </c>
      <c r="F512" s="148" t="s">
        <v>129</v>
      </c>
      <c r="G512" s="148" t="s">
        <v>36</v>
      </c>
      <c r="H512" s="116" t="str">
        <f>HYPERLINK("http://www.mediafire.com/?ekyib3dihfh9e", "download link")</f>
        <v>download link</v>
      </c>
      <c r="I512" s="173"/>
    </row>
    <row r="513">
      <c r="A513" s="350"/>
      <c r="B513" s="354"/>
      <c r="C513" s="352"/>
      <c r="D513" s="353" t="s">
        <v>3063</v>
      </c>
      <c r="E513" s="355"/>
      <c r="F513" s="354"/>
      <c r="G513" s="354"/>
      <c r="H513" s="351"/>
      <c r="I513" s="355"/>
    </row>
    <row r="514">
      <c r="A514" s="147">
        <v>41380.0</v>
      </c>
      <c r="B514" s="158"/>
      <c r="C514" s="116" t="str">
        <f t="shared" ref="C514:C518" si="45">HYPERLINK("http://phish.net/sideshows/trey-anastasio-band/?d="&amp;RIGHT(TEXT(A514,"mm/dd/yyyy"),4)&amp;"-"&amp;LEFT(TEXT(A514,"mm/dd/yyyy"),2)&amp;"-"&amp;MID(TEXT(A514,"mm/dd/yyyy"),4,2), "setlist")</f>
        <v>setlist</v>
      </c>
      <c r="D514" s="149" t="s">
        <v>1390</v>
      </c>
      <c r="E514" s="153" t="s">
        <v>791</v>
      </c>
      <c r="F514" s="148" t="s">
        <v>701</v>
      </c>
      <c r="G514" s="148" t="s">
        <v>36</v>
      </c>
      <c r="H514" s="116" t="str">
        <f>HYPERLINK("http://www.mediafire.com/download/3xyyusyhl1u751v/2013-04-16_-_The_Moore_Theatre_-_Seattle%2C_WA.rar", "download link")</f>
        <v>download link</v>
      </c>
      <c r="I514" s="173"/>
    </row>
    <row r="515">
      <c r="A515" s="130">
        <v>41381.0</v>
      </c>
      <c r="B515" s="131"/>
      <c r="C515" s="105" t="str">
        <f t="shared" si="45"/>
        <v>setlist</v>
      </c>
      <c r="D515" s="132" t="s">
        <v>3064</v>
      </c>
      <c r="E515" s="132" t="s">
        <v>279</v>
      </c>
      <c r="F515" s="133" t="s">
        <v>692</v>
      </c>
      <c r="G515" s="131"/>
      <c r="H515" s="108"/>
      <c r="I515" s="174"/>
    </row>
    <row r="516">
      <c r="A516" s="147">
        <v>41383.0</v>
      </c>
      <c r="B516" s="158"/>
      <c r="C516" s="116" t="str">
        <f t="shared" si="45"/>
        <v>setlist</v>
      </c>
      <c r="D516" s="149" t="s">
        <v>3042</v>
      </c>
      <c r="E516" s="153" t="s">
        <v>2909</v>
      </c>
      <c r="F516" s="148" t="s">
        <v>679</v>
      </c>
      <c r="G516" s="158"/>
      <c r="H516" s="145"/>
      <c r="I516" s="173"/>
    </row>
    <row r="517">
      <c r="A517" s="130">
        <v>41384.0</v>
      </c>
      <c r="B517" s="131"/>
      <c r="C517" s="105" t="str">
        <f t="shared" si="45"/>
        <v>setlist</v>
      </c>
      <c r="D517" s="132" t="s">
        <v>3042</v>
      </c>
      <c r="E517" s="132" t="s">
        <v>2909</v>
      </c>
      <c r="F517" s="133" t="s">
        <v>679</v>
      </c>
      <c r="G517" s="131"/>
      <c r="H517" s="108"/>
      <c r="I517" s="174"/>
    </row>
    <row r="518">
      <c r="A518" s="150">
        <v>41413.0</v>
      </c>
      <c r="B518" s="156"/>
      <c r="C518" s="116" t="str">
        <f t="shared" si="45"/>
        <v>setlist</v>
      </c>
      <c r="D518" s="153" t="s">
        <v>3065</v>
      </c>
      <c r="E518" s="153" t="s">
        <v>3034</v>
      </c>
      <c r="F518" s="151" t="s">
        <v>583</v>
      </c>
      <c r="G518" s="151" t="s">
        <v>36</v>
      </c>
      <c r="H518" s="116" t="str">
        <f>HYPERLINK("http://www.mediafire.com/download/d75nz1cc8qv55ap/2013-05-19_-_Hangout_Music_Festival_-_Gulf_Shores%2C_AL.rar", "download link")</f>
        <v>download link</v>
      </c>
      <c r="I518" s="79"/>
    </row>
    <row r="519">
      <c r="A519" s="350"/>
      <c r="B519" s="354"/>
      <c r="C519" s="352"/>
      <c r="D519" s="353" t="s">
        <v>3066</v>
      </c>
      <c r="E519" s="355"/>
      <c r="F519" s="354"/>
      <c r="G519" s="354"/>
      <c r="H519" s="351"/>
      <c r="I519" s="355"/>
    </row>
    <row r="520">
      <c r="A520" s="150">
        <v>41416.0</v>
      </c>
      <c r="B520" s="156"/>
      <c r="C520" s="116" t="str">
        <f>HYPERLINK("http://phish.net/sideshows/trey-anastasio-band/?d="&amp;RIGHT(TEXT(A520,"mm/dd/yyyy"),4)&amp;"-"&amp;LEFT(TEXT(A520,"mm/dd/yyyy"),2)&amp;"-"&amp;MID(TEXT(A520,"mm/dd/yyyy"),4,2), "setlist")</f>
        <v>setlist</v>
      </c>
      <c r="D520" s="153" t="s">
        <v>3067</v>
      </c>
      <c r="E520" s="153" t="s">
        <v>393</v>
      </c>
      <c r="F520" s="151" t="s">
        <v>394</v>
      </c>
      <c r="G520" s="156"/>
      <c r="H520" s="145"/>
      <c r="I520" s="79"/>
    </row>
    <row r="521">
      <c r="A521" s="350"/>
      <c r="B521" s="354"/>
      <c r="C521" s="352"/>
      <c r="D521" s="353" t="s">
        <v>3068</v>
      </c>
      <c r="E521" s="355"/>
      <c r="F521" s="354"/>
      <c r="G521" s="354"/>
      <c r="H521" s="351"/>
      <c r="I521" s="355"/>
    </row>
    <row r="522">
      <c r="A522" s="150">
        <v>41418.0</v>
      </c>
      <c r="B522" s="156"/>
      <c r="C522" s="116" t="str">
        <f t="shared" ref="C522:C524" si="46">HYPERLINK("http://phish.net/sideshows/trey-anastasio-band/?d="&amp;RIGHT(TEXT(A522,"mm/dd/yyyy"),4)&amp;"-"&amp;LEFT(TEXT(A522,"mm/dd/yyyy"),2)&amp;"-"&amp;MID(TEXT(A522,"mm/dd/yyyy"),4,2), "setlist")</f>
        <v>setlist</v>
      </c>
      <c r="D522" s="153" t="s">
        <v>3069</v>
      </c>
      <c r="E522" s="153" t="s">
        <v>3070</v>
      </c>
      <c r="F522" s="151" t="s">
        <v>397</v>
      </c>
      <c r="G522" s="151" t="s">
        <v>36</v>
      </c>
      <c r="H522" s="116" t="str">
        <f>HYPERLINK("http://www.mediafire.com/download/qu3d2d8ivau78nt/2013-05-24_-_Allegany_County_Fairgrounds_-_Cumberland%2C_MD.rar", "download link")</f>
        <v>download link</v>
      </c>
      <c r="I522" s="79"/>
    </row>
    <row r="523">
      <c r="A523" s="130">
        <v>41420.0</v>
      </c>
      <c r="B523" s="131"/>
      <c r="C523" s="105" t="str">
        <f t="shared" si="46"/>
        <v>setlist</v>
      </c>
      <c r="D523" s="132" t="s">
        <v>3071</v>
      </c>
      <c r="E523" s="132" t="s">
        <v>3072</v>
      </c>
      <c r="F523" s="133" t="s">
        <v>480</v>
      </c>
      <c r="G523" s="133" t="s">
        <v>36</v>
      </c>
      <c r="H523" s="105" t="str">
        <f>HYPERLINK("http://www.mediafire.com/download/5ipbfhep4uaduuy/2013-05-26_-_Three_Sisters_Park_-_Chillicothe%2C_IL.rar", "download link")</f>
        <v>download link</v>
      </c>
      <c r="I523" s="132" t="s">
        <v>3073</v>
      </c>
    </row>
    <row r="524">
      <c r="A524" s="150">
        <v>41524.0</v>
      </c>
      <c r="B524" s="156"/>
      <c r="C524" s="116" t="str">
        <f t="shared" si="46"/>
        <v>setlist</v>
      </c>
      <c r="D524" s="153" t="s">
        <v>3074</v>
      </c>
      <c r="E524" s="153" t="s">
        <v>2627</v>
      </c>
      <c r="F524" s="151" t="s">
        <v>446</v>
      </c>
      <c r="G524" s="151" t="s">
        <v>36</v>
      </c>
      <c r="H524" s="116" t="str">
        <f>HYPERLINK("http://www.mediafire.com/download/61ffv9ajd59bm15/2013-09-07_-_Lockn%27_Festival_-_Arrington%2C_VA.rar", "download link")</f>
        <v>download link</v>
      </c>
      <c r="I524" s="79"/>
    </row>
    <row r="525">
      <c r="A525" s="350"/>
      <c r="B525" s="354"/>
      <c r="C525" s="352"/>
      <c r="D525" s="353" t="s">
        <v>3061</v>
      </c>
      <c r="E525" s="355"/>
      <c r="F525" s="354"/>
      <c r="G525" s="354"/>
      <c r="H525" s="351"/>
      <c r="I525" s="355"/>
    </row>
    <row r="526">
      <c r="A526" s="150">
        <v>41667.0</v>
      </c>
      <c r="B526" s="156"/>
      <c r="C526" s="116" t="str">
        <f t="shared" ref="C526:C538" si="47">HYPERLINK("http://phish.net/sideshows/trey-anastasio-band/?d="&amp;RIGHT(TEXT(A526,"mm/dd/yyyy"),4)&amp;"-"&amp;LEFT(TEXT(A526,"mm/dd/yyyy"),2)&amp;"-"&amp;MID(TEXT(A526,"mm/dd/yyyy"),4,2), "setlist")</f>
        <v>setlist</v>
      </c>
      <c r="D526" s="153" t="s">
        <v>3040</v>
      </c>
      <c r="E526" s="153" t="s">
        <v>499</v>
      </c>
      <c r="F526" s="151" t="s">
        <v>203</v>
      </c>
      <c r="G526" s="151" t="s">
        <v>36</v>
      </c>
      <c r="H526" s="116" t="str">
        <f>HYPERLINK("http://www.mediafire.com/download/fwfm6g6p7ba1u47/2014-01-28_-_The_Ogden_Theatre_-_Denver%2C_CO.rar", "download link")</f>
        <v>download link</v>
      </c>
      <c r="I526" s="79"/>
    </row>
    <row r="527">
      <c r="A527" s="130">
        <v>41668.0</v>
      </c>
      <c r="B527" s="131"/>
      <c r="C527" s="105" t="str">
        <f t="shared" si="47"/>
        <v>setlist</v>
      </c>
      <c r="D527" s="132" t="s">
        <v>3040</v>
      </c>
      <c r="E527" s="132" t="s">
        <v>499</v>
      </c>
      <c r="F527" s="133" t="s">
        <v>203</v>
      </c>
      <c r="G527" s="133" t="s">
        <v>36</v>
      </c>
      <c r="H527" s="105" t="str">
        <f>HYPERLINK("http://www.mediafire.com/download/xn574jwk13yh6in/2014-01-29_-_The_Ogden_Theatre_-_Denver%2C_CO.rar", "download link")</f>
        <v>download link</v>
      </c>
      <c r="I527" s="174"/>
    </row>
    <row r="528">
      <c r="A528" s="150">
        <v>41670.0</v>
      </c>
      <c r="B528" s="156"/>
      <c r="C528" s="116" t="str">
        <f t="shared" si="47"/>
        <v>setlist</v>
      </c>
      <c r="D528" s="153" t="s">
        <v>3030</v>
      </c>
      <c r="E528" s="153" t="s">
        <v>1204</v>
      </c>
      <c r="F528" s="151" t="s">
        <v>886</v>
      </c>
      <c r="G528" s="151" t="s">
        <v>36</v>
      </c>
      <c r="H528" s="116" t="str">
        <f>HYPERLINK("http://www.mediafire.com/download/31wqgkwh49wv3k4/2014-01-31_-_Uptown_Theater_-_Kansas_City%2C_MO.rar", "download link")</f>
        <v>download link</v>
      </c>
      <c r="I528" s="79"/>
    </row>
    <row r="529">
      <c r="A529" s="130">
        <v>41671.0</v>
      </c>
      <c r="B529" s="131"/>
      <c r="C529" s="105" t="str">
        <f t="shared" si="47"/>
        <v>setlist</v>
      </c>
      <c r="D529" s="132" t="s">
        <v>3031</v>
      </c>
      <c r="E529" s="132" t="s">
        <v>885</v>
      </c>
      <c r="F529" s="133" t="s">
        <v>886</v>
      </c>
      <c r="G529" s="133" t="s">
        <v>36</v>
      </c>
      <c r="H529" s="105" t="str">
        <f>HYPERLINK("http://www.mediafire.com/download/392k63c4aozkhf1/2014-02-01_-_The_Pageant_-_St._Louis%2C_MO.rar", "download link")</f>
        <v>download link</v>
      </c>
      <c r="I529" s="174"/>
    </row>
    <row r="530">
      <c r="A530" s="150">
        <v>41674.0</v>
      </c>
      <c r="B530" s="156"/>
      <c r="C530" s="116" t="str">
        <f t="shared" si="47"/>
        <v>setlist</v>
      </c>
      <c r="D530" s="153" t="s">
        <v>932</v>
      </c>
      <c r="E530" s="153" t="s">
        <v>485</v>
      </c>
      <c r="F530" s="151" t="s">
        <v>486</v>
      </c>
      <c r="G530" s="156"/>
      <c r="H530" s="145"/>
      <c r="I530" s="79"/>
    </row>
    <row r="531">
      <c r="A531" s="130">
        <v>41675.0</v>
      </c>
      <c r="B531" s="131"/>
      <c r="C531" s="105" t="str">
        <f t="shared" si="47"/>
        <v>setlist</v>
      </c>
      <c r="D531" s="132" t="s">
        <v>3029</v>
      </c>
      <c r="E531" s="132" t="s">
        <v>936</v>
      </c>
      <c r="F531" s="133" t="s">
        <v>483</v>
      </c>
      <c r="G531" s="131"/>
      <c r="H531" s="108"/>
      <c r="I531" s="174"/>
    </row>
    <row r="532">
      <c r="A532" s="150">
        <v>41677.0</v>
      </c>
      <c r="B532" s="156"/>
      <c r="C532" s="116" t="str">
        <f t="shared" si="47"/>
        <v>setlist</v>
      </c>
      <c r="D532" s="153" t="s">
        <v>2990</v>
      </c>
      <c r="E532" s="153" t="s">
        <v>585</v>
      </c>
      <c r="F532" s="151" t="s">
        <v>586</v>
      </c>
      <c r="G532" s="156"/>
      <c r="H532" s="145"/>
      <c r="I532" s="79"/>
    </row>
    <row r="533">
      <c r="A533" s="130">
        <v>41678.0</v>
      </c>
      <c r="B533" s="131"/>
      <c r="C533" s="105" t="str">
        <f t="shared" si="47"/>
        <v>setlist</v>
      </c>
      <c r="D533" s="132" t="s">
        <v>2990</v>
      </c>
      <c r="E533" s="132" t="s">
        <v>585</v>
      </c>
      <c r="F533" s="133" t="s">
        <v>586</v>
      </c>
      <c r="G533" s="131"/>
      <c r="H533" s="108"/>
      <c r="I533" s="174"/>
    </row>
    <row r="534">
      <c r="A534" s="150">
        <v>41679.0</v>
      </c>
      <c r="B534" s="156"/>
      <c r="C534" s="116" t="str">
        <f t="shared" si="47"/>
        <v>setlist</v>
      </c>
      <c r="D534" s="153" t="s">
        <v>3075</v>
      </c>
      <c r="E534" s="153" t="s">
        <v>1360</v>
      </c>
      <c r="F534" s="151" t="s">
        <v>583</v>
      </c>
      <c r="G534" s="151" t="s">
        <v>36</v>
      </c>
      <c r="H534" s="116" t="str">
        <f>HYPERLINK("http://www.mediafire.com/download/ey0bcw6xj658g9r/2014-02-09_-_Iron_City_-_Birmingham%2C_AL.rar", "download link")</f>
        <v>download link</v>
      </c>
      <c r="I534" s="79"/>
    </row>
    <row r="535">
      <c r="A535" s="130">
        <v>41681.0</v>
      </c>
      <c r="B535" s="131"/>
      <c r="C535" s="105" t="str">
        <f t="shared" si="47"/>
        <v>setlist</v>
      </c>
      <c r="D535" s="132" t="s">
        <v>2990</v>
      </c>
      <c r="E535" s="132" t="s">
        <v>1136</v>
      </c>
      <c r="F535" s="133" t="s">
        <v>1133</v>
      </c>
      <c r="G535" s="133" t="s">
        <v>36</v>
      </c>
      <c r="H535" s="105" t="str">
        <f>HYPERLINK("http://www.mediafire.com/download/7ubv38g8gzb3l17/2014-02-11_-_House_of_Blues_-_Orlando%2C_FL.rar", "download link")</f>
        <v>download link</v>
      </c>
      <c r="I535" s="174"/>
    </row>
    <row r="536">
      <c r="A536" s="150">
        <v>41684.0</v>
      </c>
      <c r="B536" s="156"/>
      <c r="C536" s="116" t="str">
        <f t="shared" si="47"/>
        <v>setlist</v>
      </c>
      <c r="D536" s="153" t="s">
        <v>2898</v>
      </c>
      <c r="E536" s="153" t="s">
        <v>437</v>
      </c>
      <c r="F536" s="151" t="s">
        <v>433</v>
      </c>
      <c r="G536" s="151" t="s">
        <v>36</v>
      </c>
      <c r="H536" s="116" t="str">
        <f>HYPERLINK("http://www.mediafire.com/download/647gxjplo3ns5md/2014-02-14_-_The_Tabernacle_-_Atlanta%2C_GA.rar", "download link")</f>
        <v>download link</v>
      </c>
      <c r="I536" s="79"/>
    </row>
    <row r="537">
      <c r="A537" s="130">
        <v>41685.0</v>
      </c>
      <c r="B537" s="131"/>
      <c r="C537" s="105" t="str">
        <f t="shared" si="47"/>
        <v>setlist</v>
      </c>
      <c r="D537" s="132" t="s">
        <v>3076</v>
      </c>
      <c r="E537" s="132" t="s">
        <v>1289</v>
      </c>
      <c r="F537" s="133" t="s">
        <v>508</v>
      </c>
      <c r="G537" s="131"/>
      <c r="H537" s="108"/>
      <c r="I537" s="174"/>
    </row>
    <row r="538">
      <c r="A538" s="150">
        <v>41687.0</v>
      </c>
      <c r="B538" s="156"/>
      <c r="C538" s="116" t="str">
        <f t="shared" si="47"/>
        <v>setlist</v>
      </c>
      <c r="D538" s="153" t="s">
        <v>3032</v>
      </c>
      <c r="E538" s="153" t="s">
        <v>541</v>
      </c>
      <c r="F538" s="151" t="s">
        <v>443</v>
      </c>
      <c r="G538" s="151" t="s">
        <v>36</v>
      </c>
      <c r="H538" s="116" t="str">
        <f>HYPERLINK("http://www.mediafire.com/download/y4pslh1d01uno2q/2014-02-17_-_The_Fillmore_Charlotte_-_Charlotte%2C_NC.rar", "download link")</f>
        <v>download link</v>
      </c>
      <c r="I538" s="79"/>
    </row>
    <row r="539">
      <c r="A539" s="350"/>
      <c r="B539" s="354"/>
      <c r="C539" s="352"/>
      <c r="D539" s="353" t="s">
        <v>3023</v>
      </c>
      <c r="E539" s="355"/>
      <c r="F539" s="354"/>
      <c r="G539" s="354"/>
      <c r="H539" s="351"/>
      <c r="I539" s="355"/>
    </row>
    <row r="540">
      <c r="A540" s="150">
        <v>41740.0</v>
      </c>
      <c r="B540" s="156"/>
      <c r="C540" s="116" t="str">
        <f t="shared" ref="C540:C546" si="48">HYPERLINK("http://phish.net/sideshows/trey-anastasio-band/?d="&amp;RIGHT(TEXT(A540,"mm/dd/yyyy"),4)&amp;"-"&amp;LEFT(TEXT(A540,"mm/dd/yyyy"),2)&amp;"-"&amp;MID(TEXT(A540,"mm/dd/yyyy"),4,2), "setlist")</f>
        <v>setlist</v>
      </c>
      <c r="D540" s="153" t="s">
        <v>3049</v>
      </c>
      <c r="E540" s="153" t="s">
        <v>3050</v>
      </c>
      <c r="F540" s="151" t="s">
        <v>1133</v>
      </c>
      <c r="G540" s="151" t="s">
        <v>36</v>
      </c>
      <c r="H540" s="116" t="str">
        <f>HYPERLINK("http://www.mediafire.com/download/3639865i83cbmci/2014-04-11_-_Spirit_of_the_Suwannee_Music_Park_-_Live_Oak%2C_FL.rar", "download link")</f>
        <v>download link</v>
      </c>
      <c r="I540" s="79"/>
    </row>
    <row r="541">
      <c r="A541" s="130">
        <v>41782.0</v>
      </c>
      <c r="B541" s="131"/>
      <c r="C541" s="105" t="str">
        <f t="shared" si="48"/>
        <v>setlist</v>
      </c>
      <c r="D541" s="132" t="s">
        <v>2990</v>
      </c>
      <c r="E541" s="132" t="s">
        <v>773</v>
      </c>
      <c r="F541" s="133" t="s">
        <v>472</v>
      </c>
      <c r="G541" s="133" t="s">
        <v>36</v>
      </c>
      <c r="H541" s="105" t="str">
        <f>HYPERLINK("http://www.mediafire.com/download/ygtd9n0pye233tw/2014-05-23_-_House_of_Blues_-_Cleveland,_OH.rar", "download link")</f>
        <v>download link</v>
      </c>
      <c r="I541" s="174"/>
    </row>
    <row r="542">
      <c r="A542" s="150">
        <v>41783.0</v>
      </c>
      <c r="B542" s="156"/>
      <c r="C542" s="116" t="str">
        <f t="shared" si="48"/>
        <v>setlist</v>
      </c>
      <c r="D542" s="153" t="s">
        <v>2923</v>
      </c>
      <c r="E542" s="153" t="s">
        <v>943</v>
      </c>
      <c r="F542" s="151" t="s">
        <v>472</v>
      </c>
      <c r="G542" s="151" t="s">
        <v>36</v>
      </c>
      <c r="H542" s="116" t="str">
        <f>HYPERLINK("http://www.mediafire.com/download/t5c95c26ta2qg1t/2014-05-24_-_The_Taft_Theatre_-_Cincinnati,_OH.rar", "download link")</f>
        <v>download link</v>
      </c>
      <c r="I542" s="79"/>
    </row>
    <row r="543">
      <c r="A543" s="130">
        <v>41784.0</v>
      </c>
      <c r="B543" s="131"/>
      <c r="C543" s="105" t="str">
        <f t="shared" si="48"/>
        <v>setlist</v>
      </c>
      <c r="D543" s="132" t="s">
        <v>3071</v>
      </c>
      <c r="E543" s="132" t="s">
        <v>3072</v>
      </c>
      <c r="F543" s="133" t="s">
        <v>480</v>
      </c>
      <c r="G543" s="195" t="s">
        <v>36</v>
      </c>
      <c r="H543" s="105" t="str">
        <f>HYPERLINK("http://www.mediafire.com/file/8mujj39c3oh6vsf/2014-05-25_-_Three_Sisters_Park_-_Chillicothe%2C_IL.rar", "download link")</f>
        <v>download link</v>
      </c>
      <c r="I543" s="174"/>
    </row>
    <row r="544">
      <c r="A544" s="150">
        <v>41866.0</v>
      </c>
      <c r="B544" s="156"/>
      <c r="C544" s="116" t="str">
        <f t="shared" si="48"/>
        <v>setlist</v>
      </c>
      <c r="D544" s="153" t="s">
        <v>3077</v>
      </c>
      <c r="E544" s="153" t="s">
        <v>2976</v>
      </c>
      <c r="F544" s="151" t="s">
        <v>212</v>
      </c>
      <c r="G544" s="151" t="s">
        <v>36</v>
      </c>
      <c r="H544" s="116" t="str">
        <f>HYPERLINK("http://www.mediafire.com/download/vj49sxciquo4f71/2014-08-15_-_The_Pavilion_at_Montage_Mountain_-_Scranton,_PA.rar", "download link")</f>
        <v>download link</v>
      </c>
      <c r="I544" s="79"/>
    </row>
    <row r="545">
      <c r="A545" s="130">
        <v>41867.0</v>
      </c>
      <c r="B545" s="131"/>
      <c r="C545" s="105" t="str">
        <f t="shared" si="48"/>
        <v>setlist</v>
      </c>
      <c r="D545" s="132" t="s">
        <v>3077</v>
      </c>
      <c r="E545" s="132" t="s">
        <v>2976</v>
      </c>
      <c r="F545" s="133" t="s">
        <v>212</v>
      </c>
      <c r="G545" s="133" t="s">
        <v>36</v>
      </c>
      <c r="H545" s="105" t="str">
        <f>HYPERLINK("http://www.mediafire.com/download/65t0gdwz6cbt1i1/2014-08-16_-_The_Pavilion_at_Montage_Mountain_-_Scranton,_PA.rar", "download link")</f>
        <v>download link</v>
      </c>
      <c r="I545" s="174"/>
    </row>
    <row r="546">
      <c r="A546" s="150">
        <v>41868.0</v>
      </c>
      <c r="B546" s="156"/>
      <c r="C546" s="116" t="str">
        <f t="shared" si="48"/>
        <v>setlist</v>
      </c>
      <c r="D546" s="153" t="s">
        <v>3078</v>
      </c>
      <c r="E546" s="153" t="s">
        <v>2294</v>
      </c>
      <c r="F546" s="151" t="s">
        <v>129</v>
      </c>
      <c r="G546" s="151" t="s">
        <v>36</v>
      </c>
      <c r="H546" s="116" t="str">
        <f>HYPERLINK("http://www.mediafire.com/download/bbzqi1aoqbby8ty/2014-08-17_-_Brooklyn_Bowl_-_Brooklyn,_NY.rar", "download link")</f>
        <v>download link</v>
      </c>
      <c r="I546" s="79"/>
    </row>
    <row r="547">
      <c r="A547" s="350"/>
      <c r="B547" s="354"/>
      <c r="C547" s="352"/>
      <c r="D547" s="353" t="s">
        <v>3079</v>
      </c>
      <c r="E547" s="355"/>
      <c r="F547" s="354"/>
      <c r="G547" s="354"/>
      <c r="H547" s="351"/>
      <c r="I547" s="355"/>
    </row>
    <row r="548">
      <c r="A548" s="110">
        <v>41891.0</v>
      </c>
      <c r="B548" s="111"/>
      <c r="C548" s="116" t="str">
        <f t="shared" ref="C548:C550" si="49">HYPERLINK("http://phish.net/sideshows/trey-anastasio-band/?d="&amp;RIGHT(TEXT(A548,"mm/dd/yyyy"),4)&amp;"-"&amp;LEFT(TEXT(A548,"mm/dd/yyyy"),2)&amp;"-"&amp;MID(TEXT(A548,"mm/dd/yyyy"),4,2), "setlist")</f>
        <v>setlist</v>
      </c>
      <c r="D548" s="113" t="s">
        <v>1308</v>
      </c>
      <c r="E548" s="113" t="s">
        <v>279</v>
      </c>
      <c r="F548" s="114" t="s">
        <v>692</v>
      </c>
      <c r="G548" s="111"/>
      <c r="H548" s="359"/>
      <c r="I548" s="80"/>
    </row>
    <row r="549">
      <c r="A549" s="103">
        <v>41893.0</v>
      </c>
      <c r="B549" s="104"/>
      <c r="C549" s="105" t="str">
        <f t="shared" si="49"/>
        <v>setlist</v>
      </c>
      <c r="D549" s="106" t="s">
        <v>3080</v>
      </c>
      <c r="E549" s="106" t="s">
        <v>791</v>
      </c>
      <c r="F549" s="107" t="s">
        <v>701</v>
      </c>
      <c r="G549" s="104"/>
      <c r="H549" s="360"/>
      <c r="I549" s="109"/>
    </row>
    <row r="550">
      <c r="A550" s="150">
        <v>41908.0</v>
      </c>
      <c r="B550" s="156"/>
      <c r="C550" s="116" t="str">
        <f t="shared" si="49"/>
        <v>setlist</v>
      </c>
      <c r="D550" s="153" t="s">
        <v>2449</v>
      </c>
      <c r="E550" s="153" t="s">
        <v>1163</v>
      </c>
      <c r="F550" s="151" t="s">
        <v>679</v>
      </c>
      <c r="G550" s="156"/>
      <c r="H550" s="145"/>
      <c r="I550" s="79"/>
    </row>
    <row r="551">
      <c r="A551" s="350"/>
      <c r="B551" s="354"/>
      <c r="C551" s="352"/>
      <c r="D551" s="353" t="s">
        <v>3023</v>
      </c>
      <c r="E551" s="355"/>
      <c r="F551" s="354"/>
      <c r="G551" s="354"/>
      <c r="H551" s="351"/>
      <c r="I551" s="355"/>
    </row>
    <row r="552">
      <c r="A552" s="150">
        <v>41971.0</v>
      </c>
      <c r="B552" s="156"/>
      <c r="C552" s="116" t="str">
        <f t="shared" ref="C552:C555" si="50">HYPERLINK("http://phish.net/sideshows/trey-anastasio-band/?d="&amp;RIGHT(TEXT(A552,"mm/dd/yyyy"),4)&amp;"-"&amp;LEFT(TEXT(A552,"mm/dd/yyyy"),2)&amp;"-"&amp;MID(TEXT(A552,"mm/dd/yyyy"),4,2), "setlist")</f>
        <v>setlist</v>
      </c>
      <c r="D552" s="153" t="s">
        <v>1196</v>
      </c>
      <c r="E552" s="153" t="s">
        <v>479</v>
      </c>
      <c r="F552" s="151" t="s">
        <v>480</v>
      </c>
      <c r="G552" s="156"/>
      <c r="H552" s="145"/>
      <c r="I552" s="79"/>
    </row>
    <row r="553">
      <c r="A553" s="130">
        <v>41972.0</v>
      </c>
      <c r="B553" s="131"/>
      <c r="C553" s="105" t="str">
        <f t="shared" si="50"/>
        <v>setlist</v>
      </c>
      <c r="D553" s="132" t="s">
        <v>3038</v>
      </c>
      <c r="E553" s="132" t="s">
        <v>1073</v>
      </c>
      <c r="F553" s="133" t="s">
        <v>212</v>
      </c>
      <c r="G553" s="133" t="s">
        <v>36</v>
      </c>
      <c r="H553" s="105" t="str">
        <f>HYPERLINK("http://www.mediafire.com/download/xeelvyuwfn08e15/2014-11-29_-_Stage_AE_-_Pittsburgh,_PA.rar", "download link")</f>
        <v>download link</v>
      </c>
      <c r="I553" s="174"/>
    </row>
    <row r="554">
      <c r="A554" s="150">
        <v>41973.0</v>
      </c>
      <c r="B554" s="156"/>
      <c r="C554" s="116" t="str">
        <f t="shared" si="50"/>
        <v>setlist</v>
      </c>
      <c r="D554" s="153" t="s">
        <v>3019</v>
      </c>
      <c r="E554" s="153" t="s">
        <v>445</v>
      </c>
      <c r="F554" s="151" t="s">
        <v>446</v>
      </c>
      <c r="G554" s="151" t="s">
        <v>36</v>
      </c>
      <c r="H554" s="116" t="str">
        <f>HYPERLINK("http://www.mediafire.com/download/72z7ne7wofectf7/2014-11-30_-_The_National_-_Richmond,_VA.rar", "download link")</f>
        <v>download link</v>
      </c>
      <c r="I554" s="79"/>
    </row>
    <row r="555">
      <c r="A555" s="130">
        <v>41975.0</v>
      </c>
      <c r="B555" s="131"/>
      <c r="C555" s="105" t="str">
        <f t="shared" si="50"/>
        <v>setlist</v>
      </c>
      <c r="D555" s="132" t="s">
        <v>2838</v>
      </c>
      <c r="E555" s="132" t="s">
        <v>393</v>
      </c>
      <c r="F555" s="133" t="s">
        <v>394</v>
      </c>
      <c r="G555" s="133" t="s">
        <v>36</v>
      </c>
      <c r="H555" s="105" t="str">
        <f>HYPERLINK("http://www.mediafire.com/download/xfp7dzxrrsnaere/2014-12-02_-_930_Club_-_Washington,_DC.rar", "download link")</f>
        <v>download link</v>
      </c>
      <c r="I555" s="174"/>
    </row>
    <row r="556">
      <c r="A556" s="147">
        <v>41976.0</v>
      </c>
      <c r="B556" s="148" t="s">
        <v>32</v>
      </c>
      <c r="C556" s="116" t="str">
        <f>HYPERLINK("http://phish.net/sideshows/trey-anastasio-band/?showid=1420519844", "setlist")</f>
        <v>setlist</v>
      </c>
      <c r="D556" s="149" t="s">
        <v>3081</v>
      </c>
      <c r="E556" s="149" t="s">
        <v>393</v>
      </c>
      <c r="F556" s="148" t="s">
        <v>394</v>
      </c>
      <c r="G556" s="148" t="s">
        <v>36</v>
      </c>
      <c r="H556" s="116" t="str">
        <f>HYPERLINK("http://www.mediafire.com/download/4zvgulalyd7fvuv/2014-12-03_-_NPR_Headquarters_-_Washington,_DC.rar", "download link")</f>
        <v>download link</v>
      </c>
      <c r="I556" s="173"/>
    </row>
    <row r="557">
      <c r="A557" s="130">
        <v>41976.0</v>
      </c>
      <c r="B557" s="131"/>
      <c r="C557" s="105" t="str">
        <f>HYPERLINK("http://phish.net/sideshows/trey-anastasio-band/?showid=1412706853", "setlist")</f>
        <v>setlist</v>
      </c>
      <c r="D557" s="132" t="s">
        <v>2838</v>
      </c>
      <c r="E557" s="132" t="s">
        <v>393</v>
      </c>
      <c r="F557" s="133" t="s">
        <v>394</v>
      </c>
      <c r="G557" s="133" t="s">
        <v>36</v>
      </c>
      <c r="H557" s="105" t="str">
        <f>HYPERLINK("http://www.mediafire.com/download/j9we5dg3e0pgk2z/2014-12-03_-_930_Club_-_Washington,_DC.rar", "download link")</f>
        <v>download link</v>
      </c>
      <c r="I557" s="174"/>
    </row>
    <row r="558">
      <c r="A558" s="150">
        <v>41978.0</v>
      </c>
      <c r="B558" s="156"/>
      <c r="C558" s="116" t="str">
        <f t="shared" ref="C558:C564" si="51">HYPERLINK("http://phish.net/sideshows/trey-anastasio-band/?d="&amp;RIGHT(TEXT(A558,"mm/dd/yyyy"),4)&amp;"-"&amp;LEFT(TEXT(A558,"mm/dd/yyyy"),2)&amp;"-"&amp;MID(TEXT(A558,"mm/dd/yyyy"),4,2), "setlist")</f>
        <v>setlist</v>
      </c>
      <c r="D558" s="153" t="s">
        <v>958</v>
      </c>
      <c r="E558" s="153" t="s">
        <v>94</v>
      </c>
      <c r="F558" s="151" t="s">
        <v>95</v>
      </c>
      <c r="G558" s="151" t="s">
        <v>36</v>
      </c>
      <c r="H558" s="116" t="str">
        <f>HYPERLINK("http://www.mediafire.com/download/c9303242iluobv3/2014-12-05_-_The_Orpheum_Theatre_-_Boston,_MA.rar", "download link")</f>
        <v>download link</v>
      </c>
      <c r="I558" s="79"/>
    </row>
    <row r="559">
      <c r="A559" s="130">
        <v>41979.0</v>
      </c>
      <c r="B559" s="131"/>
      <c r="C559" s="105" t="str">
        <f t="shared" si="51"/>
        <v>setlist</v>
      </c>
      <c r="D559" s="132" t="s">
        <v>958</v>
      </c>
      <c r="E559" s="132" t="s">
        <v>94</v>
      </c>
      <c r="F559" s="133" t="s">
        <v>95</v>
      </c>
      <c r="G559" s="133" t="s">
        <v>36</v>
      </c>
      <c r="H559" s="105" t="str">
        <f>HYPERLINK("http://www.mediafire.com/download/tju3o6rrka3exru/2014-12-06_-_The_Orpheum_Theatre_-_Boston,_MA.rar", "download link")</f>
        <v>download link</v>
      </c>
      <c r="I559" s="174"/>
    </row>
    <row r="560">
      <c r="A560" s="150">
        <v>41980.0</v>
      </c>
      <c r="B560" s="156"/>
      <c r="C560" s="116" t="str">
        <f t="shared" si="51"/>
        <v>setlist</v>
      </c>
      <c r="D560" s="153" t="s">
        <v>1193</v>
      </c>
      <c r="E560" s="153" t="s">
        <v>279</v>
      </c>
      <c r="F560" s="151" t="s">
        <v>257</v>
      </c>
      <c r="G560" s="151" t="s">
        <v>36</v>
      </c>
      <c r="H560" s="116" t="str">
        <f>HYPERLINK("http://www.mediafire.com/download/pgqhcrp99sfmgmm/2014-12-07_-_State_Theatre_-_Portland,_ME.rar", "download link")</f>
        <v>download link</v>
      </c>
      <c r="I560" s="79"/>
    </row>
    <row r="561">
      <c r="A561" s="130">
        <v>41982.0</v>
      </c>
      <c r="B561" s="131"/>
      <c r="C561" s="105" t="str">
        <f t="shared" si="51"/>
        <v>setlist</v>
      </c>
      <c r="D561" s="132" t="s">
        <v>3082</v>
      </c>
      <c r="E561" s="132" t="s">
        <v>3083</v>
      </c>
      <c r="F561" s="133" t="s">
        <v>129</v>
      </c>
      <c r="G561" s="133" t="s">
        <v>36</v>
      </c>
      <c r="H561" s="105" t="str">
        <f>HYPERLINK("http://www.mediafire.com/download/cl6p2cj314f12og/2014-12-09_-_The_Forum_Theatre_-_Binghamton,_NY.rar", "download link")</f>
        <v>download link</v>
      </c>
      <c r="I561" s="174"/>
    </row>
    <row r="562">
      <c r="A562" s="150">
        <v>41984.0</v>
      </c>
      <c r="B562" s="156"/>
      <c r="C562" s="116" t="str">
        <f t="shared" si="51"/>
        <v>setlist</v>
      </c>
      <c r="D562" s="153" t="s">
        <v>1330</v>
      </c>
      <c r="E562" s="153" t="s">
        <v>162</v>
      </c>
      <c r="F562" s="151" t="s">
        <v>129</v>
      </c>
      <c r="G562" s="151" t="s">
        <v>36</v>
      </c>
      <c r="H562" s="116" t="str">
        <f>HYPERLINK("http://www.mediafire.com/download/4i1s3czwqbnpl65/2014-12-11_-_Beacon_Theatre_-_New_York,_NY.rar", "download link")</f>
        <v>download link</v>
      </c>
      <c r="I562" s="79"/>
    </row>
    <row r="563">
      <c r="A563" s="130">
        <v>41985.0</v>
      </c>
      <c r="B563" s="131"/>
      <c r="C563" s="105" t="str">
        <f t="shared" si="51"/>
        <v>setlist</v>
      </c>
      <c r="D563" s="132" t="s">
        <v>1330</v>
      </c>
      <c r="E563" s="132" t="s">
        <v>162</v>
      </c>
      <c r="F563" s="133" t="s">
        <v>129</v>
      </c>
      <c r="G563" s="131"/>
      <c r="H563" s="108"/>
      <c r="I563" s="174"/>
    </row>
    <row r="564">
      <c r="A564" s="150">
        <v>41986.0</v>
      </c>
      <c r="B564" s="156"/>
      <c r="C564" s="116" t="str">
        <f t="shared" si="51"/>
        <v>setlist</v>
      </c>
      <c r="D564" s="153" t="s">
        <v>1229</v>
      </c>
      <c r="E564" s="153" t="s">
        <v>1230</v>
      </c>
      <c r="F564" s="151" t="s">
        <v>212</v>
      </c>
      <c r="G564" s="151" t="s">
        <v>36</v>
      </c>
      <c r="H564" s="116" t="str">
        <f>HYPERLINK("http://www.mediafire.com/download/nsioc6qw7rhznyo/2014-12-13_-_Tower_Theatre_-_Upper_Darby,_PA.rar", "download link")</f>
        <v>download link</v>
      </c>
      <c r="I564" s="79"/>
    </row>
    <row r="565">
      <c r="A565" s="350"/>
      <c r="B565" s="354"/>
      <c r="C565" s="352"/>
      <c r="D565" s="353" t="s">
        <v>3084</v>
      </c>
      <c r="E565" s="355"/>
      <c r="F565" s="354"/>
      <c r="G565" s="354"/>
      <c r="H565" s="351"/>
      <c r="I565" s="355"/>
    </row>
    <row r="566">
      <c r="A566" s="150">
        <v>42182.0</v>
      </c>
      <c r="B566" s="156"/>
      <c r="C566" s="116" t="str">
        <f>HYPERLINK("http://phish.net/sideshows/trey-anastasio-band/?showid=1428692600", "setlist")</f>
        <v>setlist</v>
      </c>
      <c r="D566" s="153" t="s">
        <v>3085</v>
      </c>
      <c r="E566" s="153" t="s">
        <v>3086</v>
      </c>
      <c r="F566" s="151" t="s">
        <v>679</v>
      </c>
      <c r="G566" s="151" t="s">
        <v>36</v>
      </c>
      <c r="H566" s="116" t="str">
        <f>HYPERLINK("http://www.mediafire.com/download/alxa3pwijhexk50/2015-06-27_-_Levi&amp;#39;s_Stadium_-_Santa_Clara,_CA.rar", "download link")</f>
        <v>download link</v>
      </c>
      <c r="I566" s="79"/>
    </row>
    <row r="567">
      <c r="A567" s="130">
        <v>42183.0</v>
      </c>
      <c r="B567" s="131"/>
      <c r="C567" s="105" t="str">
        <f>HYPERLINK("http://phish.net/sideshows/trey-anastasio-band/?showid=1428692971", "setlist")</f>
        <v>setlist</v>
      </c>
      <c r="D567" s="132" t="s">
        <v>3085</v>
      </c>
      <c r="E567" s="132" t="s">
        <v>3086</v>
      </c>
      <c r="F567" s="133" t="s">
        <v>679</v>
      </c>
      <c r="G567" s="133" t="s">
        <v>36</v>
      </c>
      <c r="H567" s="105" t="str">
        <f>HYPERLINK("http://www.mediafire.com/download/24xt9x4u4mk8ci1/2015-06-28_-_Levi&amp;#39;s_Stadium_-_Santa_Clara,_CA.rar", "download link")</f>
        <v>download link</v>
      </c>
      <c r="I567" s="174"/>
    </row>
    <row r="568">
      <c r="A568" s="150">
        <v>42188.0</v>
      </c>
      <c r="B568" s="156"/>
      <c r="C568" s="116" t="str">
        <f>HYPERLINK("http://phish.net/sideshows/trey-anastasio-band/?d=2015-07-03", "setlist")</f>
        <v>setlist</v>
      </c>
      <c r="D568" s="153" t="s">
        <v>3087</v>
      </c>
      <c r="E568" s="153" t="s">
        <v>479</v>
      </c>
      <c r="F568" s="151" t="s">
        <v>480</v>
      </c>
      <c r="G568" s="196" t="s">
        <v>36</v>
      </c>
      <c r="H568" s="116" t="str">
        <f>HYPERLINK("http://www.mediafire.com/download/yfy16f77f3565p1/2015-07-03_-_Soldier_Field_-_Chicago,_IL.rar", "download link")</f>
        <v>download link</v>
      </c>
      <c r="I568" s="79"/>
    </row>
    <row r="569">
      <c r="A569" s="130">
        <v>42189.0</v>
      </c>
      <c r="B569" s="131"/>
      <c r="C569" s="105" t="str">
        <f>HYPERLINK("http://phish.net/sideshows/trey-anastasio-band/?d=2015-07-04", "setlist")</f>
        <v>setlist</v>
      </c>
      <c r="D569" s="132" t="s">
        <v>3087</v>
      </c>
      <c r="E569" s="132" t="s">
        <v>479</v>
      </c>
      <c r="F569" s="133" t="s">
        <v>480</v>
      </c>
      <c r="G569" s="195" t="s">
        <v>36</v>
      </c>
      <c r="H569" s="105" t="str">
        <f>HYPERLINK("http://www.mediafire.com/download/ezzkettmexw8vzz/2015-07-04_-_Soldier_Field_-_Chicago,_IL.rar", "download link")</f>
        <v>download link</v>
      </c>
      <c r="I569" s="174"/>
    </row>
    <row r="570">
      <c r="A570" s="150">
        <v>42190.0</v>
      </c>
      <c r="B570" s="156"/>
      <c r="C570" s="116" t="str">
        <f>HYPERLINK("http://phish.net/sideshows/trey-anastasio-band/?d=2015-07-05", "setlist")</f>
        <v>setlist</v>
      </c>
      <c r="D570" s="153" t="s">
        <v>3087</v>
      </c>
      <c r="E570" s="153" t="s">
        <v>479</v>
      </c>
      <c r="F570" s="151" t="s">
        <v>480</v>
      </c>
      <c r="G570" s="196" t="s">
        <v>36</v>
      </c>
      <c r="H570" s="116" t="str">
        <f>HYPERLINK("http://www.mediafire.com/download/euknfkb6a1fvceb/2015-07-05_-_Soldier_Field_-_Chicago,_IL.rar", "download link")</f>
        <v>download link</v>
      </c>
      <c r="I570" s="79"/>
    </row>
    <row r="571">
      <c r="A571" s="350"/>
      <c r="B571" s="354"/>
      <c r="C571" s="352"/>
      <c r="D571" s="370" t="s">
        <v>2827</v>
      </c>
      <c r="E571" s="355"/>
      <c r="F571" s="354"/>
      <c r="G571" s="354"/>
      <c r="H571" s="351"/>
      <c r="I571" s="355"/>
    </row>
    <row r="572">
      <c r="A572" s="150">
        <v>42279.0</v>
      </c>
      <c r="B572" s="156"/>
      <c r="C572" s="116" t="str">
        <f>HYPERLINK("http://phish.net/sideshows/trey-anastasio-band/?d=2015-10-02", "setlist")</f>
        <v>setlist</v>
      </c>
      <c r="D572" s="152" t="s">
        <v>3088</v>
      </c>
      <c r="E572" s="152" t="s">
        <v>162</v>
      </c>
      <c r="F572" s="196" t="s">
        <v>129</v>
      </c>
      <c r="G572" s="196"/>
      <c r="H572" s="197"/>
      <c r="I572" s="79"/>
    </row>
    <row r="573">
      <c r="A573" s="350"/>
      <c r="B573" s="354"/>
      <c r="C573" s="352"/>
      <c r="D573" s="370" t="s">
        <v>3023</v>
      </c>
      <c r="E573" s="355"/>
      <c r="F573" s="354"/>
      <c r="G573" s="354"/>
      <c r="H573" s="351"/>
      <c r="I573" s="355"/>
    </row>
    <row r="574">
      <c r="A574" s="150">
        <v>42293.0</v>
      </c>
      <c r="B574" s="156"/>
      <c r="C574" s="116" t="str">
        <f t="shared" ref="C574:C587" si="52">HYPERLINK("http://phish.net/sideshows/trey-anastasio-band/?d="&amp;RIGHT(TEXT(A574,"mm/dd/yyyy"),4)&amp;"-"&amp;LEFT(TEXT(A574,"mm/dd/yyyy"),2)&amp;"-"&amp;MID(TEXT(A574,"mm/dd/yyyy"),4,2), "setlist")</f>
        <v>setlist</v>
      </c>
      <c r="D574" s="152" t="s">
        <v>3089</v>
      </c>
      <c r="E574" s="152" t="s">
        <v>2294</v>
      </c>
      <c r="F574" s="196" t="s">
        <v>129</v>
      </c>
      <c r="G574" s="196" t="s">
        <v>36</v>
      </c>
      <c r="H574" s="116" t="str">
        <f>HYPERLINK("http://www.mediafire.com/download/uzvr87e6l29dgdg/2015-10-16_-_Kings_Theater_-_Brooklyn%2C_NY.rar", "download link")</f>
        <v>download link</v>
      </c>
      <c r="I574" s="79"/>
    </row>
    <row r="575">
      <c r="A575" s="130">
        <v>42294.0</v>
      </c>
      <c r="B575" s="131"/>
      <c r="C575" s="105" t="str">
        <f t="shared" si="52"/>
        <v>setlist</v>
      </c>
      <c r="D575" s="140" t="s">
        <v>3089</v>
      </c>
      <c r="E575" s="140" t="s">
        <v>2294</v>
      </c>
      <c r="F575" s="195" t="s">
        <v>129</v>
      </c>
      <c r="G575" s="195" t="s">
        <v>36</v>
      </c>
      <c r="H575" s="105" t="str">
        <f>HYPERLINK("http://www.mediafire.com/download/iploqn1bqtq3834/2015-10-17_-_Kings_Theater_-_Brooklyn%2C_NY.rar", "download link")</f>
        <v>download link</v>
      </c>
      <c r="I575" s="174"/>
    </row>
    <row r="576">
      <c r="A576" s="150">
        <v>42307.0</v>
      </c>
      <c r="B576" s="156"/>
      <c r="C576" s="116" t="str">
        <f t="shared" si="52"/>
        <v>setlist</v>
      </c>
      <c r="D576" s="152" t="s">
        <v>3090</v>
      </c>
      <c r="E576" s="152" t="s">
        <v>1804</v>
      </c>
      <c r="F576" s="196" t="s">
        <v>1805</v>
      </c>
      <c r="G576" s="196" t="s">
        <v>36</v>
      </c>
      <c r="H576" s="116" t="str">
        <f>HYPERLINK("http://www.mediafire.com/download/59btmgca13s0gtq/2015-10-30_-_Brooklyn_Bowl_Las_Vegas_-_Las_Vegas%2C_NV.rar", "download link")</f>
        <v>download link</v>
      </c>
      <c r="I576" s="79"/>
    </row>
    <row r="577">
      <c r="A577" s="130">
        <v>42308.0</v>
      </c>
      <c r="B577" s="131"/>
      <c r="C577" s="105" t="str">
        <f t="shared" si="52"/>
        <v>setlist</v>
      </c>
      <c r="D577" s="140" t="s">
        <v>3090</v>
      </c>
      <c r="E577" s="140" t="s">
        <v>1804</v>
      </c>
      <c r="F577" s="195" t="s">
        <v>1805</v>
      </c>
      <c r="G577" s="195" t="s">
        <v>36</v>
      </c>
      <c r="H577" s="105" t="str">
        <f>HYPERLINK("http://www.mediafire.com/download/qzq5j1tlzzu5w0z/2015-10-31_-_Brooklyn_Bowl_Las_Vegas_-_Las_Vegas%2C_NV.rar", "download link")</f>
        <v>download link</v>
      </c>
      <c r="I577" s="174"/>
    </row>
    <row r="578">
      <c r="A578" s="150">
        <v>42309.0</v>
      </c>
      <c r="B578" s="156"/>
      <c r="C578" s="116" t="str">
        <f t="shared" si="52"/>
        <v>setlist</v>
      </c>
      <c r="D578" s="152" t="s">
        <v>2990</v>
      </c>
      <c r="E578" s="152" t="s">
        <v>1381</v>
      </c>
      <c r="F578" s="196" t="s">
        <v>679</v>
      </c>
      <c r="G578" s="196"/>
      <c r="H578" s="145"/>
      <c r="I578" s="79"/>
    </row>
    <row r="579">
      <c r="A579" s="130">
        <v>42310.0</v>
      </c>
      <c r="B579" s="131"/>
      <c r="C579" s="105" t="str">
        <f t="shared" si="52"/>
        <v>setlist</v>
      </c>
      <c r="D579" s="140" t="s">
        <v>3091</v>
      </c>
      <c r="E579" s="140" t="s">
        <v>2216</v>
      </c>
      <c r="F579" s="195" t="s">
        <v>679</v>
      </c>
      <c r="G579" s="195" t="s">
        <v>36</v>
      </c>
      <c r="H579" s="105" t="str">
        <f>HYPERLINK("http://www.mediafire.com/download/hv7ng4mqcy8w6dm/2015-11-02_-_Stage_15%2C_Warner_Bros._Studios_-_Burbank%2C_CA.rar", "download link")</f>
        <v>download link</v>
      </c>
      <c r="I579" s="174"/>
    </row>
    <row r="580">
      <c r="A580" s="150">
        <v>42312.0</v>
      </c>
      <c r="B580" s="156"/>
      <c r="C580" s="116" t="str">
        <f t="shared" si="52"/>
        <v>setlist</v>
      </c>
      <c r="D580" s="152" t="s">
        <v>1383</v>
      </c>
      <c r="E580" s="152" t="s">
        <v>911</v>
      </c>
      <c r="F580" s="196" t="s">
        <v>679</v>
      </c>
      <c r="G580" s="196" t="s">
        <v>36</v>
      </c>
      <c r="H580" s="116" t="str">
        <f>HYPERLINK("http://www.mediafire.com/download/1m16abuvzcs975c/2015-11-04_-_The_Wiltern_Theatre_-_Los_Angeles%2C_CA.rar", "download link")</f>
        <v>download link</v>
      </c>
      <c r="I580" s="79"/>
    </row>
    <row r="581">
      <c r="A581" s="130">
        <v>42314.0</v>
      </c>
      <c r="B581" s="131"/>
      <c r="C581" s="105" t="str">
        <f t="shared" si="52"/>
        <v>setlist</v>
      </c>
      <c r="D581" s="140" t="s">
        <v>3042</v>
      </c>
      <c r="E581" s="140" t="s">
        <v>2909</v>
      </c>
      <c r="F581" s="195" t="s">
        <v>679</v>
      </c>
      <c r="G581" s="195"/>
      <c r="H581" s="143"/>
      <c r="I581" s="174"/>
    </row>
    <row r="582">
      <c r="A582" s="150">
        <v>42315.0</v>
      </c>
      <c r="B582" s="156"/>
      <c r="C582" s="116" t="str">
        <f t="shared" si="52"/>
        <v>setlist</v>
      </c>
      <c r="D582" s="152" t="s">
        <v>3042</v>
      </c>
      <c r="E582" s="152" t="s">
        <v>2909</v>
      </c>
      <c r="F582" s="196" t="s">
        <v>679</v>
      </c>
      <c r="G582" s="196"/>
      <c r="H582" s="197"/>
      <c r="I582" s="79"/>
    </row>
    <row r="583">
      <c r="A583" s="130">
        <v>42317.0</v>
      </c>
      <c r="B583" s="131"/>
      <c r="C583" s="105" t="str">
        <f t="shared" si="52"/>
        <v>setlist</v>
      </c>
      <c r="D583" s="140" t="s">
        <v>3064</v>
      </c>
      <c r="E583" s="140" t="s">
        <v>279</v>
      </c>
      <c r="F583" s="195" t="s">
        <v>692</v>
      </c>
      <c r="G583" s="195"/>
      <c r="H583" s="143"/>
      <c r="I583" s="174"/>
    </row>
    <row r="584">
      <c r="A584" s="150">
        <v>42318.0</v>
      </c>
      <c r="B584" s="156"/>
      <c r="C584" s="116" t="str">
        <f t="shared" si="52"/>
        <v>setlist</v>
      </c>
      <c r="D584" s="152" t="s">
        <v>3092</v>
      </c>
      <c r="E584" s="152" t="s">
        <v>791</v>
      </c>
      <c r="F584" s="196" t="s">
        <v>701</v>
      </c>
      <c r="G584" s="196"/>
      <c r="H584" s="197"/>
      <c r="I584" s="79"/>
    </row>
    <row r="585">
      <c r="A585" s="130">
        <v>42320.0</v>
      </c>
      <c r="B585" s="131"/>
      <c r="C585" s="105" t="str">
        <f t="shared" si="52"/>
        <v>setlist</v>
      </c>
      <c r="D585" s="140" t="s">
        <v>3093</v>
      </c>
      <c r="E585" s="140" t="s">
        <v>1301</v>
      </c>
      <c r="F585" s="195" t="s">
        <v>1302</v>
      </c>
      <c r="G585" s="195"/>
      <c r="H585" s="143"/>
      <c r="I585" s="174"/>
    </row>
    <row r="586">
      <c r="A586" s="150">
        <v>42321.0</v>
      </c>
      <c r="B586" s="156"/>
      <c r="C586" s="116" t="str">
        <f t="shared" si="52"/>
        <v>setlist</v>
      </c>
      <c r="D586" s="152" t="s">
        <v>2840</v>
      </c>
      <c r="E586" s="152" t="s">
        <v>499</v>
      </c>
      <c r="F586" s="196" t="s">
        <v>203</v>
      </c>
      <c r="G586" s="196" t="s">
        <v>36</v>
      </c>
      <c r="H586" s="116" t="str">
        <f>HYPERLINK("http://www.mediafire.com/download/7jkajaehfd2grnf/2015-11-13_-_The_Fillmore_Auditorium_-_Denver%2C_CO.rar", "download link")</f>
        <v>download link</v>
      </c>
      <c r="I586" s="79"/>
    </row>
    <row r="587">
      <c r="A587" s="130">
        <v>42322.0</v>
      </c>
      <c r="B587" s="131"/>
      <c r="C587" s="105" t="str">
        <f t="shared" si="52"/>
        <v>setlist</v>
      </c>
      <c r="D587" s="140" t="s">
        <v>2840</v>
      </c>
      <c r="E587" s="140" t="s">
        <v>499</v>
      </c>
      <c r="F587" s="195" t="s">
        <v>203</v>
      </c>
      <c r="G587" s="195" t="s">
        <v>36</v>
      </c>
      <c r="H587" s="105" t="str">
        <f>HYPERLINK("http://www.mediafire.com/download/l2jyt3ftgxwz4bd/2015-11-14_-_The_Fillmore_Auditorium_-_Denver%2C_CO.rar", "download link")</f>
        <v>download link</v>
      </c>
      <c r="I587" s="174"/>
    </row>
    <row r="588">
      <c r="A588" s="350"/>
      <c r="B588" s="354"/>
      <c r="C588" s="352"/>
      <c r="D588" s="370" t="s">
        <v>3023</v>
      </c>
      <c r="E588" s="355"/>
      <c r="F588" s="354"/>
      <c r="G588" s="354"/>
      <c r="H588" s="351"/>
      <c r="I588" s="355"/>
    </row>
    <row r="589">
      <c r="A589" s="150">
        <v>42589.0</v>
      </c>
      <c r="B589" s="156"/>
      <c r="C589" s="116" t="str">
        <f>HYPERLINK("http://phish.net/sideshows/trey-anastasio-band/?d=2016-08-07", "setlist")</f>
        <v>setlist</v>
      </c>
      <c r="D589" s="152" t="s">
        <v>3094</v>
      </c>
      <c r="E589" s="152" t="s">
        <v>3095</v>
      </c>
      <c r="F589" s="196" t="s">
        <v>203</v>
      </c>
      <c r="G589" s="196" t="s">
        <v>36</v>
      </c>
      <c r="H589" s="116" t="str">
        <f>HYPERLINK("http://www.mediafire.com/download/45wdd8euxfhsa7p/2016-08-07_-_Cottonwood_Meadows_-_Buena_Vista%2C_CO.rar", "download link")</f>
        <v>download link</v>
      </c>
      <c r="I589" s="79"/>
    </row>
    <row r="590">
      <c r="A590" s="130">
        <v>42595.0</v>
      </c>
      <c r="B590" s="131"/>
      <c r="C590" s="105" t="str">
        <f>HYPERLINK("http://phish.net/sideshows/trey-anastasio-band/?d=2016-08-13", "setlist")</f>
        <v>setlist</v>
      </c>
      <c r="D590" s="140" t="s">
        <v>3077</v>
      </c>
      <c r="E590" s="140" t="s">
        <v>2976</v>
      </c>
      <c r="F590" s="195" t="s">
        <v>212</v>
      </c>
      <c r="G590" s="195" t="s">
        <v>36</v>
      </c>
      <c r="H590" s="105" t="str">
        <f>HYPERLINK("http://www.mediafire.com/download/3k6saq875khmk5b/2016-08-13_-_The_Pavilion_at_Montage_Mountain_-_Scranton%2C_PA.rar", "download link")</f>
        <v>download link</v>
      </c>
      <c r="I590" s="174"/>
    </row>
    <row r="591">
      <c r="A591" s="350"/>
      <c r="B591" s="354"/>
      <c r="C591" s="352"/>
      <c r="D591" s="370" t="s">
        <v>3096</v>
      </c>
      <c r="E591" s="355"/>
      <c r="F591" s="354"/>
      <c r="G591" s="354"/>
      <c r="H591" s="351"/>
      <c r="I591" s="355"/>
    </row>
    <row r="592">
      <c r="A592" s="150">
        <v>42693.0</v>
      </c>
      <c r="B592" s="196" t="s">
        <v>32</v>
      </c>
      <c r="C592" s="116" t="str">
        <f>HYPERLINK("http://phish.net/setlists/trey-anastasio-november-19-2016-the-ellie-caulkins-opera-house-denver-co-usa.html", "setlist")</f>
        <v>setlist</v>
      </c>
      <c r="D592" s="152" t="s">
        <v>3097</v>
      </c>
      <c r="E592" s="152" t="s">
        <v>499</v>
      </c>
      <c r="F592" s="196" t="s">
        <v>203</v>
      </c>
      <c r="G592" s="196" t="s">
        <v>36</v>
      </c>
      <c r="H592" s="116" t="str">
        <f>HYPERLINK("http://www.mediafire.com/file/nq89qh8h74hq8wc/2016-11-19_-_The_Ellie_Caulkins_Opera_House_-_Denver%2C_CO.rar", "download link")</f>
        <v>download link</v>
      </c>
      <c r="I592" s="79"/>
    </row>
    <row r="593">
      <c r="A593" s="350"/>
      <c r="B593" s="354"/>
      <c r="C593" s="352"/>
      <c r="D593" s="370" t="s">
        <v>2827</v>
      </c>
      <c r="E593" s="355"/>
      <c r="F593" s="354"/>
      <c r="G593" s="354"/>
      <c r="H593" s="351"/>
      <c r="I593" s="355"/>
    </row>
    <row r="594">
      <c r="A594" s="150">
        <v>42802.0</v>
      </c>
      <c r="B594" s="156"/>
      <c r="C594" s="116" t="str">
        <f>HYPERLINK("http://phish.net/setlists/trey-anastasio-march-08-2017-academy-of-music-northampton-ma-usa.html", "setlist")</f>
        <v>setlist</v>
      </c>
      <c r="D594" s="152" t="s">
        <v>3098</v>
      </c>
      <c r="E594" s="152" t="s">
        <v>247</v>
      </c>
      <c r="F594" s="196" t="s">
        <v>95</v>
      </c>
      <c r="G594" s="196" t="s">
        <v>36</v>
      </c>
      <c r="H594" s="116" t="str">
        <f>HYPERLINK("http://www.mediafire.com/file/8yl5iczpv4j7i78/2017-03-08_-_Academy_of_Music_Theatre_-_Northampton%2C_MA.rar", "download link")</f>
        <v>download link</v>
      </c>
      <c r="I594" s="79"/>
    </row>
    <row r="595">
      <c r="A595" s="130">
        <v>42804.0</v>
      </c>
      <c r="B595" s="131"/>
      <c r="C595" s="105" t="str">
        <f>HYPERLINK("http://phish.net/setlists/trey-anastasio-march-10-2017-troy-savings-bank-music-hall-troy-ny-usa.html", "setlist")</f>
        <v>setlist</v>
      </c>
      <c r="D595" s="140" t="s">
        <v>2848</v>
      </c>
      <c r="E595" s="140" t="s">
        <v>2849</v>
      </c>
      <c r="F595" s="195" t="s">
        <v>129</v>
      </c>
      <c r="G595" s="195" t="s">
        <v>36</v>
      </c>
      <c r="H595" s="105" t="str">
        <f>HYPERLINK("http://www.mediafire.com/file/e1n1uofwcfj1ut5/2017-03-10_-_Troy_Savings_Bank_Music_Hall_-_Troy%2C_NY.rar", "download link")</f>
        <v>download link</v>
      </c>
      <c r="I595" s="174"/>
    </row>
    <row r="596">
      <c r="A596" s="150">
        <v>42805.0</v>
      </c>
      <c r="B596" s="156"/>
      <c r="C596" s="116" t="str">
        <f>HYPERLINK("http://phish.net/setlists/trey-anastasio-march-11-2017-portsmouth-music-hall-portsmouth-nh-usa.html", "setlist")</f>
        <v>setlist</v>
      </c>
      <c r="D596" s="152" t="s">
        <v>3099</v>
      </c>
      <c r="E596" s="152" t="s">
        <v>634</v>
      </c>
      <c r="F596" s="196" t="s">
        <v>182</v>
      </c>
      <c r="G596" s="196" t="s">
        <v>36</v>
      </c>
      <c r="H596" s="116" t="str">
        <f>HYPERLINK("http://www.mediafire.com/file/yhb8x824e5g90be/2017-03-11_-_Portsmouth_Music_Hall_-_Portsmouth%2C_NH.rar", "download link")</f>
        <v>download link</v>
      </c>
      <c r="I596" s="79"/>
    </row>
    <row r="597">
      <c r="A597" s="350"/>
      <c r="B597" s="354"/>
      <c r="C597" s="352"/>
      <c r="D597" s="370" t="s">
        <v>3023</v>
      </c>
      <c r="E597" s="355"/>
      <c r="F597" s="354"/>
      <c r="G597" s="354"/>
      <c r="H597" s="351"/>
      <c r="I597" s="355"/>
    </row>
    <row r="598">
      <c r="A598" s="150">
        <v>42839.0</v>
      </c>
      <c r="B598" s="156"/>
      <c r="C598" s="116" t="str">
        <f t="shared" ref="C598:C602" si="53">HYPERLINK("http://phish.net/sideshows/trey-anastasio-band/?d="&amp;RIGHT(TEXT(A586,"mm/dd/yyyy"),4)&amp;"-"&amp;LEFT(TEXT(A586,"mm/dd/yyyy"),2)&amp;"-"&amp;MID(TEXT(A586,"mm/dd/yyyy"),4,2), "setlist")</f>
        <v>setlist</v>
      </c>
      <c r="D598" s="152" t="s">
        <v>570</v>
      </c>
      <c r="E598" s="152" t="s">
        <v>571</v>
      </c>
      <c r="F598" s="196" t="s">
        <v>129</v>
      </c>
      <c r="G598" s="196" t="s">
        <v>36</v>
      </c>
      <c r="H598" s="116" t="str">
        <f>HYPERLINK("http://www.mediafire.com/file/stvqerlqrc8nddr/2017-04-14_-_The_Capitol_Theatre_-_Port_Chester%2C_NY.rar", "download link")</f>
        <v>download link</v>
      </c>
      <c r="I598" s="79"/>
    </row>
    <row r="599">
      <c r="A599" s="130">
        <v>42840.0</v>
      </c>
      <c r="B599" s="131"/>
      <c r="C599" s="105" t="str">
        <f t="shared" si="53"/>
        <v>setlist</v>
      </c>
      <c r="D599" s="140" t="s">
        <v>570</v>
      </c>
      <c r="E599" s="140" t="s">
        <v>571</v>
      </c>
      <c r="F599" s="195" t="s">
        <v>129</v>
      </c>
      <c r="G599" s="195" t="s">
        <v>36</v>
      </c>
      <c r="H599" s="105" t="str">
        <f>HYPERLINK("http://www.mediafire.com/file/f38fcx9tqchcvk8/2017-04-15_-_The_Capitol_Theatre_-_Port_Chester%2C_NY.rar", "download link")</f>
        <v>download link</v>
      </c>
      <c r="I599" s="174"/>
    </row>
    <row r="600">
      <c r="A600" s="150">
        <v>42845.0</v>
      </c>
      <c r="B600" s="156"/>
      <c r="C600" s="116" t="str">
        <f t="shared" si="53"/>
        <v>setlist</v>
      </c>
      <c r="D600" s="152" t="s">
        <v>3032</v>
      </c>
      <c r="E600" s="152" t="s">
        <v>541</v>
      </c>
      <c r="F600" s="196" t="s">
        <v>443</v>
      </c>
      <c r="G600" s="196" t="s">
        <v>36</v>
      </c>
      <c r="H600" s="116" t="str">
        <f>HYPERLINK("http://www.mediafire.com/file/b2dogfwc6nc9dva/2017-04-20_-_The_Fillmore_Charlotte_-_Charlotte%2C_NC.rar", "download link")</f>
        <v>download link</v>
      </c>
      <c r="I600" s="79"/>
    </row>
    <row r="601">
      <c r="A601" s="130">
        <v>42846.0</v>
      </c>
      <c r="B601" s="131"/>
      <c r="C601" s="105" t="str">
        <f t="shared" si="53"/>
        <v>setlist</v>
      </c>
      <c r="D601" s="140" t="s">
        <v>3100</v>
      </c>
      <c r="E601" s="140" t="s">
        <v>437</v>
      </c>
      <c r="F601" s="195" t="s">
        <v>433</v>
      </c>
      <c r="G601" s="195" t="s">
        <v>36</v>
      </c>
      <c r="H601" s="105" t="str">
        <f>HYPERLINK("http://www.mediafire.com/file/xon232w6zeqtb08/2017-04-21_-_Centennial_Olympic_Park_-_Atlanta%2C_GA.rar", "download link")</f>
        <v>download link</v>
      </c>
      <c r="I601" s="174"/>
    </row>
    <row r="602">
      <c r="A602" s="150">
        <v>42847.0</v>
      </c>
      <c r="B602" s="156"/>
      <c r="C602" s="116" t="str">
        <f t="shared" si="53"/>
        <v>setlist</v>
      </c>
      <c r="D602" s="152" t="s">
        <v>3049</v>
      </c>
      <c r="E602" s="152" t="s">
        <v>3050</v>
      </c>
      <c r="F602" s="196" t="s">
        <v>1133</v>
      </c>
      <c r="G602" s="196" t="s">
        <v>36</v>
      </c>
      <c r="H602" s="116" t="str">
        <f>HYPERLINK("http://www.mediafire.com/file/yd9d8xdmhiaf63n/2017-04-22_-_Spirit_of_the_Suwannee_Music_Park_-_Live_Oak%2C_FL.rar", "download link")</f>
        <v>download link</v>
      </c>
      <c r="I602" s="79"/>
    </row>
    <row r="603">
      <c r="A603" s="130">
        <v>42854.0</v>
      </c>
      <c r="B603" s="131"/>
      <c r="C603" s="105" t="str">
        <f t="shared" ref="C603:C605" si="54">HYPERLINK("http://phish.net/sideshows/trey-anastasio-band/?d="&amp;RIGHT(TEXT(A590,"mm/dd/yyyy"),4)&amp;"-"&amp;LEFT(TEXT(A590,"mm/dd/yyyy"),2)&amp;"-"&amp;MID(TEXT(A590,"mm/dd/yyyy"),4,2), "setlist")</f>
        <v>setlist</v>
      </c>
      <c r="D603" s="140" t="s">
        <v>3101</v>
      </c>
      <c r="E603" s="140" t="s">
        <v>591</v>
      </c>
      <c r="F603" s="195" t="s">
        <v>589</v>
      </c>
      <c r="G603" s="195" t="s">
        <v>36</v>
      </c>
      <c r="H603" s="105" t="str">
        <f>HYPERLINK("http://www.mediafire.com/file/s7cniprd1klv2ad/2017-04-29_-_Stubb%27s_Waller_Creek_Amphitheater_-_Austin%2C_TX.rar", "download link")</f>
        <v>download link</v>
      </c>
      <c r="I603" s="174"/>
    </row>
    <row r="604">
      <c r="A604" s="150">
        <v>42855.0</v>
      </c>
      <c r="B604" s="156"/>
      <c r="C604" s="116" t="str">
        <f t="shared" si="54"/>
        <v>setlist</v>
      </c>
      <c r="D604" s="152" t="s">
        <v>2990</v>
      </c>
      <c r="E604" s="152" t="s">
        <v>588</v>
      </c>
      <c r="F604" s="196" t="s">
        <v>589</v>
      </c>
      <c r="G604" s="196"/>
      <c r="H604" s="197"/>
      <c r="I604" s="79"/>
    </row>
    <row r="605">
      <c r="A605" s="130">
        <v>42857.0</v>
      </c>
      <c r="B605" s="131"/>
      <c r="C605" s="105" t="str">
        <f t="shared" si="54"/>
        <v>setlist</v>
      </c>
      <c r="D605" s="140" t="s">
        <v>3102</v>
      </c>
      <c r="E605" s="140" t="s">
        <v>3103</v>
      </c>
      <c r="F605" s="195" t="s">
        <v>2493</v>
      </c>
      <c r="G605" s="195"/>
      <c r="H605" s="143"/>
      <c r="I605" s="174"/>
    </row>
    <row r="606">
      <c r="A606" s="150">
        <v>42858.0</v>
      </c>
      <c r="B606" s="156"/>
      <c r="C606" s="116" t="str">
        <f t="shared" ref="C606:C610" si="55">HYPERLINK("http://phish.net/sideshows/trey-anastasio-band/?d="&amp;RIGHT(TEXT(A597,"mm/dd/yyyy"),4)&amp;"-"&amp;LEFT(TEXT(A597,"mm/dd/yyyy"),2)&amp;"-"&amp;MID(TEXT(A597,"mm/dd/yyyy"),4,2), "setlist")</f>
        <v>setlist</v>
      </c>
      <c r="D606" s="152" t="s">
        <v>3031</v>
      </c>
      <c r="E606" s="152" t="s">
        <v>885</v>
      </c>
      <c r="F606" s="196" t="s">
        <v>886</v>
      </c>
      <c r="G606" s="196" t="s">
        <v>36</v>
      </c>
      <c r="H606" s="116" t="str">
        <f>HYPERLINK("http://www.mediafire.com/file/q15vfqkyogm59ix/2017-05-03_-_The_Pageant_-_St._Louis%2C_MO.rar", "download link")</f>
        <v>download link</v>
      </c>
      <c r="I606" s="79"/>
    </row>
    <row r="607">
      <c r="A607" s="130">
        <v>42860.0</v>
      </c>
      <c r="B607" s="131"/>
      <c r="C607" s="105" t="str">
        <f t="shared" si="55"/>
        <v>setlist</v>
      </c>
      <c r="D607" s="140" t="s">
        <v>3076</v>
      </c>
      <c r="E607" s="140" t="s">
        <v>1289</v>
      </c>
      <c r="F607" s="195" t="s">
        <v>508</v>
      </c>
      <c r="G607" s="195"/>
      <c r="H607" s="143"/>
      <c r="I607" s="174"/>
    </row>
    <row r="608">
      <c r="A608" s="150">
        <v>42861.0</v>
      </c>
      <c r="B608" s="156"/>
      <c r="C608" s="116" t="str">
        <f t="shared" si="55"/>
        <v>setlist</v>
      </c>
      <c r="D608" s="152" t="s">
        <v>3104</v>
      </c>
      <c r="E608" s="152" t="s">
        <v>3105</v>
      </c>
      <c r="F608" s="196" t="s">
        <v>712</v>
      </c>
      <c r="G608" s="196" t="s">
        <v>36</v>
      </c>
      <c r="H608" s="116" t="str">
        <f>HYPERLINK("http://www.mediafire.com/file/cent5ssqggud8qw/2017-05-06_-_Royal_Oak_Music_Theatre_-_Royal_Oak%2C_MI.rar", "download link")</f>
        <v>download link</v>
      </c>
      <c r="I608" s="79"/>
    </row>
    <row r="609">
      <c r="A609" s="130">
        <v>42862.0</v>
      </c>
      <c r="B609" s="131"/>
      <c r="C609" s="105" t="str">
        <f t="shared" si="55"/>
        <v>setlist</v>
      </c>
      <c r="D609" s="140" t="s">
        <v>3062</v>
      </c>
      <c r="E609" s="140" t="s">
        <v>1090</v>
      </c>
      <c r="F609" s="195" t="s">
        <v>1091</v>
      </c>
      <c r="G609" s="195"/>
      <c r="H609" s="143"/>
      <c r="I609" s="174"/>
    </row>
    <row r="610">
      <c r="A610" s="150">
        <v>42880.0</v>
      </c>
      <c r="B610" s="156"/>
      <c r="C610" s="116" t="str">
        <f t="shared" si="55"/>
        <v>setlist</v>
      </c>
      <c r="D610" s="152" t="s">
        <v>3106</v>
      </c>
      <c r="E610" s="152" t="s">
        <v>871</v>
      </c>
      <c r="F610" s="196" t="s">
        <v>212</v>
      </c>
      <c r="G610" s="196"/>
      <c r="H610" s="197"/>
      <c r="I610" s="79"/>
    </row>
    <row r="611">
      <c r="A611" s="130">
        <v>42881.0</v>
      </c>
      <c r="B611" s="131"/>
      <c r="C611" s="105" t="str">
        <f>HYPERLINK("http://phish.net/sideshows/trey-anastasio-band/?d="&amp;RIGHT(TEXT(A601,"mm/dd/yyyy"),4)&amp;"-"&amp;LEFT(TEXT(A601,"mm/dd/yyyy"),2)&amp;"-"&amp;MID(TEXT(A601,"mm/dd/yyyy"),4,2), "setlist")</f>
        <v>setlist</v>
      </c>
      <c r="D611" s="140" t="s">
        <v>3069</v>
      </c>
      <c r="E611" s="140" t="s">
        <v>3070</v>
      </c>
      <c r="F611" s="195" t="s">
        <v>397</v>
      </c>
      <c r="G611" s="195" t="s">
        <v>36</v>
      </c>
      <c r="H611" s="105" t="str">
        <f>HYPERLINK("http://www.mediafire.com/file/hdffef5gnr3on1l/2017-05-26_-_Allegany_County_Fairgrounds_-_Cumberland%2C_MD.rar", "download link")</f>
        <v>download link</v>
      </c>
      <c r="I611" s="174"/>
    </row>
    <row r="612">
      <c r="A612" s="150">
        <v>42883.0</v>
      </c>
      <c r="B612" s="156"/>
      <c r="C612" s="116" t="str">
        <f>HYPERLINK("http://phish.net/sideshows/trey-anastasio-band/?d="&amp;RIGHT(TEXT(A601,"mm/dd/yyyy"),4)&amp;"-"&amp;LEFT(TEXT(A601,"mm/dd/yyyy"),2)&amp;"-"&amp;MID(TEXT(A601,"mm/dd/yyyy"),4,2), "setlist")</f>
        <v>setlist</v>
      </c>
      <c r="D612" s="152" t="s">
        <v>3071</v>
      </c>
      <c r="E612" s="152" t="s">
        <v>3072</v>
      </c>
      <c r="F612" s="196" t="s">
        <v>480</v>
      </c>
      <c r="G612" s="196"/>
      <c r="H612" s="197"/>
      <c r="I612" s="79"/>
    </row>
    <row r="613">
      <c r="A613" s="130">
        <v>42886.0</v>
      </c>
      <c r="B613" s="131"/>
      <c r="C613" s="105" t="str">
        <f>HYPERLINK("http://phish.net/sideshows/trey-anastasio-band/?d="&amp;RIGHT(TEXT(A603,"mm/dd/yyyy"),4)&amp;"-"&amp;LEFT(TEXT(A603,"mm/dd/yyyy"),2)&amp;"-"&amp;MID(TEXT(A603,"mm/dd/yyyy"),4,2), "setlist")</f>
        <v>setlist</v>
      </c>
      <c r="D613" s="140" t="s">
        <v>1297</v>
      </c>
      <c r="E613" s="140" t="s">
        <v>1298</v>
      </c>
      <c r="F613" s="195" t="s">
        <v>203</v>
      </c>
      <c r="G613" s="195" t="s">
        <v>36</v>
      </c>
      <c r="H613" s="105" t="str">
        <f>HYPERLINK("http://www.mediafire.com/file/hdffef5gnr3on1l/2017-05-26_-_Allegany_County_Fairgrounds_-_Cumberland%2C_MD.rar", "download link")</f>
        <v>download link</v>
      </c>
      <c r="I613" s="174"/>
    </row>
    <row r="614">
      <c r="A614" s="150">
        <v>42888.0</v>
      </c>
      <c r="B614" s="156"/>
      <c r="C614" s="116" t="str">
        <f>HYPERLINK("http://phish.net/sideshows/trey-anastasio-band/?d="&amp;RIGHT(TEXT(A601,"mm/dd/yyyy"),4)&amp;"-"&amp;LEFT(TEXT(A601,"mm/dd/yyyy"),2)&amp;"-"&amp;MID(TEXT(A601,"mm/dd/yyyy"),4,2), "setlist")</f>
        <v>setlist</v>
      </c>
      <c r="D614" s="152" t="s">
        <v>3107</v>
      </c>
      <c r="E614" s="152" t="s">
        <v>1301</v>
      </c>
      <c r="F614" s="196" t="s">
        <v>1302</v>
      </c>
      <c r="G614" s="196"/>
      <c r="H614" s="197"/>
      <c r="I614" s="79"/>
    </row>
    <row r="615">
      <c r="A615" s="130">
        <v>42889.0</v>
      </c>
      <c r="B615" s="131"/>
      <c r="C615" s="105" t="str">
        <f>HYPERLINK("http://phish.net/sideshows/trey-anastasio-band/?d="&amp;RIGHT(TEXT(A604,"mm/dd/yyyy"),4)&amp;"-"&amp;LEFT(TEXT(A604,"mm/dd/yyyy"),2)&amp;"-"&amp;MID(TEXT(A604,"mm/dd/yyyy"),4,2), "setlist")</f>
        <v>setlist</v>
      </c>
      <c r="D615" s="140" t="s">
        <v>3108</v>
      </c>
      <c r="E615" s="140" t="s">
        <v>1605</v>
      </c>
      <c r="F615" s="195" t="s">
        <v>3109</v>
      </c>
      <c r="G615" s="195"/>
      <c r="H615" s="143"/>
      <c r="I615" s="174"/>
    </row>
    <row r="616">
      <c r="A616" s="150">
        <v>42917.0</v>
      </c>
      <c r="B616" s="156"/>
      <c r="C616" s="116" t="str">
        <f>HYPERLINK("http://phish.net/sideshows/trey-anastasio-band/?d="&amp;RIGHT(TEXT(A603,"mm/dd/yyyy"),4)&amp;"-"&amp;LEFT(TEXT(A603,"mm/dd/yyyy"),2)&amp;"-"&amp;MID(TEXT(A603,"mm/dd/yyyy"),4,2), "setlist")</f>
        <v>setlist</v>
      </c>
      <c r="D616" s="152" t="s">
        <v>3110</v>
      </c>
      <c r="E616" s="152" t="s">
        <v>3111</v>
      </c>
      <c r="F616" s="196" t="s">
        <v>679</v>
      </c>
      <c r="G616" s="196"/>
      <c r="H616" s="197"/>
      <c r="I616" s="79"/>
    </row>
    <row r="617">
      <c r="A617" s="130">
        <v>42993.0</v>
      </c>
      <c r="B617" s="131"/>
      <c r="C617" s="105" t="str">
        <f>HYPERLINK("http://phish.net/sideshows/trey-anastasio-band/?d="&amp;RIGHT(TEXT(A603,"mm/dd/yyyy"),4)&amp;"-"&amp;LEFT(TEXT(A603,"mm/dd/yyyy"),2)&amp;"-"&amp;MID(TEXT(A603,"mm/dd/yyyy"),4,2), "setlist")</f>
        <v>setlist</v>
      </c>
      <c r="D617" s="140" t="s">
        <v>3112</v>
      </c>
      <c r="E617" s="140" t="s">
        <v>3113</v>
      </c>
      <c r="F617" s="195" t="s">
        <v>3114</v>
      </c>
      <c r="G617" s="195" t="s">
        <v>36</v>
      </c>
      <c r="H617" s="105" t="str">
        <f>HYPERLINK("http://www.mediafire.com/file/2c46dridgiu774t/2017-09-15_-_Harvest_Jazz_%26_Blues_Festival_-_Fredericton%2C_New_Brunswick%2C_Canada.rar", "download link")</f>
        <v>download link</v>
      </c>
      <c r="I617" s="174"/>
    </row>
    <row r="618">
      <c r="A618" s="150">
        <v>42994.0</v>
      </c>
      <c r="B618" s="156"/>
      <c r="C618" s="116" t="str">
        <f>HYPERLINK("http://phish.net/sideshows/trey-anastasio-band/?d="&amp;RIGHT(TEXT(A603,"mm/dd/yyyy"),4)&amp;"-"&amp;LEFT(TEXT(A603,"mm/dd/yyyy"),2)&amp;"-"&amp;MID(TEXT(A603,"mm/dd/yyyy"),4,2), "setlist")</f>
        <v>setlist</v>
      </c>
      <c r="D618" s="152" t="s">
        <v>3115</v>
      </c>
      <c r="E618" s="152" t="s">
        <v>279</v>
      </c>
      <c r="F618" s="196" t="s">
        <v>257</v>
      </c>
      <c r="G618" s="196" t="s">
        <v>36</v>
      </c>
      <c r="H618" s="116" t="str">
        <f>HYPERLINK("http://www.mediafire.com/file/g7czbwq5s1dyhpy/2017-09-16_-_Thompson%27s_Point_-_Portland%2C_ME.rar", "download link")</f>
        <v>download link</v>
      </c>
      <c r="I618" s="79"/>
    </row>
    <row r="619">
      <c r="A619" s="130">
        <v>42995.0</v>
      </c>
      <c r="B619" s="131"/>
      <c r="C619" s="105" t="str">
        <f>HYPERLINK("http://phish.net/sideshows/trey-anastasio-band/?d="&amp;RIGHT(TEXT(A603,"mm/dd/yyyy"),4)&amp;"-"&amp;LEFT(TEXT(A603,"mm/dd/yyyy"),2)&amp;"-"&amp;MID(TEXT(A603,"mm/dd/yyyy"),4,2), "setlist")</f>
        <v>setlist</v>
      </c>
      <c r="D619" s="140" t="s">
        <v>3116</v>
      </c>
      <c r="E619" s="140" t="s">
        <v>34</v>
      </c>
      <c r="F619" s="195" t="s">
        <v>35</v>
      </c>
      <c r="G619" s="195"/>
      <c r="H619" s="143"/>
      <c r="I619" s="174"/>
    </row>
    <row r="620">
      <c r="A620" s="350"/>
      <c r="B620" s="354"/>
      <c r="C620" s="352"/>
      <c r="D620" s="370" t="s">
        <v>3079</v>
      </c>
      <c r="E620" s="355"/>
      <c r="F620" s="354"/>
      <c r="G620" s="354"/>
      <c r="H620" s="351"/>
      <c r="I620" s="355"/>
    </row>
    <row r="621">
      <c r="A621" s="130">
        <v>43005.0</v>
      </c>
      <c r="B621" s="131"/>
      <c r="C621" s="105" t="str">
        <f>HYPERLINK("http://phish.net/sideshows/trey-anastasio-band/?d="&amp;RIGHT(TEXT(A603,"mm/dd/yyyy"),4)&amp;"-"&amp;LEFT(TEXT(A603,"mm/dd/yyyy"),2)&amp;"-"&amp;MID(TEXT(A603,"mm/dd/yyyy"),4,2), "setlist")</f>
        <v>setlist</v>
      </c>
      <c r="D621" s="140" t="s">
        <v>3117</v>
      </c>
      <c r="E621" s="140" t="s">
        <v>652</v>
      </c>
      <c r="F621" s="195" t="s">
        <v>650</v>
      </c>
      <c r="G621" s="195"/>
      <c r="H621" s="143"/>
      <c r="I621" s="174"/>
    </row>
    <row r="622">
      <c r="A622" s="150">
        <v>43007.0</v>
      </c>
      <c r="B622" s="156"/>
      <c r="C622" s="116" t="str">
        <f>HYPERLINK("http://phish.net/sideshows/trey-anastasio-band/?d="&amp;RIGHT(TEXT(A603,"mm/dd/yyyy"),4)&amp;"-"&amp;LEFT(TEXT(A603,"mm/dd/yyyy"),2)&amp;"-"&amp;MID(TEXT(A603,"mm/dd/yyyy"),4,2), "setlist")</f>
        <v>setlist</v>
      </c>
      <c r="D622" s="152" t="s">
        <v>3052</v>
      </c>
      <c r="E622" s="152" t="s">
        <v>437</v>
      </c>
      <c r="F622" s="196" t="s">
        <v>433</v>
      </c>
      <c r="G622" s="196"/>
      <c r="H622" s="197"/>
      <c r="I622" s="79"/>
    </row>
    <row r="623">
      <c r="A623" s="350"/>
      <c r="B623" s="354"/>
      <c r="C623" s="352"/>
      <c r="D623" s="370" t="s">
        <v>3023</v>
      </c>
      <c r="E623" s="355"/>
      <c r="F623" s="354"/>
      <c r="G623" s="354"/>
      <c r="H623" s="351"/>
      <c r="I623" s="355"/>
    </row>
    <row r="624">
      <c r="A624" s="150">
        <v>43035.0</v>
      </c>
      <c r="B624" s="156"/>
      <c r="C624" s="116" t="str">
        <f>HYPERLINK("http://phish.net/sideshows/trey-anastasio-band/?d="&amp;RIGHT(TEXT(A603,"mm/dd/yyyy"),4)&amp;"-"&amp;LEFT(TEXT(A603,"mm/dd/yyyy"),2)&amp;"-"&amp;MID(TEXT(A603,"mm/dd/yyyy"),4,2), "setlist")</f>
        <v>setlist</v>
      </c>
      <c r="D624" s="152" t="s">
        <v>3118</v>
      </c>
      <c r="E624" s="152" t="s">
        <v>1804</v>
      </c>
      <c r="F624" s="196" t="s">
        <v>1805</v>
      </c>
      <c r="G624" s="196" t="s">
        <v>36</v>
      </c>
      <c r="H624" s="116" t="str">
        <f>HYPERLINK("http://www.mediafire.com/file/8wga9mg349lfcl1/2017-10-27_-_Brooklyn_Bowl_Las_Vegas_-_Las_Vegas%2C_NV.rar", "download link")</f>
        <v>download link</v>
      </c>
      <c r="I624" s="79"/>
    </row>
    <row r="625">
      <c r="A625" s="130">
        <v>43036.0</v>
      </c>
      <c r="B625" s="131"/>
      <c r="C625" s="105" t="str">
        <f>HYPERLINK("http://phish.net/sideshows/trey-anastasio-band/?d="&amp;RIGHT(TEXT(A603,"mm/dd/yyyy"),4)&amp;"-"&amp;LEFT(TEXT(A603,"mm/dd/yyyy"),2)&amp;"-"&amp;MID(TEXT(A603,"mm/dd/yyyy"),4,2), "setlist")</f>
        <v>setlist</v>
      </c>
      <c r="D625" s="140" t="s">
        <v>3118</v>
      </c>
      <c r="E625" s="140" t="s">
        <v>1804</v>
      </c>
      <c r="F625" s="195" t="s">
        <v>1805</v>
      </c>
      <c r="G625" s="195" t="s">
        <v>36</v>
      </c>
      <c r="H625" s="105" t="str">
        <f>HYPERLINK("http://www.mediafire.com/file/3jwkexlhj80f0v6/2017-10-28_-_Brooklyn_Bowl_Las_Vegas_-_Las_Vegas%2C_NV.rar", "download link")</f>
        <v>download link</v>
      </c>
      <c r="I625" s="174"/>
    </row>
    <row r="626">
      <c r="A626" s="150">
        <v>43039.0</v>
      </c>
      <c r="B626" s="156"/>
      <c r="C626" s="116" t="str">
        <f>HYPERLINK("http://phish.net/sideshows/trey-anastasio-band/?d="&amp;RIGHT(TEXT(A603,"mm/dd/yyyy"),4)&amp;"-"&amp;LEFT(TEXT(A603,"mm/dd/yyyy"),2)&amp;"-"&amp;MID(TEXT(A603,"mm/dd/yyyy"),4,2), "setlist")</f>
        <v>setlist</v>
      </c>
      <c r="D626" s="152" t="s">
        <v>1383</v>
      </c>
      <c r="E626" s="152" t="s">
        <v>911</v>
      </c>
      <c r="F626" s="196" t="s">
        <v>679</v>
      </c>
      <c r="G626" s="196" t="s">
        <v>36</v>
      </c>
      <c r="H626" s="116" t="str">
        <f>HYPERLINK("http://www.mediafire.com/file/s68psa7r4mb5aus/2017-10-31_-_The_Wiltern_Theatre_-_Los_Angeles%2C_CA.rar", "download link")</f>
        <v>download link</v>
      </c>
      <c r="I626" s="79"/>
    </row>
    <row r="627">
      <c r="A627" s="130">
        <v>43040.0</v>
      </c>
      <c r="B627" s="131"/>
      <c r="C627" s="105" t="str">
        <f>HYPERLINK("http://phish.net/sideshows/trey-anastasio-band/?d="&amp;RIGHT(TEXT(A603,"mm/dd/yyyy"),4)&amp;"-"&amp;LEFT(TEXT(A603,"mm/dd/yyyy"),2)&amp;"-"&amp;MID(TEXT(A603,"mm/dd/yyyy"),4,2), "setlist")</f>
        <v>setlist</v>
      </c>
      <c r="D627" s="140" t="s">
        <v>3119</v>
      </c>
      <c r="E627" s="140" t="s">
        <v>3120</v>
      </c>
      <c r="F627" s="195" t="s">
        <v>679</v>
      </c>
      <c r="G627" s="195" t="s">
        <v>36</v>
      </c>
      <c r="H627" s="105" t="str">
        <f>HYPERLINK("http://www.mediafire.com/file/dtm1csgij61qbf3/2017-11-01_-_The_Observatory_OC_-_Santa_Ana%2C_CA.rar", "download link")</f>
        <v>download link</v>
      </c>
      <c r="I627" s="174"/>
    </row>
    <row r="628">
      <c r="A628" s="350"/>
      <c r="B628" s="354"/>
      <c r="C628" s="352"/>
      <c r="D628" s="370" t="s">
        <v>2827</v>
      </c>
      <c r="E628" s="355"/>
      <c r="F628" s="354"/>
      <c r="G628" s="354"/>
      <c r="H628" s="351"/>
      <c r="I628" s="355"/>
    </row>
    <row r="629">
      <c r="A629" s="150">
        <v>43041.0</v>
      </c>
      <c r="B629" s="156"/>
      <c r="C629" s="116" t="str">
        <f>HYPERLINK("http://phish.net/sideshows/trey-anastasio-band/?d="&amp;RIGHT(TEXT(A603,"mm/dd/yyyy"),4)&amp;"-"&amp;LEFT(TEXT(A603,"mm/dd/yyyy"),2)&amp;"-"&amp;MID(TEXT(A603,"mm/dd/yyyy"),4,2), "setlist")</f>
        <v>setlist</v>
      </c>
      <c r="D629" s="152" t="s">
        <v>3121</v>
      </c>
      <c r="E629" s="152" t="s">
        <v>1545</v>
      </c>
      <c r="F629" s="196" t="s">
        <v>679</v>
      </c>
      <c r="G629" s="196" t="s">
        <v>36</v>
      </c>
      <c r="H629" s="116" t="str">
        <f>HYPERLINK("http://www.mediafire.com/file/cyom7cb1bbhgdk7/2017-11-02_-_Barker_Hangar_-_Santa_Monica%2C_CA.rar", "download link")</f>
        <v>download link</v>
      </c>
      <c r="I629" s="152" t="s">
        <v>3122</v>
      </c>
    </row>
    <row r="630">
      <c r="A630" s="350"/>
      <c r="B630" s="354"/>
      <c r="C630" s="352"/>
      <c r="D630" s="370" t="s">
        <v>3023</v>
      </c>
      <c r="E630" s="355"/>
      <c r="F630" s="354"/>
      <c r="G630" s="354"/>
      <c r="H630" s="351"/>
      <c r="I630" s="355"/>
    </row>
    <row r="631">
      <c r="A631" s="130">
        <v>43042.0</v>
      </c>
      <c r="B631" s="131"/>
      <c r="C631" s="105" t="str">
        <f>HYPERLINK("http://phish.net/sideshows/trey-anastasio-band/?d="&amp;RIGHT(TEXT(A603,"mm/dd/yyyy"),4)&amp;"-"&amp;LEFT(TEXT(A603,"mm/dd/yyyy"),2)&amp;"-"&amp;MID(TEXT(A603,"mm/dd/yyyy"),4,2), "setlist")</f>
        <v>setlist</v>
      </c>
      <c r="D631" s="140" t="s">
        <v>3042</v>
      </c>
      <c r="E631" s="140" t="s">
        <v>2909</v>
      </c>
      <c r="F631" s="195" t="s">
        <v>679</v>
      </c>
      <c r="G631" s="195"/>
      <c r="H631" s="143"/>
      <c r="I631" s="174"/>
    </row>
    <row r="632">
      <c r="A632" s="150">
        <v>43043.0</v>
      </c>
      <c r="B632" s="156"/>
      <c r="C632" s="116" t="str">
        <f>HYPERLINK("http://phish.net/sideshows/trey-anastasio-band/?d="&amp;RIGHT(TEXT(A603,"mm/dd/yyyy"),4)&amp;"-"&amp;LEFT(TEXT(A603,"mm/dd/yyyy"),2)&amp;"-"&amp;MID(TEXT(A603,"mm/dd/yyyy"),4,2), "setlist")</f>
        <v>setlist</v>
      </c>
      <c r="D632" s="152" t="s">
        <v>3042</v>
      </c>
      <c r="E632" s="152" t="s">
        <v>2909</v>
      </c>
      <c r="F632" s="196" t="s">
        <v>679</v>
      </c>
      <c r="G632" s="196"/>
      <c r="H632" s="197"/>
      <c r="I632" s="79"/>
    </row>
    <row r="633">
      <c r="A633" s="130">
        <v>43078.0</v>
      </c>
      <c r="B633" s="131"/>
      <c r="C633" s="105" t="str">
        <f>HYPERLINK("http://phish.net/sideshows/trey-anastasio-band/?d="&amp;RIGHT(TEXT(A603,"mm/dd/yyyy"),4)&amp;"-"&amp;LEFT(TEXT(A603,"mm/dd/yyyy"),2)&amp;"-"&amp;MID(TEXT(A603,"mm/dd/yyyy"),4,2), "setlist")</f>
        <v>setlist</v>
      </c>
      <c r="D633" s="140" t="s">
        <v>3123</v>
      </c>
      <c r="E633" s="140" t="s">
        <v>2327</v>
      </c>
      <c r="F633" s="195" t="s">
        <v>443</v>
      </c>
      <c r="G633" s="195" t="s">
        <v>36</v>
      </c>
      <c r="H633" s="105" t="str">
        <f>HYPERLINK("http://www.mediafire.com/file/ouf6o90jk1b66lx/2017-12-09_-_U.S._Cellular_Arena_-_Asheville%2C_NC.rar", "download link")</f>
        <v>download link</v>
      </c>
      <c r="I633" s="174"/>
    </row>
    <row r="634">
      <c r="A634" s="350"/>
      <c r="B634" s="354"/>
      <c r="C634" s="352"/>
      <c r="D634" s="370" t="s">
        <v>3023</v>
      </c>
      <c r="E634" s="355"/>
      <c r="F634" s="354"/>
      <c r="G634" s="354"/>
      <c r="H634" s="351"/>
      <c r="I634" s="355"/>
    </row>
    <row r="635">
      <c r="A635" s="150">
        <v>43106.0</v>
      </c>
      <c r="B635" s="156"/>
      <c r="C635" s="116" t="str">
        <f>HYPERLINK("http://phish.net/sideshows/trey-anastasio-band/?d="&amp;RIGHT(TEXT(A606,"mm/dd/yyyy"),4)&amp;"-"&amp;LEFT(TEXT(A606,"mm/dd/yyyy"),2)&amp;"-"&amp;MID(TEXT(A606,"mm/dd/yyyy"),4,2), "setlist")</f>
        <v>setlist</v>
      </c>
      <c r="D635" s="152" t="s">
        <v>2157</v>
      </c>
      <c r="E635" s="152" t="s">
        <v>162</v>
      </c>
      <c r="F635" s="196" t="s">
        <v>129</v>
      </c>
      <c r="G635" s="196"/>
      <c r="H635" s="197"/>
      <c r="I635" s="79"/>
    </row>
    <row r="636">
      <c r="A636" s="350"/>
      <c r="B636" s="354"/>
      <c r="C636" s="352"/>
      <c r="D636" s="370" t="s">
        <v>3124</v>
      </c>
      <c r="E636" s="355"/>
      <c r="F636" s="354"/>
      <c r="G636" s="354"/>
      <c r="H636" s="351"/>
      <c r="I636" s="355"/>
    </row>
    <row r="637">
      <c r="A637" s="130">
        <v>43139.0</v>
      </c>
      <c r="B637" s="131"/>
      <c r="C637" s="105" t="str">
        <f>HYPERLINK("http://phish.net/sideshows/trey-anastasio-band/?d="&amp;RIGHT(TEXT(A607,"mm/dd/yyyy"),4)&amp;"-"&amp;LEFT(TEXT(A607,"mm/dd/yyyy"),2)&amp;"-"&amp;MID(TEXT(A607,"mm/dd/yyyy"),4,2), "setlist")</f>
        <v>setlist</v>
      </c>
      <c r="D637" s="140" t="s">
        <v>3125</v>
      </c>
      <c r="E637" s="140" t="s">
        <v>3126</v>
      </c>
      <c r="F637" s="195" t="s">
        <v>43</v>
      </c>
      <c r="G637" s="195" t="s">
        <v>36</v>
      </c>
      <c r="H637" s="105" t="str">
        <f>HYPERLINK("http://www.mediafire.com/file/8f57gcjhdpdk1bo/2018-02-08_-_Mayo_Performing_Arts_Center_-_Morristown%2C_NJ.rar", "download link")</f>
        <v>download link</v>
      </c>
      <c r="I637" s="174"/>
    </row>
    <row r="638">
      <c r="A638" s="150">
        <v>43140.0</v>
      </c>
      <c r="B638" s="156"/>
      <c r="C638" s="116" t="str">
        <f>HYPERLINK("http://phish.net/sideshows/trey-anastasio-band/?d="&amp;RIGHT(TEXT(A607,"mm/dd/yyyy"),4)&amp;"-"&amp;LEFT(TEXT(A607,"mm/dd/yyyy"),2)&amp;"-"&amp;MID(TEXT(A607,"mm/dd/yyyy"),4,2), "setlist")</f>
        <v>setlist</v>
      </c>
      <c r="D638" s="152" t="s">
        <v>3127</v>
      </c>
      <c r="E638" s="152" t="s">
        <v>168</v>
      </c>
      <c r="F638" s="196" t="s">
        <v>129</v>
      </c>
      <c r="G638" s="196" t="s">
        <v>36</v>
      </c>
      <c r="H638" s="116" t="str">
        <f>HYPERLINK("http://www.mediafire.com/file/dw6da98b7ovo773/2018-02-09_-_State_Theatre_of_Ithaca_-_Ithaca%2C_NY.rar", "download link")</f>
        <v>download link</v>
      </c>
      <c r="I638" s="79"/>
    </row>
    <row r="639">
      <c r="A639" s="130">
        <v>43141.0</v>
      </c>
      <c r="B639" s="131"/>
      <c r="C639" s="105" t="str">
        <f>HYPERLINK("http://phish.net/sideshows/trey-anastasio-band/?d="&amp;RIGHT(TEXT(A607,"mm/dd/yyyy"),4)&amp;"-"&amp;LEFT(TEXT(A607,"mm/dd/yyyy"),2)&amp;"-"&amp;MID(TEXT(A607,"mm/dd/yyyy"),4,2), "setlist")</f>
        <v>setlist</v>
      </c>
      <c r="D639" s="140" t="s">
        <v>3128</v>
      </c>
      <c r="E639" s="140" t="s">
        <v>3129</v>
      </c>
      <c r="F639" s="195" t="s">
        <v>95</v>
      </c>
      <c r="G639" s="195" t="s">
        <v>36</v>
      </c>
      <c r="H639" s="105" t="str">
        <f>HYPERLINK("http://www.mediafire.com/file/s0pmxwtkraan2yz/2018-02-10_-_Sanders_Theatre%2C_Harvard_University_-_Cambridge%2C_MA.rar", "download link")</f>
        <v>download link</v>
      </c>
      <c r="I639" s="174"/>
    </row>
    <row r="640">
      <c r="A640" s="150">
        <v>43143.0</v>
      </c>
      <c r="B640" s="156"/>
      <c r="C640" s="116" t="str">
        <f>HYPERLINK("http://phish.net/sideshows/trey-anastasio-band/?d="&amp;RIGHT(TEXT(A607,"mm/dd/yyyy"),4)&amp;"-"&amp;LEFT(TEXT(A607,"mm/dd/yyyy"),2)&amp;"-"&amp;MID(TEXT(A607,"mm/dd/yyyy"),4,2), "setlist")</f>
        <v>setlist</v>
      </c>
      <c r="D640" s="152" t="s">
        <v>3130</v>
      </c>
      <c r="E640" s="152" t="s">
        <v>1073</v>
      </c>
      <c r="F640" s="196" t="s">
        <v>212</v>
      </c>
      <c r="G640" s="196" t="s">
        <v>36</v>
      </c>
      <c r="H640" s="116" t="str">
        <f>HYPERLINK("http://www.mediafire.com/file/h5a5wbhqb6dx6sh/2018-02-12_-_Byham_Theater_-_Pittsburgh%2C_PA.rar", "download link")</f>
        <v>download link</v>
      </c>
      <c r="I640" s="79"/>
    </row>
    <row r="641">
      <c r="A641" s="130">
        <v>43144.0</v>
      </c>
      <c r="B641" s="131"/>
      <c r="C641" s="105" t="str">
        <f>HYPERLINK("http://phish.net/sideshows/trey-anastasio-band/?d="&amp;RIGHT(TEXT(A607,"mm/dd/yyyy"),4)&amp;"-"&amp;LEFT(TEXT(A607,"mm/dd/yyyy"),2)&amp;"-"&amp;MID(TEXT(A607,"mm/dd/yyyy"),4,2), "setlist")</f>
        <v>setlist</v>
      </c>
      <c r="D641" s="140" t="s">
        <v>3131</v>
      </c>
      <c r="E641" s="140" t="s">
        <v>3132</v>
      </c>
      <c r="F641" s="195" t="s">
        <v>966</v>
      </c>
      <c r="G641" s="195" t="s">
        <v>36</v>
      </c>
      <c r="H641" s="105" t="str">
        <f>HYPERLINK("http://www.mediafire.com/file/d8uhcwefjz8645h/2018-02-13_-_Grand_Opera_House_-_Wilmington%2C_DE.rar", "download link")</f>
        <v>download link</v>
      </c>
      <c r="I641" s="174"/>
    </row>
    <row r="642">
      <c r="A642" s="150">
        <v>43145.0</v>
      </c>
      <c r="B642" s="156"/>
      <c r="C642" s="116" t="str">
        <f t="shared" ref="C642:C645" si="56">HYPERLINK("http://phish.net/sideshows/trey-anastasio-band/?d="&amp;RIGHT(TEXT(A607,"mm/dd/yyyy"),4)&amp;"-"&amp;LEFT(TEXT(A607,"mm/dd/yyyy"),2)&amp;"-"&amp;MID(TEXT(A607,"mm/dd/yyyy"),4,2), "setlist")</f>
        <v>setlist</v>
      </c>
      <c r="D642" s="152" t="s">
        <v>3133</v>
      </c>
      <c r="E642" s="152" t="s">
        <v>393</v>
      </c>
      <c r="F642" s="196" t="s">
        <v>394</v>
      </c>
      <c r="G642" s="196" t="s">
        <v>36</v>
      </c>
      <c r="H642" s="116" t="str">
        <f>HYPERLINK("http://www.mediafire.com/file/yqgbhyxcn28j9n8/2018-02-14_-_Sixth_and_I_-_Washington%2C_DC.rar", "download link")</f>
        <v>download link</v>
      </c>
      <c r="I642" s="79"/>
    </row>
    <row r="643">
      <c r="A643" s="130">
        <v>43147.0</v>
      </c>
      <c r="B643" s="131"/>
      <c r="C643" s="105" t="str">
        <f t="shared" si="56"/>
        <v>setlist</v>
      </c>
      <c r="D643" s="140" t="s">
        <v>3134</v>
      </c>
      <c r="E643" s="140" t="s">
        <v>225</v>
      </c>
      <c r="F643" s="195" t="s">
        <v>443</v>
      </c>
      <c r="G643" s="195" t="s">
        <v>36</v>
      </c>
      <c r="H643" s="105" t="str">
        <f>HYPERLINK("http://www.mediafire.com/file/ycpsbzi9jetd1xt/2018-02-16_-_Carolina_Theatre_-_Durham%2C_NC.rar", "download link")</f>
        <v>download link</v>
      </c>
      <c r="I643" s="174"/>
    </row>
    <row r="644">
      <c r="A644" s="150">
        <v>43148.0</v>
      </c>
      <c r="B644" s="156"/>
      <c r="C644" s="116" t="str">
        <f t="shared" si="56"/>
        <v>setlist</v>
      </c>
      <c r="D644" s="152" t="s">
        <v>3135</v>
      </c>
      <c r="E644" s="152" t="s">
        <v>541</v>
      </c>
      <c r="F644" s="196" t="s">
        <v>443</v>
      </c>
      <c r="G644" s="196" t="s">
        <v>36</v>
      </c>
      <c r="H644" s="116" t="str">
        <f>HYPERLINK("http://www.mediafire.com/file/374b0djvj4cg6dh/2018-02-17_-_Knight_Theater_at_Levine_Center_for_the_Arts_-_Charlotte%2C_NC.rar", "download link")</f>
        <v>download link</v>
      </c>
      <c r="I644" s="79"/>
    </row>
    <row r="645">
      <c r="A645" s="130">
        <v>43149.0</v>
      </c>
      <c r="B645" s="131"/>
      <c r="C645" s="105" t="str">
        <f t="shared" si="56"/>
        <v>setlist</v>
      </c>
      <c r="D645" s="140" t="s">
        <v>3136</v>
      </c>
      <c r="E645" s="140" t="s">
        <v>432</v>
      </c>
      <c r="F645" s="195" t="s">
        <v>433</v>
      </c>
      <c r="G645" s="195" t="s">
        <v>36</v>
      </c>
      <c r="H645" s="105" t="str">
        <f>HYPERLINK("http://www.mediafire.com/file/kph16qwdf4hcfrm/2018-02-18_-_Classic_Center_-_Athens%2C_GA.rar", "download link")</f>
        <v>download link</v>
      </c>
      <c r="I645" s="174"/>
    </row>
    <row r="646">
      <c r="A646" s="350"/>
      <c r="B646" s="354"/>
      <c r="C646" s="352"/>
      <c r="D646" s="370" t="s">
        <v>2821</v>
      </c>
      <c r="E646" s="355"/>
      <c r="F646" s="354"/>
      <c r="G646" s="354"/>
      <c r="H646" s="351"/>
      <c r="I646" s="355"/>
    </row>
    <row r="647">
      <c r="A647" s="150">
        <v>43207.0</v>
      </c>
      <c r="B647" s="156"/>
      <c r="C647" s="116" t="str">
        <f t="shared" ref="C647:C648" si="57">HYPERLINK("http://phish.net/sideshows/trey-anastasio-band/?d="&amp;RIGHT(TEXT(A612,"mm/dd/yyyy"),4)&amp;"-"&amp;LEFT(TEXT(A612,"mm/dd/yyyy"),2)&amp;"-"&amp;MID(TEXT(A612,"mm/dd/yyyy"),4,2), "setlist")</f>
        <v>setlist</v>
      </c>
      <c r="D647" s="152" t="s">
        <v>2990</v>
      </c>
      <c r="E647" s="152" t="s">
        <v>773</v>
      </c>
      <c r="F647" s="196" t="s">
        <v>472</v>
      </c>
      <c r="G647" s="196" t="s">
        <v>36</v>
      </c>
      <c r="H647" s="116" t="str">
        <f>HYPERLINK("http://www.mediafire.com/file/ai57q6dmxzu321t/2018-04-17_-_House_of_Blues_-_Cleveland%2C_OH.rar", "download link")</f>
        <v>download link</v>
      </c>
      <c r="I647" s="79"/>
    </row>
    <row r="648">
      <c r="A648" s="130">
        <v>43208.0</v>
      </c>
      <c r="B648" s="131"/>
      <c r="C648" s="105" t="str">
        <f t="shared" si="57"/>
        <v>setlist</v>
      </c>
      <c r="D648" s="140" t="s">
        <v>3137</v>
      </c>
      <c r="E648" s="140" t="s">
        <v>1285</v>
      </c>
      <c r="F648" s="195" t="s">
        <v>712</v>
      </c>
      <c r="G648" s="195"/>
      <c r="H648" s="143"/>
      <c r="I648" s="174"/>
    </row>
    <row r="649">
      <c r="A649" s="150">
        <v>43210.0</v>
      </c>
      <c r="B649" s="156"/>
      <c r="C649" s="116" t="str">
        <f t="shared" ref="C649:C651" si="58">HYPERLINK("http://phish.net/sideshows/trey-anastasio-band/?d="&amp;RIGHT(TEXT(A613,"mm/dd/yyyy"),4)&amp;"-"&amp;LEFT(TEXT(A613,"mm/dd/yyyy"),2)&amp;"-"&amp;MID(TEXT(A613,"mm/dd/yyyy"),4,2), "setlist")</f>
        <v>setlist</v>
      </c>
      <c r="D649" s="152" t="s">
        <v>2904</v>
      </c>
      <c r="E649" s="152" t="s">
        <v>479</v>
      </c>
      <c r="F649" s="196" t="s">
        <v>480</v>
      </c>
      <c r="G649" s="196"/>
      <c r="H649" s="197"/>
      <c r="I649" s="79"/>
    </row>
    <row r="650">
      <c r="A650" s="130">
        <v>43211.0</v>
      </c>
      <c r="B650" s="131"/>
      <c r="C650" s="105" t="str">
        <f t="shared" si="58"/>
        <v>setlist</v>
      </c>
      <c r="D650" s="140" t="s">
        <v>2904</v>
      </c>
      <c r="E650" s="140" t="s">
        <v>479</v>
      </c>
      <c r="F650" s="195" t="s">
        <v>480</v>
      </c>
      <c r="G650" s="195"/>
      <c r="H650" s="143"/>
      <c r="I650" s="174"/>
    </row>
    <row r="651">
      <c r="A651" s="150">
        <v>43214.0</v>
      </c>
      <c r="B651" s="156"/>
      <c r="C651" s="116" t="str">
        <f t="shared" si="58"/>
        <v>setlist</v>
      </c>
      <c r="D651" s="152" t="s">
        <v>3075</v>
      </c>
      <c r="E651" s="152" t="s">
        <v>1360</v>
      </c>
      <c r="F651" s="196" t="s">
        <v>583</v>
      </c>
      <c r="G651" s="196" t="s">
        <v>36</v>
      </c>
      <c r="H651" s="116" t="str">
        <f>HYPERLINK("http://www.mediafire.com/file/ctbb5wohit6b8iq/2018-04-24_-_Iron_City_-_Birmingham%2C_AL.rar", "download link")</f>
        <v>download link</v>
      </c>
      <c r="I651" s="79"/>
    </row>
    <row r="652">
      <c r="A652" s="130">
        <v>43216.0</v>
      </c>
      <c r="B652" s="131"/>
      <c r="C652" s="105" t="str">
        <f t="shared" ref="C652:C655" si="59">HYPERLINK("http://phish.net/sideshows/trey-anastasio-band/?d="&amp;RIGHT(TEXT(A615,"mm/dd/yyyy"),4)&amp;"-"&amp;LEFT(TEXT(A615,"mm/dd/yyyy"),2)&amp;"-"&amp;MID(TEXT(A615,"mm/dd/yyyy"),4,2), "setlist")</f>
        <v>setlist</v>
      </c>
      <c r="D652" s="140" t="s">
        <v>3138</v>
      </c>
      <c r="E652" s="140" t="s">
        <v>585</v>
      </c>
      <c r="F652" s="195" t="s">
        <v>586</v>
      </c>
      <c r="G652" s="195" t="s">
        <v>36</v>
      </c>
      <c r="H652" s="105" t="str">
        <f>HYPERLINK("http://www.mediafire.com/file/4qz3p23etbetnd1/2018-04-26_-_Civic_Theatre_-_New_Orleans%2C_LA.rar", "download link")</f>
        <v>download link</v>
      </c>
      <c r="I652" s="174"/>
    </row>
    <row r="653">
      <c r="A653" s="150">
        <v>43217.0</v>
      </c>
      <c r="B653" s="156"/>
      <c r="C653" s="116" t="str">
        <f t="shared" si="59"/>
        <v>setlist</v>
      </c>
      <c r="D653" s="152" t="s">
        <v>3138</v>
      </c>
      <c r="E653" s="152" t="s">
        <v>585</v>
      </c>
      <c r="F653" s="196" t="s">
        <v>586</v>
      </c>
      <c r="G653" s="196" t="s">
        <v>36</v>
      </c>
      <c r="H653" s="116" t="str">
        <f>HYPERLINK("http://www.mediafire.com/file/rt4xfy3b4s0bytq/2018-04-27_-_Civic_Theatre_-_New_Orleans%2C_LA.rar", "download link")</f>
        <v>download link</v>
      </c>
      <c r="I653" s="79"/>
    </row>
    <row r="654">
      <c r="A654" s="130">
        <v>43218.0</v>
      </c>
      <c r="B654" s="131"/>
      <c r="C654" s="105" t="str">
        <f t="shared" si="59"/>
        <v>setlist</v>
      </c>
      <c r="D654" s="140" t="s">
        <v>3138</v>
      </c>
      <c r="E654" s="140" t="s">
        <v>585</v>
      </c>
      <c r="F654" s="195" t="s">
        <v>586</v>
      </c>
      <c r="G654" s="195" t="s">
        <v>36</v>
      </c>
      <c r="H654" s="105" t="str">
        <f>HYPERLINK("http://www.mediafire.com/file/em6hiva2ocaqtja/2018-04-28_-_Civic_Theatre_-_New_Orleans%2C_LA.rar", "download link")</f>
        <v>download link</v>
      </c>
      <c r="I654" s="174"/>
    </row>
    <row r="655">
      <c r="A655" s="150">
        <v>43219.0</v>
      </c>
      <c r="B655" s="156"/>
      <c r="C655" s="116" t="str">
        <f t="shared" si="59"/>
        <v>setlist</v>
      </c>
      <c r="D655" s="152" t="s">
        <v>3139</v>
      </c>
      <c r="E655" s="152" t="s">
        <v>437</v>
      </c>
      <c r="F655" s="196" t="s">
        <v>433</v>
      </c>
      <c r="G655" s="196"/>
      <c r="H655" s="197"/>
      <c r="I655" s="79"/>
    </row>
    <row r="656">
      <c r="A656" s="350"/>
      <c r="B656" s="354"/>
      <c r="C656" s="352"/>
      <c r="D656" s="370" t="s">
        <v>3013</v>
      </c>
      <c r="E656" s="355"/>
      <c r="F656" s="354"/>
      <c r="G656" s="354"/>
      <c r="H656" s="351"/>
      <c r="I656" s="355"/>
    </row>
    <row r="657">
      <c r="A657" s="130">
        <v>43286.0</v>
      </c>
      <c r="B657" s="131"/>
      <c r="C657" s="105" t="str">
        <f t="shared" ref="C657:C659" si="60">HYPERLINK("http://phish.net/sideshows/trey-anastasio-band/?d="&amp;RIGHT(TEXT(A619,"mm/dd/yyyy"),4)&amp;"-"&amp;LEFT(TEXT(A619,"mm/dd/yyyy"),2)&amp;"-"&amp;MID(TEXT(A619,"mm/dd/yyyy"),4,2), "setlist")</f>
        <v>setlist</v>
      </c>
      <c r="D657" s="140" t="s">
        <v>3140</v>
      </c>
      <c r="E657" s="140" t="s">
        <v>579</v>
      </c>
      <c r="F657" s="195" t="s">
        <v>446</v>
      </c>
      <c r="G657" s="195" t="s">
        <v>36</v>
      </c>
      <c r="H657" s="105" t="str">
        <f>HYPERLINK("http://www.mediafire.com/file/gptfjpurivpggqw/2018-07-05_-_Sprint_Pavilion_-_Charlottesville%252C_VA.rar/file", "download link")</f>
        <v>download link</v>
      </c>
      <c r="I657" s="174"/>
    </row>
    <row r="658">
      <c r="A658" s="150">
        <v>43287.0</v>
      </c>
      <c r="B658" s="156"/>
      <c r="C658" s="116" t="str">
        <f t="shared" si="60"/>
        <v>setlist</v>
      </c>
      <c r="D658" s="152" t="s">
        <v>3141</v>
      </c>
      <c r="E658" s="152" t="s">
        <v>162</v>
      </c>
      <c r="F658" s="196" t="s">
        <v>129</v>
      </c>
      <c r="G658" s="196" t="s">
        <v>36</v>
      </c>
      <c r="H658" s="116" t="str">
        <f>HYPERLINK("http://www.mediafire.com/file/3885geb93xz8307/2018-07-06_-_Summerstage%252C_Central_Park_-_New_York%252C_NY.rar/file", "download link")</f>
        <v>download link</v>
      </c>
      <c r="I658" s="79"/>
    </row>
    <row r="659">
      <c r="A659" s="130">
        <v>43288.0</v>
      </c>
      <c r="B659" s="131"/>
      <c r="C659" s="105" t="str">
        <f t="shared" si="60"/>
        <v>setlist</v>
      </c>
      <c r="D659" s="140" t="s">
        <v>3142</v>
      </c>
      <c r="E659" s="140" t="s">
        <v>3143</v>
      </c>
      <c r="F659" s="195" t="s">
        <v>95</v>
      </c>
      <c r="G659" s="195"/>
      <c r="H659" s="143"/>
      <c r="I659" s="174"/>
    </row>
    <row r="660">
      <c r="A660" s="350"/>
      <c r="B660" s="354"/>
      <c r="C660" s="352"/>
      <c r="D660" s="370" t="s">
        <v>3124</v>
      </c>
      <c r="E660" s="355"/>
      <c r="F660" s="354"/>
      <c r="G660" s="354"/>
      <c r="H660" s="351"/>
      <c r="I660" s="355"/>
    </row>
    <row r="661">
      <c r="A661" s="150">
        <v>43437.0</v>
      </c>
      <c r="B661" s="156"/>
      <c r="C661" s="116" t="str">
        <f>HYPERLINK("http://phish.net/sideshows/trey-anastasio-band/?d="&amp;RIGHT(TEXT(A620,"mm/dd/yyyy"),4)&amp;"-"&amp;LEFT(TEXT(A620,"mm/dd/yyyy"),2)&amp;"-"&amp;MID(TEXT(A620,"mm/dd/yyyy"),4,2), "setlist")</f>
        <v>setlist</v>
      </c>
      <c r="D661" s="152" t="s">
        <v>3144</v>
      </c>
      <c r="E661" s="152" t="s">
        <v>1543</v>
      </c>
      <c r="F661" s="196" t="s">
        <v>805</v>
      </c>
      <c r="G661" s="196" t="s">
        <v>36</v>
      </c>
      <c r="H661" s="116" t="str">
        <f>HYPERLINK("http://www.mediafire.com/file/ldx0h55a0suhixm/2018-12-03_-_Ikeda_Theater_at_Mesa_Arts_Center_-_Mesa%252C_AZ.rar/file", "download link")</f>
        <v>download link</v>
      </c>
      <c r="I661" s="79"/>
    </row>
    <row r="662">
      <c r="A662" s="130">
        <v>43439.0</v>
      </c>
      <c r="B662" s="131"/>
      <c r="C662" s="105" t="str">
        <f>HYPERLINK("http://phish.net/sideshows/trey-anastasio-band/?d="&amp;RIGHT(TEXT(A620,"mm/dd/yyyy"),4)&amp;"-"&amp;LEFT(TEXT(A620,"mm/dd/yyyy"),2)&amp;"-"&amp;MID(TEXT(A620,"mm/dd/yyyy"),4,2), "setlist")</f>
        <v>setlist</v>
      </c>
      <c r="D662" s="140" t="s">
        <v>3145</v>
      </c>
      <c r="E662" s="140" t="s">
        <v>913</v>
      </c>
      <c r="F662" s="195" t="s">
        <v>679</v>
      </c>
      <c r="G662" s="195" t="s">
        <v>36</v>
      </c>
      <c r="H662" s="105" t="str">
        <f>HYPERLINK("http://www.mediafire.com/file/47okwzb9s7nzl0e/2018-12-05_-_The_Granada_Theatre_-_Santa_Barbara%252C_CA.rar/file", "download link")</f>
        <v>download link</v>
      </c>
      <c r="I662" s="174"/>
    </row>
    <row r="663">
      <c r="A663" s="150">
        <v>43441.0</v>
      </c>
      <c r="B663" s="156"/>
      <c r="C663" s="116" t="str">
        <f>HYPERLINK("http://phish.net/sideshows/trey-anastasio-band/?d="&amp;RIGHT(TEXT(A620,"mm/dd/yyyy"),4)&amp;"-"&amp;LEFT(TEXT(A620,"mm/dd/yyyy"),2)&amp;"-"&amp;MID(TEXT(A620,"mm/dd/yyyy"),4,2), "setlist")</f>
        <v>setlist</v>
      </c>
      <c r="D663" s="152" t="s">
        <v>3055</v>
      </c>
      <c r="E663" s="152" t="s">
        <v>911</v>
      </c>
      <c r="F663" s="196" t="s">
        <v>679</v>
      </c>
      <c r="G663" s="196"/>
      <c r="H663" s="197"/>
      <c r="I663" s="79"/>
    </row>
    <row r="664">
      <c r="A664" s="130">
        <v>43442.0</v>
      </c>
      <c r="B664" s="131"/>
      <c r="C664" s="105" t="str">
        <f>HYPERLINK("http://phish.net/sideshows/trey-anastasio-band/?d="&amp;RIGHT(TEXT(A620,"mm/dd/yyyy"),4)&amp;"-"&amp;LEFT(TEXT(A620,"mm/dd/yyyy"),2)&amp;"-"&amp;MID(TEXT(A620,"mm/dd/yyyy"),4,2), "setlist")</f>
        <v>setlist</v>
      </c>
      <c r="D664" s="140" t="s">
        <v>1306</v>
      </c>
      <c r="E664" s="140" t="s">
        <v>2909</v>
      </c>
      <c r="F664" s="195" t="s">
        <v>679</v>
      </c>
      <c r="G664" s="195" t="s">
        <v>36</v>
      </c>
      <c r="H664" s="105" t="str">
        <f>HYPERLINK("http://www.mediafire.com/file/ezvgrvnf6cde510/2018-12-08_-_Paramount_Theatre_-_Oakland%252C_CA.rar/file", "download link")</f>
        <v>download link</v>
      </c>
      <c r="I664" s="174"/>
    </row>
    <row r="665">
      <c r="A665" s="150">
        <v>43444.0</v>
      </c>
      <c r="B665" s="156"/>
      <c r="C665" s="116" t="str">
        <f>HYPERLINK("http://phish.net/sideshows/trey-anastasio-band/?d="&amp;RIGHT(TEXT(A620,"mm/dd/yyyy"),4)&amp;"-"&amp;LEFT(TEXT(A620,"mm/dd/yyyy"),2)&amp;"-"&amp;MID(TEXT(A620,"mm/dd/yyyy"),4,2), "setlist")</f>
        <v>setlist</v>
      </c>
      <c r="D665" s="152" t="s">
        <v>1387</v>
      </c>
      <c r="E665" s="152" t="s">
        <v>695</v>
      </c>
      <c r="F665" s="196" t="s">
        <v>692</v>
      </c>
      <c r="G665" s="196" t="s">
        <v>36</v>
      </c>
      <c r="H665" s="116" t="str">
        <f>HYPERLINK("http://www.mediafire.com/file/b771cd02991a7xn/2018-12-10_-_Silva_Concert_Hall%252C_Hult_Center_for_the_Performing_Arts_-_Eugene%252C_OR.rar/file", "download link")</f>
        <v>download link</v>
      </c>
      <c r="I665" s="152"/>
    </row>
    <row r="666">
      <c r="A666" s="130">
        <v>43445.0</v>
      </c>
      <c r="B666" s="131"/>
      <c r="C666" s="105" t="str">
        <f>HYPERLINK("http://phish.net/sideshows/trey-anastasio-band/?d="&amp;RIGHT(TEXT(A620,"mm/dd/yyyy"),4)&amp;"-"&amp;LEFT(TEXT(A620,"mm/dd/yyyy"),2)&amp;"-"&amp;MID(TEXT(A620,"mm/dd/yyyy"),4,2), "setlist")</f>
        <v>setlist</v>
      </c>
      <c r="D666" s="140" t="s">
        <v>3146</v>
      </c>
      <c r="E666" s="140" t="s">
        <v>3147</v>
      </c>
      <c r="F666" s="195" t="s">
        <v>679</v>
      </c>
      <c r="G666" s="195"/>
      <c r="H666" s="143"/>
      <c r="I666" s="174"/>
    </row>
    <row r="667">
      <c r="A667" s="150">
        <v>43448.0</v>
      </c>
      <c r="B667" s="156"/>
      <c r="C667" s="116" t="str">
        <f>HYPERLINK("http://phish.net/sideshows/trey-anastasio-band/?d="&amp;RIGHT(TEXT(A620,"mm/dd/yyyy"),4)&amp;"-"&amp;LEFT(TEXT(A620,"mm/dd/yyyy"),2)&amp;"-"&amp;MID(TEXT(A620,"mm/dd/yyyy"),4,2), "setlist")</f>
        <v>setlist</v>
      </c>
      <c r="D667" s="152" t="s">
        <v>3148</v>
      </c>
      <c r="E667" s="152" t="s">
        <v>488</v>
      </c>
      <c r="F667" s="196" t="s">
        <v>203</v>
      </c>
      <c r="G667" s="196" t="s">
        <v>36</v>
      </c>
      <c r="H667" s="116" t="str">
        <f>HYPERLINK("http://www.mediafire.com/file/6pe70a5mxue8xuv/2018-12-14_-_Macky_Auditorium_Concert_Hall_-_Boulder%252C_CO.rar/file", "download link")</f>
        <v>download link</v>
      </c>
      <c r="I667" s="152"/>
    </row>
    <row r="668">
      <c r="A668" s="130">
        <v>43449.0</v>
      </c>
      <c r="B668" s="131"/>
      <c r="C668" s="105" t="str">
        <f>HYPERLINK("http://phish.net/sideshows/trey-anastasio-band/?d="&amp;RIGHT(TEXT(A620,"mm/dd/yyyy"),4)&amp;"-"&amp;LEFT(TEXT(A620,"mm/dd/yyyy"),2)&amp;"-"&amp;MID(TEXT(A620,"mm/dd/yyyy"),4,2), "setlist")</f>
        <v>setlist</v>
      </c>
      <c r="D668" s="140" t="s">
        <v>3148</v>
      </c>
      <c r="E668" s="140" t="s">
        <v>488</v>
      </c>
      <c r="F668" s="195" t="s">
        <v>203</v>
      </c>
      <c r="G668" s="195" t="s">
        <v>36</v>
      </c>
      <c r="H668" s="105" t="str">
        <f>HYPERLINK("http://www.mediafire.com/file/kc22k22lr9owkw2/2018-12-15_-_Macky_Auditorium_Concert_Hall_-_Boulder%252C_CO.rar/file", "download link")</f>
        <v>download link</v>
      </c>
      <c r="I668" s="174"/>
    </row>
    <row r="669">
      <c r="A669" s="350"/>
      <c r="B669" s="354"/>
      <c r="C669" s="352"/>
      <c r="D669" s="370" t="s">
        <v>3149</v>
      </c>
      <c r="E669" s="355"/>
      <c r="F669" s="354"/>
      <c r="G669" s="354"/>
      <c r="H669" s="351"/>
      <c r="I669" s="355"/>
    </row>
    <row r="670">
      <c r="A670" s="150">
        <v>43559.0</v>
      </c>
      <c r="B670" s="156"/>
      <c r="C670" s="116" t="str">
        <f>HYPERLINK("http://phish.net/sideshows/trey-anastasio-band/?d="&amp;RIGHT(TEXT(A620,"mm/dd/yyyy"),4)&amp;"-"&amp;LEFT(TEXT(A620,"mm/dd/yyyy"),2)&amp;"-"&amp;MID(TEXT(A620,"mm/dd/yyyy"),4,2), "setlist")</f>
        <v>setlist</v>
      </c>
      <c r="D670" s="152" t="s">
        <v>1193</v>
      </c>
      <c r="E670" s="152" t="s">
        <v>279</v>
      </c>
      <c r="F670" s="196" t="s">
        <v>257</v>
      </c>
      <c r="G670" s="196" t="s">
        <v>36</v>
      </c>
      <c r="H670" s="116" t="str">
        <f>HYPERLINK("http://www.mediafire.com/file/vuu5w1d98dv6tf3/2019-04-04_-_State_Theatre_-_Portland%252C_ME.rar/file", "download link")</f>
        <v>download link</v>
      </c>
      <c r="I670" s="79"/>
    </row>
    <row r="671">
      <c r="A671" s="130">
        <v>43560.0</v>
      </c>
      <c r="B671" s="131"/>
      <c r="C671" s="105" t="str">
        <f>HYPERLINK("http://phish.net/sideshows/trey-anastasio-band/?d="&amp;RIGHT(TEXT(A620,"mm/dd/yyyy"),4)&amp;"-"&amp;LEFT(TEXT(A620,"mm/dd/yyyy"),2)&amp;"-"&amp;MID(TEXT(A620,"mm/dd/yyyy"),4,2), "setlist")</f>
        <v>setlist</v>
      </c>
      <c r="D671" s="140" t="s">
        <v>2714</v>
      </c>
      <c r="E671" s="140" t="s">
        <v>871</v>
      </c>
      <c r="F671" s="195" t="s">
        <v>212</v>
      </c>
      <c r="G671" s="195" t="s">
        <v>36</v>
      </c>
      <c r="H671" s="105" t="str">
        <f>HYPERLINK("http://www.mediafire.com/file/zy2x2q16j8n4a7p/2019-04-05_-_Met_Philadelphia_-_Philadelphia%252C_PA.rar/file", "download link")</f>
        <v>download link</v>
      </c>
      <c r="I671" s="174"/>
    </row>
    <row r="672">
      <c r="A672" s="150">
        <v>43561.0</v>
      </c>
      <c r="B672" s="156"/>
      <c r="C672" s="116" t="str">
        <f>HYPERLINK("http://phish.net/sideshows/trey-anastasio-band/?d="&amp;RIGHT(TEXT(A620,"mm/dd/yyyy"),4)&amp;"-"&amp;LEFT(TEXT(A620,"mm/dd/yyyy"),2)&amp;"-"&amp;MID(TEXT(A620,"mm/dd/yyyy"),4,2), "setlist")</f>
        <v>setlist</v>
      </c>
      <c r="D672" s="152" t="s">
        <v>3150</v>
      </c>
      <c r="E672" s="152" t="s">
        <v>393</v>
      </c>
      <c r="F672" s="196" t="s">
        <v>394</v>
      </c>
      <c r="G672" s="196" t="s">
        <v>36</v>
      </c>
      <c r="H672" s="116" t="str">
        <f>HYPERLINK("http://www.mediafire.com/file/ys3ij30itb718r7/2019-04-06_-_The_Anthem_-_Washington%252C_DC.rar/file", "download link")</f>
        <v>download link</v>
      </c>
      <c r="I672" s="79"/>
    </row>
    <row r="673">
      <c r="A673" s="130">
        <v>43564.0</v>
      </c>
      <c r="B673" s="131"/>
      <c r="C673" s="105" t="str">
        <f>HYPERLINK("http://phish.net/sideshows/trey-anastasio-band/?d="&amp;RIGHT(TEXT(A620,"mm/dd/yyyy"),4)&amp;"-"&amp;LEFT(TEXT(A620,"mm/dd/yyyy"),2)&amp;"-"&amp;MID(TEXT(A620,"mm/dd/yyyy"),4,2), "setlist")</f>
        <v>setlist</v>
      </c>
      <c r="D673" s="140" t="s">
        <v>866</v>
      </c>
      <c r="E673" s="140" t="s">
        <v>309</v>
      </c>
      <c r="F673" s="195" t="s">
        <v>129</v>
      </c>
      <c r="G673" s="195" t="s">
        <v>36</v>
      </c>
      <c r="H673" s="105" t="str">
        <f>HYPERLINK("http://www.mediafire.com/file/ghq96ht7ihhq4fv/2019-04-09_-_Palace_Theatre_-_Albany%252C_NY.rar/file", "download link")</f>
        <v>download link</v>
      </c>
      <c r="I673" s="174"/>
    </row>
    <row r="674">
      <c r="A674" s="150">
        <v>43565.0</v>
      </c>
      <c r="B674" s="156"/>
      <c r="C674" s="116" t="str">
        <f>HYPERLINK("http://phish.net/sideshows/trey-anastasio-band/?d="&amp;RIGHT(TEXT(A620,"mm/dd/yyyy"),4)&amp;"-"&amp;LEFT(TEXT(A620,"mm/dd/yyyy"),2)&amp;"-"&amp;MID(TEXT(A620,"mm/dd/yyyy"),4,2), "setlist")</f>
        <v>setlist</v>
      </c>
      <c r="D674" s="152" t="s">
        <v>958</v>
      </c>
      <c r="E674" s="152" t="s">
        <v>94</v>
      </c>
      <c r="F674" s="196" t="s">
        <v>95</v>
      </c>
      <c r="G674" s="196" t="s">
        <v>36</v>
      </c>
      <c r="H674" s="116" t="str">
        <f>HYPERLINK("http://www.mediafire.com/file/8clap80bnc2245s/2019-04-10_-_The_Orpheum_Theatre_-_Boston%252C_MA.rar/file", "download link")</f>
        <v>download link</v>
      </c>
      <c r="I674" s="79"/>
    </row>
    <row r="675">
      <c r="A675" s="130">
        <v>43567.0</v>
      </c>
      <c r="B675" s="131"/>
      <c r="C675" s="105" t="str">
        <f>HYPERLINK("http://phish.net/sideshows/trey-anastasio-band/?d="&amp;RIGHT(TEXT(A620,"mm/dd/yyyy"),4)&amp;"-"&amp;LEFT(TEXT(A620,"mm/dd/yyyy"),2)&amp;"-"&amp;MID(TEXT(A620,"mm/dd/yyyy"),4,2), "setlist")</f>
        <v>setlist</v>
      </c>
      <c r="D675" s="140" t="s">
        <v>3151</v>
      </c>
      <c r="E675" s="140" t="s">
        <v>162</v>
      </c>
      <c r="F675" s="195" t="s">
        <v>129</v>
      </c>
      <c r="G675" s="195" t="s">
        <v>36</v>
      </c>
      <c r="H675" s="105" t="str">
        <f>HYPERLINK("http://www.mediafire.com/file/8d2ud96k111328i/2019-04-12_-_United_Palace_-_New_York%252C_NY.rar/file", "download link")</f>
        <v>download link</v>
      </c>
      <c r="I675" s="174"/>
    </row>
    <row r="676">
      <c r="A676" s="150">
        <v>43568.0</v>
      </c>
      <c r="B676" s="156"/>
      <c r="C676" s="116" t="str">
        <f>HYPERLINK("http://phish.net/sideshows/trey-anastasio-band/?d="&amp;RIGHT(TEXT(A620,"mm/dd/yyyy"),4)&amp;"-"&amp;LEFT(TEXT(A620,"mm/dd/yyyy"),2)&amp;"-"&amp;MID(TEXT(A620,"mm/dd/yyyy"),4,2), "setlist")</f>
        <v>setlist</v>
      </c>
      <c r="D676" s="152" t="s">
        <v>3151</v>
      </c>
      <c r="E676" s="152" t="s">
        <v>162</v>
      </c>
      <c r="F676" s="196" t="s">
        <v>129</v>
      </c>
      <c r="G676" s="196" t="s">
        <v>36</v>
      </c>
      <c r="H676" s="116" t="str">
        <f>HYPERLINK("http://www.mediafire.com/file/jcq6i4aeenzhshx/2019-04-13_-_United_Palace_-_New_York%252C_NY.rar/file", "download link")</f>
        <v>download link</v>
      </c>
      <c r="I676" s="79"/>
    </row>
    <row r="677">
      <c r="A677" s="130">
        <v>43574.0</v>
      </c>
      <c r="B677" s="131"/>
      <c r="C677" s="105" t="str">
        <f>HYPERLINK("http://phish.net/sideshows/trey-anastasio-band/?d="&amp;RIGHT(TEXT(A620,"mm/dd/yyyy"),4)&amp;"-"&amp;LEFT(TEXT(A620,"mm/dd/yyyy"),2)&amp;"-"&amp;MID(TEXT(A620,"mm/dd/yyyy"),4,2), "setlist")</f>
        <v>setlist</v>
      </c>
      <c r="D677" s="140" t="s">
        <v>1031</v>
      </c>
      <c r="E677" s="140" t="s">
        <v>911</v>
      </c>
      <c r="F677" s="195" t="s">
        <v>679</v>
      </c>
      <c r="G677" s="195" t="s">
        <v>36</v>
      </c>
      <c r="H677" s="105" t="str">
        <f>HYPERLINK("http://www.mediafire.com/file/o6n3isjq9jq41hy/2019-04-19_-_Greek_Theatre_-_Los_Angeles%252C_CA.rar/file", "download link")</f>
        <v>download link</v>
      </c>
      <c r="I677" s="174"/>
    </row>
    <row r="678">
      <c r="A678" s="150">
        <v>43575.0</v>
      </c>
      <c r="B678" s="156"/>
      <c r="C678" s="116" t="str">
        <f>HYPERLINK("http://phish.net/sideshows/trey-anastasio-band/?d="&amp;RIGHT(TEXT(A620,"mm/dd/yyyy"),4)&amp;"-"&amp;LEFT(TEXT(A620,"mm/dd/yyyy"),2)&amp;"-"&amp;MID(TEXT(A620,"mm/dd/yyyy"),4,2), "setlist")</f>
        <v>setlist</v>
      </c>
      <c r="D678" s="152" t="s">
        <v>1309</v>
      </c>
      <c r="E678" s="152" t="s">
        <v>686</v>
      </c>
      <c r="F678" s="196" t="s">
        <v>679</v>
      </c>
      <c r="G678" s="196" t="s">
        <v>36</v>
      </c>
      <c r="H678" s="116" t="str">
        <f>HYPERLINK("http://www.mediafire.com/file/1j2frrw2ph5ra3s/2019-04-20_-_William_Randolph_Hearst_Greek_Theatre_-_Berkeley%252C_CA.rar/file", "download link")</f>
        <v>download link</v>
      </c>
      <c r="I678" s="79"/>
    </row>
    <row r="679">
      <c r="A679" s="350"/>
      <c r="B679" s="354"/>
      <c r="C679" s="352"/>
      <c r="D679" s="370" t="s">
        <v>3023</v>
      </c>
      <c r="E679" s="355"/>
      <c r="F679" s="354"/>
      <c r="G679" s="354"/>
      <c r="H679" s="351"/>
      <c r="I679" s="355"/>
    </row>
    <row r="680">
      <c r="A680" s="150">
        <v>43582.0</v>
      </c>
      <c r="B680" s="156"/>
      <c r="C680" s="116" t="str">
        <f t="shared" ref="C680:C687" si="61">HYPERLINK("http://phish.net/sideshows/trey-anastasio-band/?d="&amp;RIGHT(TEXT(A630,"mm/dd/yyyy"),4)&amp;"-"&amp;LEFT(TEXT(A630,"mm/dd/yyyy"),2)&amp;"-"&amp;MID(TEXT(A630,"mm/dd/yyyy"),4,2), "setlist")</f>
        <v>setlist</v>
      </c>
      <c r="D680" s="152" t="s">
        <v>3152</v>
      </c>
      <c r="E680" s="152" t="s">
        <v>459</v>
      </c>
      <c r="F680" s="196" t="s">
        <v>171</v>
      </c>
      <c r="G680" s="196"/>
      <c r="H680" s="197"/>
      <c r="I680" s="79"/>
    </row>
    <row r="681">
      <c r="A681" s="130">
        <v>43583.0</v>
      </c>
      <c r="B681" s="131"/>
      <c r="C681" s="105" t="str">
        <f t="shared" si="61"/>
        <v>setlist</v>
      </c>
      <c r="D681" s="140" t="s">
        <v>1330</v>
      </c>
      <c r="E681" s="140" t="s">
        <v>162</v>
      </c>
      <c r="F681" s="195" t="s">
        <v>129</v>
      </c>
      <c r="G681" s="195"/>
      <c r="H681" s="143"/>
      <c r="I681" s="174"/>
    </row>
    <row r="682">
      <c r="A682" s="150">
        <v>43584.0</v>
      </c>
      <c r="B682" s="156"/>
      <c r="C682" s="116" t="str">
        <f t="shared" si="61"/>
        <v>setlist</v>
      </c>
      <c r="D682" s="152" t="s">
        <v>3078</v>
      </c>
      <c r="E682" s="152" t="s">
        <v>2294</v>
      </c>
      <c r="F682" s="196" t="s">
        <v>129</v>
      </c>
      <c r="G682" s="196" t="s">
        <v>36</v>
      </c>
      <c r="H682" s="116" t="str">
        <f>HYPERLINK("http://www.mediafire.com/file/reqg7ojf3t1t0ud/2019-04-29_-_Brooklyn_Bowl_-_Brooklyn%252C_NY.rar/file", "download link")</f>
        <v>download link</v>
      </c>
      <c r="I682" s="79"/>
    </row>
    <row r="683">
      <c r="A683" s="130">
        <v>43585.0</v>
      </c>
      <c r="B683" s="131"/>
      <c r="C683" s="105" t="str">
        <f t="shared" si="61"/>
        <v>setlist</v>
      </c>
      <c r="D683" s="140" t="s">
        <v>3078</v>
      </c>
      <c r="E683" s="140" t="s">
        <v>2294</v>
      </c>
      <c r="F683" s="195" t="s">
        <v>129</v>
      </c>
      <c r="G683" s="195"/>
      <c r="H683" s="143"/>
      <c r="I683" s="174"/>
    </row>
    <row r="684">
      <c r="A684" s="150">
        <v>43613.0</v>
      </c>
      <c r="B684" s="156"/>
      <c r="C684" s="116" t="str">
        <f t="shared" si="61"/>
        <v>setlist</v>
      </c>
      <c r="D684" s="152" t="s">
        <v>3153</v>
      </c>
      <c r="E684" s="152" t="s">
        <v>3154</v>
      </c>
      <c r="F684" s="196" t="s">
        <v>1133</v>
      </c>
      <c r="G684" s="196" t="s">
        <v>36</v>
      </c>
      <c r="H684" s="116" t="str">
        <f>HYPERLINK("http://www.mediafire.com/file/f7rau3d72meocwn/2019-05-28_-_Jannus_Live_-_St._Petersburg%252C_FL.rar/file", "download link")</f>
        <v>download link</v>
      </c>
      <c r="I684" s="79"/>
    </row>
    <row r="685">
      <c r="A685" s="130">
        <v>43614.0</v>
      </c>
      <c r="B685" s="131"/>
      <c r="C685" s="105" t="str">
        <f t="shared" si="61"/>
        <v>setlist</v>
      </c>
      <c r="D685" s="140" t="s">
        <v>3155</v>
      </c>
      <c r="E685" s="140" t="s">
        <v>3156</v>
      </c>
      <c r="F685" s="195" t="s">
        <v>1133</v>
      </c>
      <c r="G685" s="195" t="s">
        <v>36</v>
      </c>
      <c r="H685" s="105" t="str">
        <f>HYPERLINK("http://www.mediafire.com/file/r8vrx70l9e0iioi/2019-05-29_-_St._Augustine_Amphitheatre_-_St._Augustine%252C_FL.rar/file", "download link")</f>
        <v>download link</v>
      </c>
      <c r="I685" s="174"/>
    </row>
    <row r="686">
      <c r="A686" s="150">
        <v>43616.0</v>
      </c>
      <c r="B686" s="156"/>
      <c r="C686" s="116" t="str">
        <f t="shared" si="61"/>
        <v>setlist</v>
      </c>
      <c r="D686" s="152" t="s">
        <v>2898</v>
      </c>
      <c r="E686" s="152" t="s">
        <v>437</v>
      </c>
      <c r="F686" s="196" t="s">
        <v>433</v>
      </c>
      <c r="G686" s="196" t="s">
        <v>36</v>
      </c>
      <c r="H686" s="116" t="str">
        <f>HYPERLINK("http://www.mediafire.com/file/sc01bdb24gd8scq/2019-05-31_-_The_Tabernacle_-_Atlanta%252C_GA.rar/file", "download link")</f>
        <v>download link</v>
      </c>
      <c r="I686" s="79"/>
    </row>
    <row r="687">
      <c r="A687" s="130">
        <v>43617.0</v>
      </c>
      <c r="B687" s="131"/>
      <c r="C687" s="105" t="str">
        <f t="shared" si="61"/>
        <v>setlist</v>
      </c>
      <c r="D687" s="140" t="s">
        <v>2898</v>
      </c>
      <c r="E687" s="140" t="s">
        <v>437</v>
      </c>
      <c r="F687" s="195" t="s">
        <v>433</v>
      </c>
      <c r="G687" s="195"/>
      <c r="H687" s="143"/>
      <c r="I687" s="174"/>
    </row>
    <row r="688">
      <c r="A688" s="150">
        <v>43673.0</v>
      </c>
      <c r="B688" s="156"/>
      <c r="C688" s="116" t="str">
        <f>HYPERLINK("http://phish.net/sideshows/trey-anastasio-band/?d="&amp;RIGHT(TEXT(A637,"mm/dd/yyyy"),4)&amp;"-"&amp;LEFT(TEXT(A637,"mm/dd/yyyy"),2)&amp;"-"&amp;MID(TEXT(A637,"mm/dd/yyyy"),4,2), "setlist")</f>
        <v>setlist</v>
      </c>
      <c r="D688" s="152" t="s">
        <v>3157</v>
      </c>
      <c r="E688" s="152" t="s">
        <v>2976</v>
      </c>
      <c r="F688" s="196" t="s">
        <v>212</v>
      </c>
      <c r="G688" s="196" t="s">
        <v>36</v>
      </c>
      <c r="H688" s="116" t="str">
        <f>HYPERLINK("http://www.mediafire.com/file/p4ho488t3eyulwc/2019-07-27_-_Montage_Mountain_-_Scranton%252C_PA.rar/file", "download link")</f>
        <v>download link</v>
      </c>
      <c r="I688" s="79"/>
    </row>
    <row r="689">
      <c r="A689" s="350"/>
      <c r="B689" s="354"/>
      <c r="C689" s="352"/>
      <c r="D689" s="370" t="s">
        <v>2827</v>
      </c>
      <c r="E689" s="355"/>
      <c r="F689" s="354"/>
      <c r="G689" s="354"/>
      <c r="H689" s="351"/>
      <c r="I689" s="355"/>
    </row>
    <row r="690">
      <c r="A690" s="150">
        <v>43674.0</v>
      </c>
      <c r="B690" s="156"/>
      <c r="C690" s="116" t="str">
        <f>HYPERLINK("http://phish.net/sideshows/trey-anastasio-band/?d="&amp;RIGHT(TEXT(A637,"mm/dd/yyyy"),4)&amp;"-"&amp;LEFT(TEXT(A637,"mm/dd/yyyy"),2)&amp;"-"&amp;MID(TEXT(A637,"mm/dd/yyyy"),4,2), "setlist")</f>
        <v>setlist</v>
      </c>
      <c r="D690" s="152" t="s">
        <v>3012</v>
      </c>
      <c r="E690" s="152" t="s">
        <v>315</v>
      </c>
      <c r="F690" s="196" t="s">
        <v>298</v>
      </c>
      <c r="G690" s="196"/>
      <c r="H690" s="197"/>
      <c r="I690" s="79"/>
    </row>
    <row r="691">
      <c r="A691" s="350"/>
      <c r="B691" s="354"/>
      <c r="C691" s="352"/>
      <c r="D691" s="370" t="s">
        <v>3023</v>
      </c>
      <c r="E691" s="355"/>
      <c r="F691" s="354"/>
      <c r="G691" s="354"/>
      <c r="H691" s="351"/>
      <c r="I691" s="355"/>
    </row>
    <row r="692">
      <c r="A692" s="150">
        <v>43686.0</v>
      </c>
      <c r="B692" s="156"/>
      <c r="C692" s="116" t="str">
        <f>HYPERLINK("http://phish.net/sideshows/trey-anastasio-band/?d="&amp;RIGHT(TEXT(A637,"mm/dd/yyyy"),4)&amp;"-"&amp;LEFT(TEXT(A637,"mm/dd/yyyy"),2)&amp;"-"&amp;MID(TEXT(A637,"mm/dd/yyyy"),4,2), "setlist")</f>
        <v>setlist</v>
      </c>
      <c r="D692" s="152" t="s">
        <v>3158</v>
      </c>
      <c r="E692" s="152" t="s">
        <v>499</v>
      </c>
      <c r="F692" s="196" t="s">
        <v>203</v>
      </c>
      <c r="G692" s="196" t="s">
        <v>36</v>
      </c>
      <c r="H692" s="116" t="str">
        <f>HYPERLINK("http://www.mediafire.com/file/2l3rale4l4l7ff9/2019-08-09_-_Mission_Ballroom_-_Denver%252C_CO.rar/file", "download link")</f>
        <v>download link</v>
      </c>
      <c r="I692" s="79"/>
    </row>
    <row r="693">
      <c r="A693" s="130">
        <v>43687.0</v>
      </c>
      <c r="B693" s="131"/>
      <c r="C693" s="105" t="str">
        <f>HYPERLINK("http://phish.net/sideshows/trey-anastasio-band/?d="&amp;RIGHT(TEXT(A637,"mm/dd/yyyy"),4)&amp;"-"&amp;LEFT(TEXT(A637,"mm/dd/yyyy"),2)&amp;"-"&amp;MID(TEXT(A637,"mm/dd/yyyy"),4,2), "setlist")</f>
        <v>setlist</v>
      </c>
      <c r="D693" s="140" t="s">
        <v>3158</v>
      </c>
      <c r="E693" s="140" t="s">
        <v>499</v>
      </c>
      <c r="F693" s="195" t="s">
        <v>203</v>
      </c>
      <c r="G693" s="195" t="s">
        <v>36</v>
      </c>
      <c r="H693" s="105" t="str">
        <f>HYPERLINK("http://www.mediafire.com/file/2yef0rdaahwh71k/2019-08-10_-_Mission_Ballroom_-_Denver%252C_CO.rar/file", "download link")</f>
        <v>download link</v>
      </c>
      <c r="I693" s="174"/>
    </row>
    <row r="694">
      <c r="A694" s="150">
        <v>43689.0</v>
      </c>
      <c r="B694" s="156"/>
      <c r="C694" s="116" t="str">
        <f>HYPERLINK("http://phish.net/sideshows/trey-anastasio-band/?d="&amp;RIGHT(TEXT(A637,"mm/dd/yyyy"),4)&amp;"-"&amp;LEFT(TEXT(A637,"mm/dd/yyyy"),2)&amp;"-"&amp;MID(TEXT(A637,"mm/dd/yyyy"),4,2), "setlist")</f>
        <v>setlist</v>
      </c>
      <c r="D694" s="152" t="s">
        <v>3159</v>
      </c>
      <c r="E694" s="152" t="s">
        <v>1044</v>
      </c>
      <c r="F694" s="196" t="s">
        <v>203</v>
      </c>
      <c r="G694" s="196" t="s">
        <v>36</v>
      </c>
      <c r="H694" s="116" t="str">
        <f>HYPERLINK("http://www.mediafire.com/file/71rop59kcliuo97/2019-08-12_-_Gerald_R._Ford_Amphitheater_-_Vail%252C_CO.rar/file", "download link")</f>
        <v>download link</v>
      </c>
      <c r="I694" s="79"/>
    </row>
    <row r="695">
      <c r="A695" s="130">
        <v>43690.0</v>
      </c>
      <c r="B695" s="131"/>
      <c r="C695" s="105" t="str">
        <f>HYPERLINK("http://phish.net/sideshows/trey-anastasio-band/?d="&amp;RIGHT(TEXT(A637,"mm/dd/yyyy"),4)&amp;"-"&amp;LEFT(TEXT(A637,"mm/dd/yyyy"),2)&amp;"-"&amp;MID(TEXT(A637,"mm/dd/yyyy"),4,2), "setlist")</f>
        <v>setlist</v>
      </c>
      <c r="D695" s="140" t="s">
        <v>3159</v>
      </c>
      <c r="E695" s="140" t="s">
        <v>1044</v>
      </c>
      <c r="F695" s="195" t="s">
        <v>203</v>
      </c>
      <c r="G695" s="195" t="s">
        <v>36</v>
      </c>
      <c r="H695" s="105" t="str">
        <f>HYPERLINK("http://www.mediafire.com/file/hnyb5jrvcj3vgyl/2019-08-13_-_Gerald_R._Ford_Amphitheater_-_Vail%252C_CO.rar/file", "download link")</f>
        <v>download link</v>
      </c>
      <c r="I695" s="174"/>
    </row>
    <row r="696">
      <c r="A696" s="150">
        <v>43700.0</v>
      </c>
      <c r="B696" s="156"/>
      <c r="C696" s="116" t="str">
        <f>HYPERLINK("http://phish.net/sideshows/trey-anastasio-band/?d="&amp;RIGHT(TEXT(A637,"mm/dd/yyyy"),4)&amp;"-"&amp;LEFT(TEXT(A637,"mm/dd/yyyy"),2)&amp;"-"&amp;MID(TEXT(A637,"mm/dd/yyyy"),4,2), "setlist")</f>
        <v>setlist</v>
      </c>
      <c r="D696" s="152" t="s">
        <v>2626</v>
      </c>
      <c r="E696" s="152" t="s">
        <v>2627</v>
      </c>
      <c r="F696" s="196" t="s">
        <v>446</v>
      </c>
      <c r="G696" s="196" t="s">
        <v>36</v>
      </c>
      <c r="H696" s="116" t="str">
        <f>HYPERLINK("http://www.mediafire.com/file/3rrh7felnr8xdyr/2019-08-23_-_Oak_Ridge_Farm_-_Arrington%252C_VA.rar/file", "download link")</f>
        <v>download link</v>
      </c>
      <c r="I696" s="79"/>
    </row>
    <row r="697">
      <c r="A697" s="130">
        <v>43729.0</v>
      </c>
      <c r="B697" s="131"/>
      <c r="C697" s="105" t="str">
        <f>HYPERLINK("http://phish.net/sideshows/trey-anastasio-band/?d="&amp;RIGHT(TEXT(A637,"mm/dd/yyyy"),4)&amp;"-"&amp;LEFT(TEXT(A637,"mm/dd/yyyy"),2)&amp;"-"&amp;MID(TEXT(A637,"mm/dd/yyyy"),4,2), "setlist")</f>
        <v>setlist</v>
      </c>
      <c r="D697" s="140" t="s">
        <v>3160</v>
      </c>
      <c r="E697" s="140" t="s">
        <v>1209</v>
      </c>
      <c r="F697" s="195" t="s">
        <v>1210</v>
      </c>
      <c r="G697" s="195"/>
      <c r="H697" s="143"/>
      <c r="I697" s="174"/>
    </row>
    <row r="698">
      <c r="A698" s="350"/>
      <c r="B698" s="354"/>
      <c r="C698" s="352"/>
      <c r="D698" s="370" t="s">
        <v>2827</v>
      </c>
      <c r="E698" s="355"/>
      <c r="F698" s="354"/>
      <c r="G698" s="354"/>
      <c r="H698" s="351"/>
      <c r="I698" s="355"/>
    </row>
    <row r="699">
      <c r="A699" s="150">
        <v>43733.0</v>
      </c>
      <c r="B699" s="156"/>
      <c r="C699" s="116" t="str">
        <f t="shared" ref="C699:C700" si="62">HYPERLINK("http://phish.net/sideshows/trey-anastasio-band/?d="&amp;RIGHT(TEXT(A636,"mm/dd/yyyy"),4)&amp;"-"&amp;LEFT(TEXT(A636,"mm/dd/yyyy"),2)&amp;"-"&amp;MID(TEXT(A636,"mm/dd/yyyy"),4,2), "setlist")</f>
        <v>setlist</v>
      </c>
      <c r="D699" s="152" t="s">
        <v>3161</v>
      </c>
      <c r="E699" s="152" t="s">
        <v>911</v>
      </c>
      <c r="F699" s="196" t="s">
        <v>679</v>
      </c>
      <c r="G699" s="196" t="s">
        <v>36</v>
      </c>
      <c r="H699" s="116" t="str">
        <f>HYPERLINK("http://www.mediafire.com/file/x64h2s9szyvqplh/2019-09-25_-_Grammy_Museum_-_Los_Angeles%252C_CA.rar/file", "download link")</f>
        <v>download link</v>
      </c>
      <c r="I699" s="79"/>
    </row>
    <row r="700">
      <c r="A700" s="130">
        <v>43750.0</v>
      </c>
      <c r="B700" s="131"/>
      <c r="C700" s="105" t="str">
        <f t="shared" si="62"/>
        <v>setlist</v>
      </c>
      <c r="D700" s="140" t="s">
        <v>3162</v>
      </c>
      <c r="E700" s="140" t="s">
        <v>162</v>
      </c>
      <c r="F700" s="195" t="s">
        <v>129</v>
      </c>
      <c r="G700" s="195"/>
      <c r="H700" s="143"/>
      <c r="I700" s="174"/>
    </row>
    <row r="701">
      <c r="A701" s="150">
        <v>43753.0</v>
      </c>
      <c r="B701" s="156"/>
      <c r="C701" s="116" t="str">
        <f>HYPERLINK("http://phish.net/sideshows/trey-anastasio-band/?d="&amp;RIGHT(TEXT(A637,"mm/dd/yyyy"),4)&amp;"-"&amp;LEFT(TEXT(A637,"mm/dd/yyyy"),2)&amp;"-"&amp;MID(TEXT(A637,"mm/dd/yyyy"),4,2), "setlist")</f>
        <v>setlist</v>
      </c>
      <c r="D701" s="152" t="s">
        <v>1112</v>
      </c>
      <c r="E701" s="152" t="s">
        <v>330</v>
      </c>
      <c r="F701" s="196" t="s">
        <v>129</v>
      </c>
      <c r="G701" s="196" t="s">
        <v>36</v>
      </c>
      <c r="H701" s="116" t="str">
        <f>HYPERLINK("http://www.mediafire.com/file/7j8ikkk96fkye61/2019-10-15_-_Smith_Opera_House_-_Geneva%252C_NY.rar/file", "download link")</f>
        <v>download link</v>
      </c>
      <c r="I701" s="79"/>
    </row>
    <row r="702">
      <c r="A702" s="130">
        <v>43754.0</v>
      </c>
      <c r="B702" s="131"/>
      <c r="C702" s="105" t="str">
        <f>HYPERLINK("http://phish.net/sideshows/trey-anastasio-band/?d="&amp;RIGHT(TEXT(A637,"mm/dd/yyyy"),4)&amp;"-"&amp;LEFT(TEXT(A637,"mm/dd/yyyy"),2)&amp;"-"&amp;MID(TEXT(A637,"mm/dd/yyyy"),4,2), "setlist")</f>
        <v>setlist</v>
      </c>
      <c r="D702" s="140" t="s">
        <v>3163</v>
      </c>
      <c r="E702" s="140" t="s">
        <v>477</v>
      </c>
      <c r="F702" s="195" t="s">
        <v>472</v>
      </c>
      <c r="G702" s="195" t="s">
        <v>36</v>
      </c>
      <c r="H702" s="105" t="str">
        <f>HYPERLINK("http://www.mediafire.com/file/tpugd29fulgs9t5/2019-10-16_-_Victoria_Theatre_-_Dayton%252C_OH.rar/file", "download link")</f>
        <v>download link</v>
      </c>
      <c r="I702" s="174"/>
    </row>
    <row r="703">
      <c r="A703" s="150">
        <v>43756.0</v>
      </c>
      <c r="B703" s="156"/>
      <c r="C703" s="116" t="str">
        <f>HYPERLINK("http://phish.net/sideshows/trey-anastasio-band/?d="&amp;RIGHT(TEXT(A637,"mm/dd/yyyy"),4)&amp;"-"&amp;LEFT(TEXT(A637,"mm/dd/yyyy"),2)&amp;"-"&amp;MID(TEXT(A637,"mm/dd/yyyy"),4,2), "setlist")</f>
        <v>setlist</v>
      </c>
      <c r="D703" s="152" t="s">
        <v>3164</v>
      </c>
      <c r="E703" s="152" t="s">
        <v>936</v>
      </c>
      <c r="F703" s="196" t="s">
        <v>483</v>
      </c>
      <c r="G703" s="196"/>
      <c r="H703" s="197"/>
      <c r="I703" s="79"/>
    </row>
    <row r="704">
      <c r="A704" s="130">
        <v>43757.0</v>
      </c>
      <c r="B704" s="131"/>
      <c r="C704" s="105" t="str">
        <f>HYPERLINK("http://phish.net/sideshows/trey-anastasio-band/?d="&amp;RIGHT(TEXT(A637,"mm/dd/yyyy"),4)&amp;"-"&amp;LEFT(TEXT(A637,"mm/dd/yyyy"),2)&amp;"-"&amp;MID(TEXT(A637,"mm/dd/yyyy"),4,2), "setlist")</f>
        <v>setlist</v>
      </c>
      <c r="D704" s="140" t="s">
        <v>1193</v>
      </c>
      <c r="E704" s="140" t="s">
        <v>485</v>
      </c>
      <c r="F704" s="195" t="s">
        <v>486</v>
      </c>
      <c r="G704" s="195"/>
      <c r="H704" s="143"/>
      <c r="I704" s="174"/>
    </row>
    <row r="705">
      <c r="A705" s="150">
        <v>43759.0</v>
      </c>
      <c r="B705" s="156"/>
      <c r="C705" s="116" t="str">
        <f>HYPERLINK("http://phish.net/sideshows/trey-anastasio-band/?d="&amp;RIGHT(TEXT(A637,"mm/dd/yyyy"),4)&amp;"-"&amp;LEFT(TEXT(A637,"mm/dd/yyyy"),2)&amp;"-"&amp;MID(TEXT(A637,"mm/dd/yyyy"),4,2), "setlist")</f>
        <v>setlist</v>
      </c>
      <c r="D705" s="152" t="s">
        <v>3165</v>
      </c>
      <c r="E705" s="152" t="s">
        <v>3166</v>
      </c>
      <c r="F705" s="196" t="s">
        <v>483</v>
      </c>
      <c r="G705" s="196"/>
      <c r="H705" s="197"/>
      <c r="I705" s="79"/>
    </row>
    <row r="706">
      <c r="A706" s="130">
        <v>43761.0</v>
      </c>
      <c r="B706" s="131"/>
      <c r="C706" s="105" t="str">
        <f>HYPERLINK("http://phish.net/sideshows/trey-anastasio-band/?d="&amp;RIGHT(TEXT(A637,"mm/dd/yyyy"),4)&amp;"-"&amp;LEFT(TEXT(A637,"mm/dd/yyyy"),2)&amp;"-"&amp;MID(TEXT(A637,"mm/dd/yyyy"),4,2), "setlist")</f>
        <v>setlist</v>
      </c>
      <c r="D706" s="140" t="s">
        <v>866</v>
      </c>
      <c r="E706" s="140" t="s">
        <v>149</v>
      </c>
      <c r="F706" s="195" t="s">
        <v>472</v>
      </c>
      <c r="G706" s="195" t="s">
        <v>36</v>
      </c>
      <c r="H706" s="105" t="str">
        <f>HYPERLINK("http://www.mediafire.com/file/pjvnccu9cilykgs/2019-10-23_-_Palace_Theatre_-_Canton%252C_OH.rar/file", "download link")</f>
        <v>download link</v>
      </c>
      <c r="I706" s="174"/>
    </row>
    <row r="707">
      <c r="A707" s="150">
        <v>43763.0</v>
      </c>
      <c r="B707" s="156"/>
      <c r="C707" s="116" t="str">
        <f>HYPERLINK("http://phish.net/sideshows/trey-anastasio-band/?d="&amp;RIGHT(TEXT(A637,"mm/dd/yyyy"),4)&amp;"-"&amp;LEFT(TEXT(A637,"mm/dd/yyyy"),2)&amp;"-"&amp;MID(TEXT(A637,"mm/dd/yyyy"),4,2), "setlist")</f>
        <v>setlist</v>
      </c>
      <c r="D707" s="152" t="s">
        <v>1086</v>
      </c>
      <c r="E707" s="152" t="s">
        <v>711</v>
      </c>
      <c r="F707" s="196" t="s">
        <v>712</v>
      </c>
      <c r="G707" s="196" t="s">
        <v>36</v>
      </c>
      <c r="H707" s="116" t="str">
        <f>HYPERLINK("http://www.mediafire.com/file/y7wg7inyr8nheup/2019-10-25_-_Michigan_Theater_-_Ann_Arbor%252C_MI.rar/file", "download link")</f>
        <v>download link</v>
      </c>
      <c r="I707" s="79"/>
    </row>
    <row r="708">
      <c r="A708" s="130">
        <v>43764.0</v>
      </c>
      <c r="B708" s="131"/>
      <c r="C708" s="105" t="str">
        <f>HYPERLINK("http://phish.net/sideshows/trey-anastasio-band/?d="&amp;RIGHT(TEXT(A637,"mm/dd/yyyy"),4)&amp;"-"&amp;LEFT(TEXT(A637,"mm/dd/yyyy"),2)&amp;"-"&amp;MID(TEXT(A637,"mm/dd/yyyy"),4,2), "setlist")</f>
        <v>setlist</v>
      </c>
      <c r="D708" s="140" t="s">
        <v>3167</v>
      </c>
      <c r="E708" s="140" t="s">
        <v>1289</v>
      </c>
      <c r="F708" s="195" t="s">
        <v>508</v>
      </c>
      <c r="G708" s="195"/>
      <c r="H708" s="143"/>
      <c r="I708" s="174"/>
    </row>
    <row r="709">
      <c r="A709" s="150">
        <v>43765.0</v>
      </c>
      <c r="B709" s="156"/>
      <c r="C709" s="116" t="str">
        <f>HYPERLINK("http://phish.net/sideshows/trey-anastasio-band/?d="&amp;RIGHT(TEXT(A637,"mm/dd/yyyy"),4)&amp;"-"&amp;LEFT(TEXT(A637,"mm/dd/yyyy"),2)&amp;"-"&amp;MID(TEXT(A637,"mm/dd/yyyy"),4,2), "setlist")</f>
        <v>setlist</v>
      </c>
      <c r="D709" s="152" t="s">
        <v>2918</v>
      </c>
      <c r="E709" s="152" t="s">
        <v>652</v>
      </c>
      <c r="F709" s="196" t="s">
        <v>650</v>
      </c>
      <c r="G709" s="196" t="s">
        <v>36</v>
      </c>
      <c r="H709" s="116" t="str">
        <f>HYPERLINK("http://www.mediafire.com/file/opx342ej953sjrt/2019-10-27_-_Ryman_Auditorium_-_Nashville%252C_TN.rar/file", "download link")</f>
        <v>download link</v>
      </c>
      <c r="I709" s="79"/>
    </row>
    <row r="710">
      <c r="A710" s="130">
        <v>43767.0</v>
      </c>
      <c r="B710" s="131"/>
      <c r="C710" s="105" t="str">
        <f>HYPERLINK("http://phish.net/sideshows/trey-anastasio-band/?d="&amp;RIGHT(TEXT(A637,"mm/dd/yyyy"),4)&amp;"-"&amp;LEFT(TEXT(A637,"mm/dd/yyyy"),2)&amp;"-"&amp;MID(TEXT(A637,"mm/dd/yyyy"),4,2), "setlist")</f>
        <v>setlist</v>
      </c>
      <c r="D710" s="140" t="s">
        <v>2823</v>
      </c>
      <c r="E710" s="140" t="s">
        <v>162</v>
      </c>
      <c r="F710" s="195" t="s">
        <v>129</v>
      </c>
      <c r="G710" s="195"/>
      <c r="H710" s="143"/>
      <c r="I710" s="174"/>
    </row>
    <row r="711">
      <c r="A711" s="150">
        <v>43768.0</v>
      </c>
      <c r="B711" s="156"/>
      <c r="C711" s="116" t="str">
        <f>HYPERLINK("http://phish.net/sideshows/trey-anastasio-band/?d="&amp;RIGHT(TEXT(A637,"mm/dd/yyyy"),4)&amp;"-"&amp;LEFT(TEXT(A637,"mm/dd/yyyy"),2)&amp;"-"&amp;MID(TEXT(A637,"mm/dd/yyyy"),4,2), "setlist")</f>
        <v>setlist</v>
      </c>
      <c r="D711" s="152" t="s">
        <v>2823</v>
      </c>
      <c r="E711" s="152" t="s">
        <v>162</v>
      </c>
      <c r="F711" s="196" t="s">
        <v>129</v>
      </c>
      <c r="G711" s="196"/>
      <c r="H711" s="197"/>
      <c r="I711" s="79"/>
    </row>
    <row r="712">
      <c r="A712" s="350"/>
      <c r="B712" s="354"/>
      <c r="C712" s="352"/>
      <c r="D712" s="370" t="s">
        <v>3023</v>
      </c>
      <c r="E712" s="355"/>
      <c r="F712" s="354"/>
      <c r="G712" s="354"/>
      <c r="H712" s="351"/>
      <c r="I712" s="355"/>
    </row>
    <row r="713">
      <c r="A713" s="150">
        <v>43840.0</v>
      </c>
      <c r="B713" s="156"/>
      <c r="C713" s="116" t="str">
        <f t="shared" ref="C713:C724" si="63">HYPERLINK("http://phish.net/sideshows/trey-anastasio-band/?d="&amp;RIGHT(TEXT(A637,"mm/dd/yyyy"),4)&amp;"-"&amp;LEFT(TEXT(A637,"mm/dd/yyyy"),2)&amp;"-"&amp;MID(TEXT(A637,"mm/dd/yyyy"),4,2), "setlist")</f>
        <v>setlist</v>
      </c>
      <c r="D713" s="152" t="s">
        <v>570</v>
      </c>
      <c r="E713" s="152" t="s">
        <v>571</v>
      </c>
      <c r="F713" s="196" t="s">
        <v>129</v>
      </c>
      <c r="G713" s="196"/>
      <c r="H713" s="197"/>
      <c r="I713" s="79"/>
    </row>
    <row r="714">
      <c r="A714" s="130">
        <v>43841.0</v>
      </c>
      <c r="B714" s="131"/>
      <c r="C714" s="105" t="str">
        <f t="shared" si="63"/>
        <v>setlist</v>
      </c>
      <c r="D714" s="140" t="s">
        <v>570</v>
      </c>
      <c r="E714" s="140" t="s">
        <v>571</v>
      </c>
      <c r="F714" s="195" t="s">
        <v>129</v>
      </c>
      <c r="G714" s="195"/>
      <c r="H714" s="143"/>
      <c r="I714" s="174"/>
    </row>
    <row r="715">
      <c r="A715" s="150">
        <v>43846.0</v>
      </c>
      <c r="B715" s="156"/>
      <c r="C715" s="116" t="str">
        <f t="shared" si="63"/>
        <v>setlist</v>
      </c>
      <c r="D715" s="152" t="s">
        <v>3168</v>
      </c>
      <c r="E715" s="152" t="s">
        <v>1381</v>
      </c>
      <c r="F715" s="196" t="s">
        <v>679</v>
      </c>
      <c r="G715" s="196" t="s">
        <v>36</v>
      </c>
      <c r="H715" s="116" t="str">
        <f>HYPERLINK("http://www.mediafire.com/file/p3yd5gp31k86u1a/2020-01-16_-_The_Observatory_North_Park_-_San_Diego%252C_CA.rar/file", "download link")</f>
        <v>download link</v>
      </c>
      <c r="I715" s="79"/>
    </row>
    <row r="716">
      <c r="A716" s="130">
        <v>43847.0</v>
      </c>
      <c r="B716" s="131"/>
      <c r="C716" s="105" t="str">
        <f t="shared" si="63"/>
        <v>setlist</v>
      </c>
      <c r="D716" s="140" t="s">
        <v>1383</v>
      </c>
      <c r="E716" s="140" t="s">
        <v>911</v>
      </c>
      <c r="F716" s="195" t="s">
        <v>679</v>
      </c>
      <c r="G716" s="195"/>
      <c r="H716" s="143"/>
      <c r="I716" s="174"/>
    </row>
    <row r="717">
      <c r="A717" s="150">
        <v>43848.0</v>
      </c>
      <c r="B717" s="156"/>
      <c r="C717" s="116" t="str">
        <f t="shared" si="63"/>
        <v>setlist</v>
      </c>
      <c r="D717" s="152" t="s">
        <v>1383</v>
      </c>
      <c r="E717" s="152" t="s">
        <v>911</v>
      </c>
      <c r="F717" s="196" t="s">
        <v>679</v>
      </c>
      <c r="G717" s="196"/>
      <c r="H717" s="197"/>
      <c r="I717" s="79"/>
    </row>
    <row r="718">
      <c r="A718" s="130">
        <v>43851.0</v>
      </c>
      <c r="B718" s="131"/>
      <c r="C718" s="105" t="str">
        <f t="shared" si="63"/>
        <v>setlist</v>
      </c>
      <c r="D718" s="140" t="s">
        <v>3169</v>
      </c>
      <c r="E718" s="140" t="s">
        <v>1160</v>
      </c>
      <c r="F718" s="195" t="s">
        <v>805</v>
      </c>
      <c r="G718" s="195" t="s">
        <v>36</v>
      </c>
      <c r="H718" s="105" t="str">
        <f>HYPERLINK("http://www.mediafire.com/file/bholel7o5w0dw45/2020-01-21_-_The_Van_Buren_-_Phoenix%252C_AZ.rar/file", "download link")</f>
        <v>download link</v>
      </c>
      <c r="I718" s="174"/>
    </row>
    <row r="719">
      <c r="A719" s="150">
        <v>43854.0</v>
      </c>
      <c r="B719" s="156"/>
      <c r="C719" s="116" t="str">
        <f t="shared" si="63"/>
        <v>setlist</v>
      </c>
      <c r="D719" s="152" t="s">
        <v>3170</v>
      </c>
      <c r="E719" s="152" t="s">
        <v>591</v>
      </c>
      <c r="F719" s="196" t="s">
        <v>589</v>
      </c>
      <c r="G719" s="196" t="s">
        <v>36</v>
      </c>
      <c r="H719" s="116" t="str">
        <f>HYPERLINK("http://www.mediafire.com/file/q52othumfj4gy4p/2020-01-24_-_Austin_City_Limits_at_the_Moody_Theater_-_Austin%252C_TX.rar/file", "download link")</f>
        <v>download link</v>
      </c>
      <c r="I719" s="79"/>
    </row>
    <row r="720">
      <c r="A720" s="130">
        <v>43855.0</v>
      </c>
      <c r="B720" s="131"/>
      <c r="C720" s="105" t="str">
        <f t="shared" si="63"/>
        <v>setlist</v>
      </c>
      <c r="D720" s="140" t="s">
        <v>2990</v>
      </c>
      <c r="E720" s="140" t="s">
        <v>588</v>
      </c>
      <c r="F720" s="195" t="s">
        <v>589</v>
      </c>
      <c r="G720" s="195"/>
      <c r="H720" s="143"/>
      <c r="I720" s="174"/>
    </row>
    <row r="721">
      <c r="A721" s="150">
        <v>43856.0</v>
      </c>
      <c r="B721" s="156"/>
      <c r="C721" s="116" t="str">
        <f t="shared" si="63"/>
        <v>setlist</v>
      </c>
      <c r="D721" s="152" t="s">
        <v>1369</v>
      </c>
      <c r="E721" s="152" t="s">
        <v>593</v>
      </c>
      <c r="F721" s="196" t="s">
        <v>589</v>
      </c>
      <c r="G721" s="196" t="s">
        <v>36</v>
      </c>
      <c r="H721" s="116" t="str">
        <f>HYPERLINK("http://www.mediafire.com/file/38yiqfc6jjzywt5/2020-01-26_-_The_Bomb_Factory_-_Dallas%252C_TX.rar/file", "download link")</f>
        <v>download link</v>
      </c>
      <c r="I721" s="79"/>
    </row>
    <row r="722">
      <c r="A722" s="130">
        <v>43858.0</v>
      </c>
      <c r="B722" s="131"/>
      <c r="C722" s="105" t="str">
        <f t="shared" si="63"/>
        <v>setlist</v>
      </c>
      <c r="D722" s="140" t="s">
        <v>3171</v>
      </c>
      <c r="E722" s="140" t="s">
        <v>3172</v>
      </c>
      <c r="F722" s="195" t="s">
        <v>589</v>
      </c>
      <c r="G722" s="195"/>
      <c r="H722" s="143"/>
      <c r="I722" s="174"/>
    </row>
    <row r="723">
      <c r="A723" s="150">
        <v>43861.0</v>
      </c>
      <c r="B723" s="156"/>
      <c r="C723" s="116" t="str">
        <f t="shared" si="63"/>
        <v>setlist</v>
      </c>
      <c r="D723" s="152" t="s">
        <v>3138</v>
      </c>
      <c r="E723" s="152" t="s">
        <v>585</v>
      </c>
      <c r="F723" s="196" t="s">
        <v>586</v>
      </c>
      <c r="G723" s="196" t="s">
        <v>36</v>
      </c>
      <c r="H723" s="116" t="str">
        <f>HYPERLINK("http://www.mediafire.com/file/u0qddtxabj0o8g9/2020-01-31_-_Civic_Theatre_-_New_Orleans%252C_LA.rar/file", "download link")</f>
        <v>download link</v>
      </c>
      <c r="I723" s="79"/>
    </row>
    <row r="724">
      <c r="A724" s="130">
        <v>43862.0</v>
      </c>
      <c r="B724" s="131"/>
      <c r="C724" s="105" t="str">
        <f t="shared" si="63"/>
        <v>setlist</v>
      </c>
      <c r="D724" s="140" t="s">
        <v>3138</v>
      </c>
      <c r="E724" s="140" t="s">
        <v>585</v>
      </c>
      <c r="F724" s="195" t="s">
        <v>586</v>
      </c>
      <c r="G724" s="195" t="s">
        <v>36</v>
      </c>
      <c r="H724" s="105" t="str">
        <f>HYPERLINK("http://www.mediafire.com/file/qh3nb8nozjp0239/2020-02-01_-_Civic_Theatre_-_New_Orleans%252C_LA.rar/file", "download link")</f>
        <v>download link</v>
      </c>
      <c r="I724" s="174"/>
    </row>
    <row r="725">
      <c r="A725" s="350"/>
      <c r="B725" s="354"/>
      <c r="C725" s="352"/>
      <c r="D725" s="370" t="s">
        <v>2843</v>
      </c>
      <c r="E725" s="355"/>
      <c r="F725" s="354"/>
      <c r="G725" s="354"/>
      <c r="H725" s="351"/>
      <c r="I725" s="355"/>
    </row>
    <row r="726">
      <c r="A726" s="150">
        <v>43875.0</v>
      </c>
      <c r="B726" s="156"/>
      <c r="C726" s="116" t="str">
        <f>HYPERLINK("http://phish.net/sideshows/trey-anastasio-band/?d="&amp;RIGHT(TEXT(A648,"mm/dd/yyyy"),4)&amp;"-"&amp;LEFT(TEXT(A648,"mm/dd/yyyy"),2)&amp;"-"&amp;MID(TEXT(A648,"mm/dd/yyyy"),4,2), "setlist")</f>
        <v>setlist</v>
      </c>
      <c r="D726" s="152" t="s">
        <v>3173</v>
      </c>
      <c r="E726" s="152" t="s">
        <v>2407</v>
      </c>
      <c r="F726" s="196" t="s">
        <v>203</v>
      </c>
      <c r="G726" s="196" t="s">
        <v>36</v>
      </c>
      <c r="H726" s="116" t="str">
        <f>HYPERLINK("http://www.mediafire.com/file/nvfoi3pcx5wtens/2020-02-14_-_1stBank_Center_-_Broomfield%252C_CO.rar/file", "download link")</f>
        <v>download link</v>
      </c>
      <c r="I726" s="79"/>
    </row>
    <row r="727">
      <c r="A727" s="130">
        <v>43876.0</v>
      </c>
      <c r="B727" s="131"/>
      <c r="C727" s="105" t="str">
        <f>HYPERLINK("http://phish.net/sideshows/trey-anastasio-band/?d="&amp;RIGHT(TEXT(A648,"mm/dd/yyyy"),4)&amp;"-"&amp;LEFT(TEXT(A648,"mm/dd/yyyy"),2)&amp;"-"&amp;MID(TEXT(A648,"mm/dd/yyyy"),4,2), "setlist")</f>
        <v>setlist</v>
      </c>
      <c r="D727" s="140" t="s">
        <v>3173</v>
      </c>
      <c r="E727" s="140" t="s">
        <v>2407</v>
      </c>
      <c r="F727" s="195" t="s">
        <v>203</v>
      </c>
      <c r="G727" s="195" t="s">
        <v>36</v>
      </c>
      <c r="H727" s="105" t="str">
        <f>HYPERLINK("http://www.mediafire.com/file/ctk2i6kzxwean14/2020-02-15_-_1stBank_Center_-_Broomfield%252C_CO.rar/file", "download link")</f>
        <v>download link</v>
      </c>
      <c r="I727" s="174"/>
    </row>
    <row r="728">
      <c r="A728" s="350"/>
      <c r="B728" s="354"/>
      <c r="C728" s="352"/>
      <c r="D728" s="370" t="s">
        <v>3174</v>
      </c>
      <c r="E728" s="355"/>
      <c r="F728" s="354"/>
      <c r="G728" s="371">
        <v>0.0</v>
      </c>
      <c r="H728" s="351"/>
      <c r="I728" s="355"/>
    </row>
    <row r="729">
      <c r="A729" s="150">
        <v>44054.0</v>
      </c>
      <c r="B729" s="156"/>
      <c r="C729" s="116" t="str">
        <f>HYPERLINK("http://phish.net/sideshows/trey-anastasio-band/?d="&amp;RIGHT(TEXT(A648,"mm/dd/yyyy"),4)&amp;"-"&amp;LEFT(TEXT(A648,"mm/dd/yyyy"),2)&amp;"-"&amp;MID(TEXT(A648,"mm/dd/yyyy"),4,2), "setlist")</f>
        <v>setlist</v>
      </c>
      <c r="D729" s="152" t="s">
        <v>2377</v>
      </c>
      <c r="E729" s="152" t="s">
        <v>162</v>
      </c>
      <c r="F729" s="196" t="s">
        <v>129</v>
      </c>
      <c r="G729" s="196" t="s">
        <v>36</v>
      </c>
      <c r="H729" s="116" t="str">
        <f>HYPERLINK("http://www.mediafire.com/file/1zwurrq4fy9n9zt/2020-08-11_-_NBC_Television_Studios%252C_Studio_6B_-_New_York%252C_NY.rar/file", "download link")</f>
        <v>download link</v>
      </c>
      <c r="I729" s="79"/>
    </row>
    <row r="730">
      <c r="A730" s="350"/>
      <c r="B730" s="354"/>
      <c r="C730" s="352"/>
      <c r="D730" s="370" t="s">
        <v>2827</v>
      </c>
      <c r="E730" s="355"/>
      <c r="F730" s="354"/>
      <c r="G730" s="354"/>
      <c r="H730" s="351"/>
      <c r="I730" s="355"/>
    </row>
    <row r="731">
      <c r="A731" s="150">
        <v>44091.0</v>
      </c>
      <c r="B731" s="156"/>
      <c r="C731" s="116" t="str">
        <f>HYPERLINK("http://phish.net/sideshows/trey-anastasio-band/?d="&amp;RIGHT(TEXT(A648,"mm/dd/yyyy"),4)&amp;"-"&amp;LEFT(TEXT(A648,"mm/dd/yyyy"),2)&amp;"-"&amp;MID(TEXT(A648,"mm/dd/yyyy"),4,2), "setlist")</f>
        <v>setlist</v>
      </c>
      <c r="D731" s="152" t="s">
        <v>3141</v>
      </c>
      <c r="E731" s="152" t="s">
        <v>162</v>
      </c>
      <c r="F731" s="196" t="s">
        <v>129</v>
      </c>
      <c r="G731" s="196" t="s">
        <v>36</v>
      </c>
      <c r="H731" s="116" t="str">
        <f>HYPERLINK("http://www.mediafire.com/file/0yp7abl6zqz6d30/2020-09-17_-_Summerstage%252C_Central_Park_-_New_York%252C_NY.rar/file", "download link")</f>
        <v>download link</v>
      </c>
      <c r="I731" s="79"/>
    </row>
    <row r="732">
      <c r="A732" s="350"/>
      <c r="B732" s="354"/>
      <c r="C732" s="352"/>
      <c r="D732" s="370" t="s">
        <v>3175</v>
      </c>
      <c r="E732" s="355"/>
      <c r="F732" s="354"/>
      <c r="G732" s="354"/>
      <c r="H732" s="351"/>
      <c r="I732" s="355"/>
    </row>
    <row r="733">
      <c r="A733" s="150">
        <v>44113.0</v>
      </c>
      <c r="B733" s="156"/>
      <c r="C733" s="116" t="str">
        <f>HYPERLINK("http://phish.net/sideshows/trey-anastasio-band/?d="&amp;RIGHT(TEXT(A648,"mm/dd/yyyy"),4)&amp;"-"&amp;LEFT(TEXT(A648,"mm/dd/yyyy"),2)&amp;"-"&amp;MID(TEXT(A648,"mm/dd/yyyy"),4,2), "setlist")</f>
        <v>setlist</v>
      </c>
      <c r="D733" s="152" t="s">
        <v>1330</v>
      </c>
      <c r="E733" s="152" t="s">
        <v>162</v>
      </c>
      <c r="F733" s="196" t="s">
        <v>129</v>
      </c>
      <c r="G733" s="196"/>
      <c r="H733" s="197"/>
      <c r="I733" s="79"/>
    </row>
    <row r="734">
      <c r="A734" s="130">
        <v>44120.0</v>
      </c>
      <c r="B734" s="131"/>
      <c r="C734" s="105" t="str">
        <f>HYPERLINK("http://phish.net/sideshows/trey-anastasio-band/?d="&amp;RIGHT(TEXT(A648,"mm/dd/yyyy"),4)&amp;"-"&amp;LEFT(TEXT(A648,"mm/dd/yyyy"),2)&amp;"-"&amp;MID(TEXT(A648,"mm/dd/yyyy"),4,2), "setlist")</f>
        <v>setlist</v>
      </c>
      <c r="D734" s="140" t="s">
        <v>1330</v>
      </c>
      <c r="E734" s="140" t="s">
        <v>162</v>
      </c>
      <c r="F734" s="195" t="s">
        <v>129</v>
      </c>
      <c r="G734" s="195"/>
      <c r="H734" s="143"/>
      <c r="I734" s="174"/>
    </row>
    <row r="735">
      <c r="A735" s="150">
        <v>44127.0</v>
      </c>
      <c r="B735" s="156"/>
      <c r="C735" s="116" t="str">
        <f>HYPERLINK("http://phish.net/sideshows/trey-anastasio-band/?d="&amp;RIGHT(TEXT(A648,"mm/dd/yyyy"),4)&amp;"-"&amp;LEFT(TEXT(A648,"mm/dd/yyyy"),2)&amp;"-"&amp;MID(TEXT(A648,"mm/dd/yyyy"),4,2), "setlist")</f>
        <v>setlist</v>
      </c>
      <c r="D735" s="152" t="s">
        <v>1330</v>
      </c>
      <c r="E735" s="152" t="s">
        <v>162</v>
      </c>
      <c r="F735" s="196" t="s">
        <v>129</v>
      </c>
      <c r="G735" s="196"/>
      <c r="H735" s="197"/>
      <c r="I735" s="79"/>
    </row>
    <row r="736">
      <c r="A736" s="130">
        <v>44134.0</v>
      </c>
      <c r="B736" s="131"/>
      <c r="C736" s="105" t="str">
        <f>HYPERLINK("http://phish.net/sideshows/trey-anastasio-band/?d="&amp;RIGHT(TEXT(A648,"mm/dd/yyyy"),4)&amp;"-"&amp;LEFT(TEXT(A648,"mm/dd/yyyy"),2)&amp;"-"&amp;MID(TEXT(A648,"mm/dd/yyyy"),4,2), "setlist")</f>
        <v>setlist</v>
      </c>
      <c r="D736" s="140" t="s">
        <v>1330</v>
      </c>
      <c r="E736" s="140" t="s">
        <v>162</v>
      </c>
      <c r="F736" s="195" t="s">
        <v>129</v>
      </c>
      <c r="G736" s="195"/>
      <c r="H736" s="143"/>
      <c r="I736" s="174"/>
    </row>
    <row r="737">
      <c r="A737" s="150">
        <v>44141.0</v>
      </c>
      <c r="B737" s="156"/>
      <c r="C737" s="116" t="str">
        <f>HYPERLINK("http://phish.net/sideshows/trey-anastasio-band/?d="&amp;RIGHT(TEXT(A648,"mm/dd/yyyy"),4)&amp;"-"&amp;LEFT(TEXT(A648,"mm/dd/yyyy"),2)&amp;"-"&amp;MID(TEXT(A648,"mm/dd/yyyy"),4,2), "setlist")</f>
        <v>setlist</v>
      </c>
      <c r="D737" s="152" t="s">
        <v>1330</v>
      </c>
      <c r="E737" s="152" t="s">
        <v>162</v>
      </c>
      <c r="F737" s="196" t="s">
        <v>129</v>
      </c>
      <c r="G737" s="196"/>
      <c r="H737" s="197"/>
      <c r="I737" s="79"/>
    </row>
    <row r="738">
      <c r="A738" s="130">
        <v>44148.0</v>
      </c>
      <c r="B738" s="131"/>
      <c r="C738" s="105" t="str">
        <f>HYPERLINK("http://phish.net/sideshows/trey-anastasio-band/?d="&amp;RIGHT(TEXT(A648,"mm/dd/yyyy"),4)&amp;"-"&amp;LEFT(TEXT(A648,"mm/dd/yyyy"),2)&amp;"-"&amp;MID(TEXT(A648,"mm/dd/yyyy"),4,2), "setlist")</f>
        <v>setlist</v>
      </c>
      <c r="D738" s="140" t="s">
        <v>1330</v>
      </c>
      <c r="E738" s="140" t="s">
        <v>162</v>
      </c>
      <c r="F738" s="195" t="s">
        <v>129</v>
      </c>
      <c r="G738" s="195"/>
      <c r="H738" s="143"/>
      <c r="I738" s="174"/>
    </row>
    <row r="739">
      <c r="A739" s="150">
        <v>44155.0</v>
      </c>
      <c r="B739" s="156"/>
      <c r="C739" s="116" t="str">
        <f>HYPERLINK("http://phish.net/sideshows/trey-anastasio-band/?d="&amp;RIGHT(TEXT(A648,"mm/dd/yyyy"),4)&amp;"-"&amp;LEFT(TEXT(A648,"mm/dd/yyyy"),2)&amp;"-"&amp;MID(TEXT(A648,"mm/dd/yyyy"),4,2), "setlist")</f>
        <v>setlist</v>
      </c>
      <c r="D739" s="152" t="s">
        <v>1330</v>
      </c>
      <c r="E739" s="152" t="s">
        <v>162</v>
      </c>
      <c r="F739" s="196" t="s">
        <v>129</v>
      </c>
      <c r="G739" s="196"/>
      <c r="H739" s="197"/>
      <c r="I739" s="79"/>
    </row>
    <row r="740">
      <c r="A740" s="130">
        <v>44162.0</v>
      </c>
      <c r="B740" s="131"/>
      <c r="C740" s="105" t="str">
        <f>HYPERLINK("http://phish.net/sideshows/trey-anastasio-band/?d="&amp;RIGHT(TEXT(A648,"mm/dd/yyyy"),4)&amp;"-"&amp;LEFT(TEXT(A648,"mm/dd/yyyy"),2)&amp;"-"&amp;MID(TEXT(A648,"mm/dd/yyyy"),4,2), "setlist")</f>
        <v>setlist</v>
      </c>
      <c r="D740" s="140" t="s">
        <v>1330</v>
      </c>
      <c r="E740" s="140" t="s">
        <v>162</v>
      </c>
      <c r="F740" s="195" t="s">
        <v>129</v>
      </c>
      <c r="G740" s="195"/>
      <c r="H740" s="143"/>
      <c r="I740" s="174"/>
    </row>
    <row r="741">
      <c r="A741" s="350"/>
      <c r="B741" s="354"/>
      <c r="C741" s="352"/>
      <c r="D741" s="370" t="s">
        <v>3176</v>
      </c>
      <c r="E741" s="355"/>
      <c r="F741" s="354"/>
      <c r="G741" s="354"/>
      <c r="H741" s="351"/>
      <c r="I741" s="355"/>
    </row>
    <row r="742">
      <c r="A742" s="150">
        <v>44365.0</v>
      </c>
      <c r="B742" s="156"/>
      <c r="C742" s="116" t="str">
        <f t="shared" ref="C742:C746" si="64">HYPERLINK("http://phish.net/sideshows/trey-anastasio-band/?d="&amp;RIGHT(TEXT(A650,"mm/dd/yyyy"),4)&amp;"-"&amp;LEFT(TEXT(A650,"mm/dd/yyyy"),2)&amp;"-"&amp;MID(TEXT(A650,"mm/dd/yyyy"),4,2), "setlist")</f>
        <v>setlist</v>
      </c>
      <c r="D742" s="152" t="s">
        <v>1015</v>
      </c>
      <c r="E742" s="152" t="s">
        <v>465</v>
      </c>
      <c r="F742" s="196" t="s">
        <v>129</v>
      </c>
      <c r="G742" s="196" t="s">
        <v>36</v>
      </c>
      <c r="H742" s="116" t="str">
        <f>HYPERLINK("https://www.mediafire.com/file/tznyzcxh0j7f8nk/2021-06-18_-_Saratoga_Performing_Arts_Center_-_Saratoga_Springs%252C_NY.rar/file", "download link")</f>
        <v>download link</v>
      </c>
      <c r="I742" s="79"/>
    </row>
    <row r="743">
      <c r="A743" s="130">
        <v>44366.0</v>
      </c>
      <c r="B743" s="131"/>
      <c r="C743" s="105" t="str">
        <f t="shared" si="64"/>
        <v>setlist</v>
      </c>
      <c r="D743" s="140" t="s">
        <v>1015</v>
      </c>
      <c r="E743" s="140" t="s">
        <v>465</v>
      </c>
      <c r="F743" s="195" t="s">
        <v>129</v>
      </c>
      <c r="G743" s="195" t="s">
        <v>36</v>
      </c>
      <c r="H743" s="105" t="str">
        <f>HYPERLINK("https://www.mediafire.com/file/k5hoblgujxbzchz/2021-06-19_-_Saratoga_Performing_Arts_Center_-_Saratoga_Springs%252C_NY.rar/file", "download link")</f>
        <v>download link</v>
      </c>
      <c r="I743" s="174"/>
    </row>
    <row r="744">
      <c r="A744" s="150">
        <v>44367.0</v>
      </c>
      <c r="B744" s="156"/>
      <c r="C744" s="116" t="str">
        <f t="shared" si="64"/>
        <v>setlist</v>
      </c>
      <c r="D744" s="152" t="s">
        <v>1015</v>
      </c>
      <c r="E744" s="152" t="s">
        <v>465</v>
      </c>
      <c r="F744" s="196" t="s">
        <v>129</v>
      </c>
      <c r="G744" s="196" t="s">
        <v>36</v>
      </c>
      <c r="H744" s="116" t="str">
        <f>HYPERLINK("https://www.mediafire.com/file/fexhb8k26lf4v0s/2021-06-20_-_Saratoga_Performing_Arts_Center_-_Saratoga_Springs%252C_NY.rar/file", "download link")</f>
        <v>download link</v>
      </c>
      <c r="I744" s="79"/>
    </row>
    <row r="745">
      <c r="A745" s="130">
        <v>44369.0</v>
      </c>
      <c r="B745" s="131"/>
      <c r="C745" s="105" t="str">
        <f t="shared" si="64"/>
        <v>setlist</v>
      </c>
      <c r="D745" s="140" t="s">
        <v>1330</v>
      </c>
      <c r="E745" s="140" t="s">
        <v>162</v>
      </c>
      <c r="F745" s="195" t="s">
        <v>129</v>
      </c>
      <c r="G745" s="195"/>
      <c r="H745" s="143"/>
      <c r="I745" s="174"/>
    </row>
    <row r="746">
      <c r="A746" s="150">
        <v>44370.0</v>
      </c>
      <c r="B746" s="156"/>
      <c r="C746" s="116" t="str">
        <f t="shared" si="64"/>
        <v>setlist</v>
      </c>
      <c r="D746" s="152" t="s">
        <v>1330</v>
      </c>
      <c r="E746" s="152" t="s">
        <v>162</v>
      </c>
      <c r="F746" s="196" t="s">
        <v>129</v>
      </c>
      <c r="G746" s="196"/>
      <c r="H746" s="197"/>
      <c r="I746" s="79"/>
    </row>
    <row r="747">
      <c r="A747" s="350"/>
      <c r="B747" s="354"/>
      <c r="C747" s="352"/>
      <c r="D747" s="370" t="s">
        <v>2843</v>
      </c>
      <c r="E747" s="355"/>
      <c r="F747" s="354"/>
      <c r="G747" s="354"/>
      <c r="H747" s="351"/>
      <c r="I747" s="355"/>
    </row>
    <row r="748">
      <c r="A748" s="150">
        <v>44380.0</v>
      </c>
      <c r="B748" s="156"/>
      <c r="C748" s="116" t="str">
        <f>HYPERLINK("http://phish.net/sideshows/trey-anastasio-band/?d="&amp;RIGHT(TEXT(A654,"mm/dd/yyyy"),4)&amp;"-"&amp;LEFT(TEXT(A654,"mm/dd/yyyy"),2)&amp;"-"&amp;MID(TEXT(A654,"mm/dd/yyyy"),4,2), "setlist")</f>
        <v>setlist</v>
      </c>
      <c r="D748" s="152" t="s">
        <v>3157</v>
      </c>
      <c r="E748" s="152" t="s">
        <v>2976</v>
      </c>
      <c r="F748" s="196" t="s">
        <v>212</v>
      </c>
      <c r="G748" s="196" t="s">
        <v>36</v>
      </c>
      <c r="H748" s="116" t="str">
        <f>HYPERLINK("https://www.mediafire.com/file/14hin1mh3lgs7m5/2021-07-03_-_Montage_Mountain_-_Scranton%252C_PA.rar/file", "download link")</f>
        <v>download link</v>
      </c>
      <c r="I748" s="79"/>
    </row>
    <row r="749">
      <c r="A749" s="350"/>
      <c r="B749" s="354"/>
      <c r="C749" s="352"/>
      <c r="D749" s="370" t="s">
        <v>3023</v>
      </c>
      <c r="E749" s="355"/>
      <c r="F749" s="354"/>
      <c r="G749" s="354"/>
      <c r="H749" s="351"/>
      <c r="I749" s="355"/>
    </row>
    <row r="750">
      <c r="A750" s="150">
        <v>44456.0</v>
      </c>
      <c r="B750" s="156"/>
      <c r="C750" s="116" t="str">
        <f>HYPERLINK("http://phish.net/sideshows/trey-anastasio-band/?d="&amp;RIGHT(TEXT(A654,"mm/dd/yyyy"),4)&amp;"-"&amp;LEFT(TEXT(A654,"mm/dd/yyyy"),2)&amp;"-"&amp;MID(TEXT(A654,"mm/dd/yyyy"),4,2), "setlist")</f>
        <v>setlist</v>
      </c>
      <c r="D750" s="152" t="s">
        <v>3115</v>
      </c>
      <c r="E750" s="152" t="s">
        <v>279</v>
      </c>
      <c r="F750" s="196" t="s">
        <v>257</v>
      </c>
      <c r="G750" s="196" t="s">
        <v>36</v>
      </c>
      <c r="H750" s="116" t="str">
        <f>HYPERLINK("https://www.mediafire.com/file/kqa192qosp0w17t/2021-09-17_-_Thompson%2527s_Point_-_Portland%252C_ME.rar/file", "download link")</f>
        <v>download link</v>
      </c>
      <c r="I750" s="79"/>
    </row>
    <row r="751">
      <c r="A751" s="130">
        <v>44457.0</v>
      </c>
      <c r="B751" s="131"/>
      <c r="C751" s="105" t="str">
        <f>HYPERLINK("http://phish.net/sideshows/trey-anastasio-band/?d="&amp;RIGHT(TEXT(A654,"mm/dd/yyyy"),4)&amp;"-"&amp;LEFT(TEXT(A654,"mm/dd/yyyy"),2)&amp;"-"&amp;MID(TEXT(A654,"mm/dd/yyyy"),4,2), "setlist")</f>
        <v>setlist</v>
      </c>
      <c r="D751" s="140" t="s">
        <v>3177</v>
      </c>
      <c r="E751" s="140" t="s">
        <v>94</v>
      </c>
      <c r="F751" s="195" t="s">
        <v>95</v>
      </c>
      <c r="G751" s="195" t="s">
        <v>36</v>
      </c>
      <c r="H751" s="105" t="str">
        <f>HYPERLINK("https://www.mediafire.com/file/fmnefzjizfcv4dd/2021-09-18_-_Leader_Bank_Pavilion_-_Boston%252C_MA.rar/file", "download link")</f>
        <v>download link</v>
      </c>
      <c r="I751" s="174"/>
    </row>
    <row r="752">
      <c r="A752" s="150">
        <v>44458.0</v>
      </c>
      <c r="B752" s="156"/>
      <c r="C752" s="116" t="str">
        <f>HYPERLINK("http://phish.net/sideshows/trey-anastasio-band/?d="&amp;RIGHT(TEXT(A654,"mm/dd/yyyy"),4)&amp;"-"&amp;LEFT(TEXT(A654,"mm/dd/yyyy"),2)&amp;"-"&amp;MID(TEXT(A654,"mm/dd/yyyy"),4,2), "setlist")</f>
        <v>setlist</v>
      </c>
      <c r="D752" s="152" t="s">
        <v>3178</v>
      </c>
      <c r="E752" s="152" t="s">
        <v>459</v>
      </c>
      <c r="F752" s="196" t="s">
        <v>171</v>
      </c>
      <c r="G752" s="196" t="s">
        <v>36</v>
      </c>
      <c r="H752" s="116" t="str">
        <f>HYPERLINK("https://www.mediafire.com/file/e53868eu1g43nog/2021-09-19_-_Westville_Music_Bowl_-_New_Haven%252C_CT.rar/file", "download link")</f>
        <v>download link</v>
      </c>
      <c r="I752" s="79"/>
    </row>
    <row r="753">
      <c r="A753" s="130">
        <v>44460.0</v>
      </c>
      <c r="B753" s="131"/>
      <c r="C753" s="105" t="str">
        <f>HYPERLINK("http://phish.net/sideshows/trey-anastasio-band/?d="&amp;RIGHT(TEXT(A654,"mm/dd/yyyy"),4)&amp;"-"&amp;LEFT(TEXT(A654,"mm/dd/yyyy"),2)&amp;"-"&amp;MID(TEXT(A654,"mm/dd/yyyy"),4,2), "setlist")</f>
        <v>setlist</v>
      </c>
      <c r="D753" s="140" t="s">
        <v>2714</v>
      </c>
      <c r="E753" s="140" t="s">
        <v>871</v>
      </c>
      <c r="F753" s="195" t="s">
        <v>212</v>
      </c>
      <c r="G753" s="195" t="s">
        <v>36</v>
      </c>
      <c r="H753" s="105" t="str">
        <f>HYPERLINK("https://www.mediafire.com/file/v07ft52xthq6150/2021-09-21_-_Met_Philadelphia_-_Philadelphia%252C_PA.rar/file", "download link")</f>
        <v>download link</v>
      </c>
      <c r="I753" s="372"/>
    </row>
    <row r="754">
      <c r="A754" s="150">
        <v>44461.0</v>
      </c>
      <c r="B754" s="156"/>
      <c r="C754" s="116" t="str">
        <f>HYPERLINK("http://phish.net/sideshows/trey-anastasio-band/?d="&amp;RIGHT(TEXT(A654,"mm/dd/yyyy"),4)&amp;"-"&amp;LEFT(TEXT(A654,"mm/dd/yyyy"),2)&amp;"-"&amp;MID(TEXT(A654,"mm/dd/yyyy"),4,2), "setlist")</f>
        <v>setlist</v>
      </c>
      <c r="D754" s="152" t="s">
        <v>3179</v>
      </c>
      <c r="E754" s="152" t="s">
        <v>579</v>
      </c>
      <c r="F754" s="196" t="s">
        <v>446</v>
      </c>
      <c r="G754" s="196" t="s">
        <v>36</v>
      </c>
      <c r="H754" s="116" t="str">
        <f>HYPERLINK("https://www.mediafire.com/file/hm2b1wjuwmv2i4p/2021-09-22_-_Ting_Pavilion_-_Charlottesville%252C_VA.rar/file", "download link")</f>
        <v>download link</v>
      </c>
      <c r="I754" s="79"/>
    </row>
    <row r="755">
      <c r="A755" s="130">
        <v>44463.0</v>
      </c>
      <c r="B755" s="131"/>
      <c r="C755" s="105" t="str">
        <f>HYPERLINK("http://phish.net/sideshows/trey-anastasio-band/?d="&amp;RIGHT(TEXT(A654,"mm/dd/yyyy"),4)&amp;"-"&amp;LEFT(TEXT(A654,"mm/dd/yyyy"),2)&amp;"-"&amp;MID(TEXT(A654,"mm/dd/yyyy"),4,2), "setlist")</f>
        <v>setlist</v>
      </c>
      <c r="D755" s="140" t="s">
        <v>3180</v>
      </c>
      <c r="E755" s="140" t="s">
        <v>3132</v>
      </c>
      <c r="F755" s="195" t="s">
        <v>443</v>
      </c>
      <c r="G755" s="195" t="s">
        <v>36</v>
      </c>
      <c r="H755" s="105" t="str">
        <f>HYPERLINK("https://www.mediafire.com/file/2ydc90surq3d3vk/2021-09-24_-_Live_Oak_Bank_Pavilion_at_Riverfront_Park_-_Wilmington%252C_NC.rar/file", "download link")</f>
        <v>download link</v>
      </c>
      <c r="I755" s="174"/>
    </row>
    <row r="756">
      <c r="A756" s="150">
        <v>44464.0</v>
      </c>
      <c r="B756" s="156"/>
      <c r="C756" s="116" t="str">
        <f>HYPERLINK("http://phish.net/sideshows/trey-anastasio-band/?d="&amp;RIGHT(TEXT(A654,"mm/dd/yyyy"),4)&amp;"-"&amp;LEFT(TEXT(A654,"mm/dd/yyyy"),2)&amp;"-"&amp;MID(TEXT(A654,"mm/dd/yyyy"),4,2), "setlist")</f>
        <v>setlist</v>
      </c>
      <c r="D756" s="152" t="s">
        <v>3181</v>
      </c>
      <c r="E756" s="152" t="s">
        <v>541</v>
      </c>
      <c r="F756" s="196" t="s">
        <v>443</v>
      </c>
      <c r="G756" s="196" t="s">
        <v>36</v>
      </c>
      <c r="H756" s="116" t="str">
        <f>HYPERLINK("https://www.mediafire.com/file/ad39ekrfc4ji62x/2021-09-25_-_Charlotte_Metro_Credit_Union_Amphitheatre_-_Charlotte%252C_NC.rar/file", "download link")</f>
        <v>download link</v>
      </c>
      <c r="I756" s="79"/>
    </row>
    <row r="757">
      <c r="A757" s="130">
        <v>44465.0</v>
      </c>
      <c r="B757" s="131"/>
      <c r="C757" s="105" t="str">
        <f>HYPERLINK("http://phish.net/sideshows/trey-anastasio-band/?d="&amp;RIGHT(TEXT(A654,"mm/dd/yyyy"),4)&amp;"-"&amp;LEFT(TEXT(A654,"mm/dd/yyyy"),2)&amp;"-"&amp;MID(TEXT(A654,"mm/dd/yyyy"),4,2), "setlist")</f>
        <v>setlist</v>
      </c>
      <c r="D757" s="140" t="s">
        <v>3182</v>
      </c>
      <c r="E757" s="140" t="s">
        <v>2327</v>
      </c>
      <c r="F757" s="195" t="s">
        <v>443</v>
      </c>
      <c r="G757" s="195" t="s">
        <v>36</v>
      </c>
      <c r="H757" s="105" t="str">
        <f>HYPERLINK("https://www.mediafire.com/file/fpmj1nbntbvp3a2/2021-09-26_-_Rabbit_Rabbit_-_Asheville%252C_NC.rar/file", "download link")</f>
        <v>download link</v>
      </c>
      <c r="I757" s="174"/>
    </row>
    <row r="758">
      <c r="A758" s="350"/>
      <c r="B758" s="354"/>
      <c r="C758" s="352"/>
      <c r="D758" s="370" t="s">
        <v>2827</v>
      </c>
      <c r="E758" s="355"/>
      <c r="F758" s="354"/>
      <c r="G758" s="354"/>
      <c r="H758" s="351"/>
      <c r="I758" s="355"/>
    </row>
    <row r="759">
      <c r="A759" s="150">
        <v>44467.0</v>
      </c>
      <c r="B759" s="156"/>
      <c r="C759" s="116" t="str">
        <f>HYPERLINK("http://phish.net/sideshows/trey-anastasio-band/?d="&amp;RIGHT(TEXT(A654,"mm/dd/yyyy"),4)&amp;"-"&amp;LEFT(TEXT(A654,"mm/dd/yyyy"),2)&amp;"-"&amp;MID(TEXT(A654,"mm/dd/yyyy"),4,2), "setlist")</f>
        <v>setlist</v>
      </c>
      <c r="D759" s="152" t="s">
        <v>3183</v>
      </c>
      <c r="E759" s="152" t="s">
        <v>471</v>
      </c>
      <c r="F759" s="196" t="s">
        <v>472</v>
      </c>
      <c r="G759" s="196"/>
      <c r="H759" s="197"/>
      <c r="I759" s="79"/>
    </row>
    <row r="760">
      <c r="A760" s="350"/>
      <c r="B760" s="354"/>
      <c r="C760" s="352"/>
      <c r="D760" s="370" t="s">
        <v>3023</v>
      </c>
      <c r="E760" s="355"/>
      <c r="F760" s="354"/>
      <c r="G760" s="354"/>
      <c r="H760" s="351"/>
      <c r="I760" s="355"/>
    </row>
    <row r="761">
      <c r="A761" s="150">
        <v>44468.0</v>
      </c>
      <c r="B761" s="156"/>
      <c r="C761" s="116" t="str">
        <f>HYPERLINK("http://phish.net/sideshows/trey-anastasio-band/?d="&amp;RIGHT(TEXT(A654,"mm/dd/yyyy"),4)&amp;"-"&amp;LEFT(TEXT(A654,"mm/dd/yyyy"),2)&amp;"-"&amp;MID(TEXT(A654,"mm/dd/yyyy"),4,2), "setlist")</f>
        <v>setlist</v>
      </c>
      <c r="D761" s="152" t="s">
        <v>3038</v>
      </c>
      <c r="E761" s="152" t="s">
        <v>1073</v>
      </c>
      <c r="F761" s="196" t="s">
        <v>212</v>
      </c>
      <c r="G761" s="196"/>
      <c r="H761" s="197"/>
      <c r="I761" s="152" t="s">
        <v>3184</v>
      </c>
    </row>
    <row r="762">
      <c r="A762" s="130">
        <v>44470.0</v>
      </c>
      <c r="B762" s="131"/>
      <c r="C762" s="105" t="str">
        <f>HYPERLINK("http://phish.net/sideshows/trey-anastasio-band/?d="&amp;RIGHT(TEXT(A654,"mm/dd/yyyy"),4)&amp;"-"&amp;LEFT(TEXT(A654,"mm/dd/yyyy"),2)&amp;"-"&amp;MID(TEXT(A654,"mm/dd/yyyy"),4,2), "setlist")</f>
        <v>setlist</v>
      </c>
      <c r="D762" s="140" t="s">
        <v>3150</v>
      </c>
      <c r="E762" s="140" t="s">
        <v>393</v>
      </c>
      <c r="F762" s="195" t="s">
        <v>394</v>
      </c>
      <c r="G762" s="195" t="s">
        <v>36</v>
      </c>
      <c r="H762" s="105" t="str">
        <f>HYPERLINK("https://www.mediafire.com/file/3s8egkgnkdq01cq/2021-10-01_-_The_Anthem_-_Washington%252C_DC.rar/file", "download link")</f>
        <v>download link</v>
      </c>
      <c r="I762" s="140" t="s">
        <v>3184</v>
      </c>
    </row>
    <row r="763">
      <c r="A763" s="150">
        <v>44471.0</v>
      </c>
      <c r="B763" s="156"/>
      <c r="C763" s="116" t="str">
        <f>HYPERLINK("http://phish.net/sideshows/trey-anastasio-band/?d="&amp;RIGHT(TEXT(A654,"mm/dd/yyyy"),4)&amp;"-"&amp;LEFT(TEXT(A654,"mm/dd/yyyy"),2)&amp;"-"&amp;MID(TEXT(A654,"mm/dd/yyyy"),4,2), "setlist")</f>
        <v>setlist</v>
      </c>
      <c r="D763" s="152" t="s">
        <v>2157</v>
      </c>
      <c r="E763" s="152" t="s">
        <v>162</v>
      </c>
      <c r="F763" s="196" t="s">
        <v>129</v>
      </c>
      <c r="G763" s="196"/>
      <c r="H763" s="197"/>
      <c r="I763" s="152" t="s">
        <v>3184</v>
      </c>
    </row>
    <row r="764">
      <c r="A764" s="130">
        <v>44472.0</v>
      </c>
      <c r="B764" s="131"/>
      <c r="C764" s="105" t="str">
        <f>HYPERLINK("http://phish.net/sideshows/trey-anastasio-band/?d="&amp;RIGHT(TEXT(A654,"mm/dd/yyyy"),4)&amp;"-"&amp;LEFT(TEXT(A654,"mm/dd/yyyy"),2)&amp;"-"&amp;MID(TEXT(A654,"mm/dd/yyyy"),4,2), "setlist")</f>
        <v>setlist</v>
      </c>
      <c r="D764" s="140" t="s">
        <v>2157</v>
      </c>
      <c r="E764" s="140" t="s">
        <v>162</v>
      </c>
      <c r="F764" s="195" t="s">
        <v>129</v>
      </c>
      <c r="G764" s="195" t="s">
        <v>36</v>
      </c>
      <c r="H764" s="105" t="str">
        <f>HYPERLINK("https://www.mediafire.com/file/0d6r3v0ey0c6la0/2021-10-03_-_Radio_City_Music_Hall_-_New_York%252C_NY.rar/file", "download link")</f>
        <v>download link</v>
      </c>
      <c r="I764" s="140" t="s">
        <v>3184</v>
      </c>
    </row>
    <row r="765">
      <c r="A765" s="150">
        <v>44681.0</v>
      </c>
      <c r="B765" s="156"/>
      <c r="C765" s="116" t="str">
        <f>HYPERLINK("http://phish.net/sideshows/trey-anastasio-band/?d="&amp;RIGHT(TEXT(A656,"mm/dd/yyyy"),4)&amp;"-"&amp;LEFT(TEXT(A656,"mm/dd/yyyy"),2)&amp;"-"&amp;MID(TEXT(A656,"mm/dd/yyyy"),4,2), "setlist")</f>
        <v>setlist</v>
      </c>
      <c r="D765" s="152" t="s">
        <v>3100</v>
      </c>
      <c r="E765" s="152" t="s">
        <v>437</v>
      </c>
      <c r="F765" s="196" t="s">
        <v>433</v>
      </c>
      <c r="G765" s="196" t="s">
        <v>36</v>
      </c>
      <c r="H765" s="116" t="str">
        <f>HYPERLINK("https://www.mediafire.com/file/3n5qbs2cjlki42j/2022-04-30_-_Centennial_Olympic_Park_-_Atlanta%252C_GA.rar/file", "download link")</f>
        <v>download link</v>
      </c>
      <c r="I765" s="152"/>
    </row>
    <row r="766">
      <c r="A766" s="350"/>
      <c r="B766" s="354"/>
      <c r="C766" s="352"/>
      <c r="D766" s="370" t="s">
        <v>2843</v>
      </c>
      <c r="E766" s="355"/>
      <c r="F766" s="354"/>
      <c r="G766" s="354"/>
      <c r="H766" s="351"/>
      <c r="I766" s="355"/>
    </row>
    <row r="767">
      <c r="A767" s="150">
        <v>44682.0</v>
      </c>
      <c r="B767" s="156"/>
      <c r="C767" s="116" t="str">
        <f>HYPERLINK("http://phish.net/sideshows/trey-anastasio-band/?d="&amp;RIGHT(TEXT(A658,"mm/dd/yyyy"),4)&amp;"-"&amp;LEFT(TEXT(A658,"mm/dd/yyyy"),2)&amp;"-"&amp;MID(TEXT(A658,"mm/dd/yyyy"),4,2), "setlist")</f>
        <v>setlist</v>
      </c>
      <c r="D767" s="152" t="s">
        <v>3100</v>
      </c>
      <c r="E767" s="152" t="s">
        <v>437</v>
      </c>
      <c r="F767" s="196" t="s">
        <v>433</v>
      </c>
      <c r="G767" s="196" t="s">
        <v>36</v>
      </c>
      <c r="H767" s="116" t="str">
        <f>HYPERLINK("https://www.mediafire.com/file/3chdbikhfb0nqz7/2022-05-01_-_Centennial_Olympic_Park_-_Atlanta%252C_GA.rar/file", "download link")</f>
        <v>download link</v>
      </c>
      <c r="I767" s="152"/>
    </row>
    <row r="768">
      <c r="A768" s="350"/>
      <c r="B768" s="354"/>
      <c r="C768" s="352"/>
      <c r="D768" s="370" t="s">
        <v>3023</v>
      </c>
      <c r="E768" s="355"/>
      <c r="F768" s="354"/>
      <c r="G768" s="354"/>
      <c r="H768" s="351"/>
      <c r="I768" s="355"/>
    </row>
    <row r="769">
      <c r="A769" s="150">
        <v>44688.0</v>
      </c>
      <c r="B769" s="156"/>
      <c r="C769" s="116" t="str">
        <f t="shared" ref="C769:C770" si="65">HYPERLINK("http://phish.net/sideshows/trey-anastasio-band/?d="&amp;RIGHT(TEXT(A660,"mm/dd/yyyy"),4)&amp;"-"&amp;LEFT(TEXT(A660,"mm/dd/yyyy"),2)&amp;"-"&amp;MID(TEXT(A660,"mm/dd/yyyy"),4,2), "setlist")</f>
        <v>setlist</v>
      </c>
      <c r="D769" s="152" t="s">
        <v>3185</v>
      </c>
      <c r="E769" s="152" t="s">
        <v>94</v>
      </c>
      <c r="F769" s="196" t="s">
        <v>95</v>
      </c>
      <c r="G769" s="196" t="s">
        <v>36</v>
      </c>
      <c r="H769" s="116" t="str">
        <f>HYPERLINK("https://www.mediafire.com/file/73uglmxpel2dog0/2022-05-07_-_Roadrunner_-_Boston%252C_MA.rar/file", "download link")</f>
        <v>download link</v>
      </c>
      <c r="I769" s="152"/>
    </row>
    <row r="770">
      <c r="A770" s="130">
        <v>44689.0</v>
      </c>
      <c r="B770" s="131"/>
      <c r="C770" s="105" t="str">
        <f t="shared" si="65"/>
        <v>setlist</v>
      </c>
      <c r="D770" s="140" t="s">
        <v>3185</v>
      </c>
      <c r="E770" s="140" t="s">
        <v>94</v>
      </c>
      <c r="F770" s="195" t="s">
        <v>95</v>
      </c>
      <c r="G770" s="195" t="s">
        <v>36</v>
      </c>
      <c r="H770" s="105" t="str">
        <f>HYPERLINK("https://www.mediafire.com/file/fy2kskpafcpl544/2022-05-08_-_Roadrunner_-_Boston%252C_MA.rar/file", "download link")</f>
        <v>download link</v>
      </c>
      <c r="I770" s="140"/>
    </row>
    <row r="771">
      <c r="A771" s="150">
        <v>44701.0</v>
      </c>
      <c r="B771" s="156"/>
      <c r="C771" s="116" t="str">
        <f>HYPERLINK("http://phish.net/sideshows/trey-anastasio-band/?d="&amp;RIGHT(TEXT(A661,"mm/dd/yyyy"),4)&amp;"-"&amp;LEFT(TEXT(A661,"mm/dd/yyyy"),2)&amp;"-"&amp;MID(TEXT(A661,"mm/dd/yyyy"),4,2), "setlist")</f>
        <v>setlist</v>
      </c>
      <c r="D771" s="152" t="s">
        <v>3186</v>
      </c>
      <c r="E771" s="152" t="s">
        <v>1301</v>
      </c>
      <c r="F771" s="196" t="s">
        <v>1302</v>
      </c>
      <c r="G771" s="196" t="s">
        <v>36</v>
      </c>
      <c r="H771" s="116" t="str">
        <f>HYPERLINK("https://www.mediafire.com/file/7hc952br61nbqx2/2022-05-20_-_Red_Butte_Garden_Aphitheater_-_Salt_Lake_City%252C_UT.rar/file", "download link")</f>
        <v>download link</v>
      </c>
      <c r="I771" s="152"/>
    </row>
    <row r="772">
      <c r="A772" s="130">
        <v>44702.0</v>
      </c>
      <c r="B772" s="131"/>
      <c r="C772" s="105" t="str">
        <f>HYPERLINK("http://phish.net/sideshows/trey-anastasio-band/?d="&amp;RIGHT(TEXT(A661,"mm/dd/yyyy"),4)&amp;"-"&amp;LEFT(TEXT(A661,"mm/dd/yyyy"),2)&amp;"-"&amp;MID(TEXT(A661,"mm/dd/yyyy"),4,2), "setlist")</f>
        <v>setlist</v>
      </c>
      <c r="D772" s="140" t="s">
        <v>3159</v>
      </c>
      <c r="E772" s="140" t="s">
        <v>1044</v>
      </c>
      <c r="F772" s="195" t="s">
        <v>203</v>
      </c>
      <c r="G772" s="195"/>
      <c r="H772" s="143"/>
      <c r="I772" s="140"/>
    </row>
    <row r="773">
      <c r="A773" s="150">
        <v>44703.0</v>
      </c>
      <c r="B773" s="156"/>
      <c r="C773" s="116" t="str">
        <f>HYPERLINK("http://phish.net/sideshows/trey-anastasio-band/?d="&amp;RIGHT(TEXT(A661,"mm/dd/yyyy"),4)&amp;"-"&amp;LEFT(TEXT(A661,"mm/dd/yyyy"),2)&amp;"-"&amp;MID(TEXT(A661,"mm/dd/yyyy"),4,2), "setlist")</f>
        <v>setlist</v>
      </c>
      <c r="D773" s="152" t="s">
        <v>1297</v>
      </c>
      <c r="E773" s="152" t="s">
        <v>1298</v>
      </c>
      <c r="F773" s="196" t="s">
        <v>203</v>
      </c>
      <c r="G773" s="196" t="s">
        <v>36</v>
      </c>
      <c r="H773" s="116" t="str">
        <f>HYPERLINK("https://www.mediafire.com/file/3rri2ujs1t37zbl/2022-05-22_-_Red_Rocks_Amphitheatre_-_Morrison%252C_CO.rar/file", "download link")</f>
        <v>download link</v>
      </c>
      <c r="I773" s="152"/>
    </row>
    <row r="774">
      <c r="A774" s="350"/>
      <c r="B774" s="354"/>
      <c r="C774" s="352"/>
      <c r="D774" s="370" t="s">
        <v>2827</v>
      </c>
      <c r="E774" s="355"/>
      <c r="F774" s="354"/>
      <c r="G774" s="354"/>
      <c r="H774" s="351"/>
      <c r="I774" s="355"/>
    </row>
    <row r="775">
      <c r="A775" s="150">
        <v>44729.0</v>
      </c>
      <c r="B775" s="156"/>
      <c r="C775" s="116" t="str">
        <f>HYPERLINK("http://phish.net/sideshows/trey-anastasio-band/?d="&amp;RIGHT(TEXT(A661,"mm/dd/yyyy"),4)&amp;"-"&amp;LEFT(TEXT(A661,"mm/dd/yyyy"),2)&amp;"-"&amp;MID(TEXT(A661,"mm/dd/yyyy"),4,2), "setlist")</f>
        <v>setlist</v>
      </c>
      <c r="D775" s="152" t="s">
        <v>3187</v>
      </c>
      <c r="E775" s="152" t="s">
        <v>1209</v>
      </c>
      <c r="F775" s="196" t="s">
        <v>1210</v>
      </c>
      <c r="G775" s="196"/>
      <c r="H775" s="197"/>
      <c r="I775" s="152"/>
    </row>
    <row r="776">
      <c r="A776" s="130">
        <v>44731.0</v>
      </c>
      <c r="B776" s="131"/>
      <c r="C776" s="105" t="str">
        <f>HYPERLINK("http://phish.net/sideshows/trey-anastasio-band/?d="&amp;RIGHT(TEXT(A661,"mm/dd/yyyy"),4)&amp;"-"&amp;LEFT(TEXT(A661,"mm/dd/yyyy"),2)&amp;"-"&amp;MID(TEXT(A661,"mm/dd/yyyy"),4,2), "setlist")</f>
        <v>setlist</v>
      </c>
      <c r="D776" s="140" t="s">
        <v>3188</v>
      </c>
      <c r="E776" s="140" t="s">
        <v>943</v>
      </c>
      <c r="F776" s="195" t="s">
        <v>472</v>
      </c>
      <c r="G776" s="195"/>
      <c r="H776" s="143"/>
      <c r="I776" s="140"/>
    </row>
    <row r="777">
      <c r="A777" s="150">
        <v>44732.0</v>
      </c>
      <c r="B777" s="156"/>
      <c r="C777" s="116" t="str">
        <f>HYPERLINK("http://phish.net/sideshows/trey-anastasio-band/?d="&amp;RIGHT(TEXT(A661,"mm/dd/yyyy"),4)&amp;"-"&amp;LEFT(TEXT(A661,"mm/dd/yyyy"),2)&amp;"-"&amp;MID(TEXT(A661,"mm/dd/yyyy"),4,2), "setlist")</f>
        <v>setlist</v>
      </c>
      <c r="D777" s="152" t="s">
        <v>3189</v>
      </c>
      <c r="E777" s="152" t="s">
        <v>1285</v>
      </c>
      <c r="F777" s="196" t="s">
        <v>712</v>
      </c>
      <c r="G777" s="196"/>
      <c r="H777" s="197"/>
      <c r="I777" s="152"/>
    </row>
    <row r="778">
      <c r="A778" s="130">
        <v>44733.0</v>
      </c>
      <c r="B778" s="131"/>
      <c r="C778" s="105" t="str">
        <f>HYPERLINK("http://phish.net/sideshows/trey-anastasio-band/?d="&amp;RIGHT(TEXT(A661,"mm/dd/yyyy"),4)&amp;"-"&amp;LEFT(TEXT(A661,"mm/dd/yyyy"),2)&amp;"-"&amp;MID(TEXT(A661,"mm/dd/yyyy"),4,2), "setlist")</f>
        <v>setlist</v>
      </c>
      <c r="D778" s="140" t="s">
        <v>3190</v>
      </c>
      <c r="E778" s="140" t="s">
        <v>3191</v>
      </c>
      <c r="F778" s="195" t="s">
        <v>712</v>
      </c>
      <c r="G778" s="195"/>
      <c r="H778" s="143"/>
      <c r="I778" s="140"/>
    </row>
    <row r="779">
      <c r="A779" s="350"/>
      <c r="B779" s="354"/>
      <c r="C779" s="352"/>
      <c r="D779" s="370" t="s">
        <v>3023</v>
      </c>
      <c r="E779" s="355"/>
      <c r="F779" s="354"/>
      <c r="G779" s="354"/>
      <c r="H779" s="351"/>
      <c r="I779" s="355"/>
    </row>
    <row r="780">
      <c r="A780" s="150">
        <v>44744.0</v>
      </c>
      <c r="B780" s="156"/>
      <c r="C780" s="116" t="str">
        <f>HYPERLINK("http://phish.net/sideshows/trey-anastasio-band/?d="&amp;RIGHT(TEXT(A661,"mm/dd/yyyy"),4)&amp;"-"&amp;LEFT(TEXT(A661,"mm/dd/yyyy"),2)&amp;"-"&amp;MID(TEXT(A661,"mm/dd/yyyy"),4,2), "setlist")</f>
        <v>setlist</v>
      </c>
      <c r="D780" s="152" t="s">
        <v>3157</v>
      </c>
      <c r="E780" s="152" t="s">
        <v>2976</v>
      </c>
      <c r="F780" s="196" t="s">
        <v>212</v>
      </c>
      <c r="G780" s="196" t="s">
        <v>36</v>
      </c>
      <c r="H780" s="116" t="str">
        <f>HYPERLINK("https://www.mediafire.com/file/invojx9p4xe4umn/2022-07-02_-_Montage_Mountain_-_Scranton%252C_PA.rar/file", "download link")</f>
        <v>download link</v>
      </c>
      <c r="I780" s="152"/>
    </row>
    <row r="781">
      <c r="A781" s="350"/>
      <c r="B781" s="354"/>
      <c r="C781" s="352"/>
      <c r="D781" s="370" t="s">
        <v>2827</v>
      </c>
      <c r="E781" s="355"/>
      <c r="F781" s="354"/>
      <c r="G781" s="354"/>
      <c r="H781" s="351"/>
      <c r="I781" s="355"/>
    </row>
    <row r="782">
      <c r="A782" s="150">
        <v>44792.0</v>
      </c>
      <c r="B782" s="156"/>
      <c r="C782" s="116" t="str">
        <f t="shared" ref="C782:C783" si="66">HYPERLINK("http://phish.net/sideshows/trey-anastasio-band/?d="&amp;RIGHT(TEXT(A663,"mm/dd/yyyy"),4)&amp;"-"&amp;LEFT(TEXT(A663,"mm/dd/yyyy"),2)&amp;"-"&amp;MID(TEXT(A663,"mm/dd/yyyy"),4,2), "setlist")</f>
        <v>setlist</v>
      </c>
      <c r="D782" s="152" t="s">
        <v>1330</v>
      </c>
      <c r="E782" s="152" t="s">
        <v>162</v>
      </c>
      <c r="F782" s="196" t="s">
        <v>129</v>
      </c>
      <c r="G782" s="196"/>
      <c r="H782" s="197"/>
      <c r="I782" s="152"/>
    </row>
    <row r="783">
      <c r="A783" s="150">
        <v>44793.0</v>
      </c>
      <c r="B783" s="156"/>
      <c r="C783" s="116" t="str">
        <f t="shared" si="66"/>
        <v>setlist</v>
      </c>
      <c r="D783" s="152" t="s">
        <v>1330</v>
      </c>
      <c r="E783" s="152" t="s">
        <v>162</v>
      </c>
      <c r="F783" s="196" t="s">
        <v>129</v>
      </c>
      <c r="G783" s="196"/>
      <c r="H783" s="197"/>
      <c r="I783" s="152"/>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5.13"/>
    <col customWidth="1" min="9" max="12" width="67.75"/>
  </cols>
  <sheetData>
    <row r="1">
      <c r="A1" s="373"/>
      <c r="B1" s="111"/>
      <c r="C1" s="111"/>
      <c r="E1" s="80"/>
      <c r="F1" s="111"/>
      <c r="G1" s="111"/>
      <c r="H1" s="138"/>
      <c r="I1" s="80"/>
      <c r="J1" s="80"/>
      <c r="K1" s="80"/>
      <c r="L1" s="80"/>
    </row>
    <row r="2">
      <c r="A2" s="374" t="s">
        <v>22</v>
      </c>
      <c r="B2" s="375" t="s">
        <v>23</v>
      </c>
      <c r="C2" s="375" t="s">
        <v>24</v>
      </c>
      <c r="D2" s="376" t="s">
        <v>25</v>
      </c>
      <c r="E2" s="374" t="s">
        <v>26</v>
      </c>
      <c r="F2" s="375" t="s">
        <v>27</v>
      </c>
      <c r="G2" s="375" t="s">
        <v>28</v>
      </c>
      <c r="H2" s="375" t="s">
        <v>29</v>
      </c>
      <c r="I2" s="374" t="s">
        <v>31</v>
      </c>
      <c r="J2" s="374"/>
      <c r="K2" s="374"/>
      <c r="L2" s="374"/>
    </row>
    <row r="3">
      <c r="A3" s="373"/>
      <c r="B3" s="111"/>
      <c r="C3" s="111"/>
      <c r="E3" s="80"/>
      <c r="F3" s="111"/>
      <c r="G3" s="111"/>
      <c r="H3" s="138"/>
      <c r="I3" s="80"/>
      <c r="J3" s="80"/>
      <c r="K3" s="80"/>
      <c r="L3" s="80"/>
    </row>
    <row r="4">
      <c r="A4" s="350"/>
      <c r="B4" s="351"/>
      <c r="C4" s="362"/>
      <c r="D4" s="356" t="s">
        <v>3192</v>
      </c>
      <c r="E4" s="350"/>
      <c r="F4" s="351"/>
      <c r="G4" s="351"/>
      <c r="H4" s="351"/>
      <c r="I4" s="350"/>
      <c r="J4" s="350"/>
      <c r="K4" s="350"/>
      <c r="L4" s="350"/>
    </row>
    <row r="5">
      <c r="A5" s="377" t="s">
        <v>3193</v>
      </c>
      <c r="B5" s="111"/>
      <c r="C5" s="361" t="s">
        <v>40</v>
      </c>
      <c r="D5" s="183" t="s">
        <v>3194</v>
      </c>
      <c r="E5" s="113" t="s">
        <v>3195</v>
      </c>
      <c r="F5" s="114" t="s">
        <v>95</v>
      </c>
      <c r="G5" s="114" t="s">
        <v>36</v>
      </c>
      <c r="H5" s="135" t="str">
        <f>HYPERLINK("http://www.mediafire.com/?9l17xvkejmj4j", "download link")</f>
        <v>download link</v>
      </c>
      <c r="I5" s="80"/>
      <c r="J5" s="80"/>
      <c r="K5" s="80"/>
      <c r="L5" s="80"/>
    </row>
    <row r="6">
      <c r="A6" s="350"/>
      <c r="B6" s="351"/>
      <c r="C6" s="362"/>
      <c r="D6" s="356" t="s">
        <v>3196</v>
      </c>
      <c r="E6" s="350"/>
      <c r="F6" s="351"/>
      <c r="G6" s="351"/>
      <c r="H6" s="351"/>
      <c r="I6" s="350"/>
      <c r="J6" s="350"/>
      <c r="K6" s="350"/>
      <c r="L6" s="350"/>
    </row>
    <row r="7">
      <c r="A7" s="110">
        <v>29973.0</v>
      </c>
      <c r="B7" s="111"/>
      <c r="C7" s="361" t="s">
        <v>40</v>
      </c>
      <c r="D7" s="183" t="s">
        <v>3197</v>
      </c>
      <c r="E7" s="113" t="s">
        <v>3195</v>
      </c>
      <c r="F7" s="114" t="s">
        <v>95</v>
      </c>
      <c r="G7" s="114" t="s">
        <v>36</v>
      </c>
      <c r="H7" s="135" t="str">
        <f>HYPERLINK("http://www.mediafire.com/file/1g881nlib8ju84n/1982-01-22_-_Fairbanks_School_Gymnasium_-_Sudbury%2C_MA.rar", "download link")</f>
        <v>download link</v>
      </c>
      <c r="I7" s="80"/>
      <c r="J7" s="80"/>
      <c r="K7" s="80"/>
      <c r="L7" s="80"/>
    </row>
    <row r="8">
      <c r="A8" s="154" t="s">
        <v>3193</v>
      </c>
      <c r="B8" s="107" t="s">
        <v>32</v>
      </c>
      <c r="C8" s="378" t="s">
        <v>40</v>
      </c>
      <c r="D8" s="181" t="s">
        <v>3194</v>
      </c>
      <c r="E8" s="106" t="s">
        <v>3195</v>
      </c>
      <c r="F8" s="107" t="s">
        <v>95</v>
      </c>
      <c r="G8" s="107" t="s">
        <v>36</v>
      </c>
      <c r="H8" s="105" t="str">
        <f>HYPERLINK("http://www.mediafire.com/?ibc2lriwzf6ja", "download link")</f>
        <v>download link</v>
      </c>
      <c r="I8" s="109"/>
      <c r="J8" s="109"/>
      <c r="K8" s="109"/>
      <c r="L8" s="109"/>
    </row>
    <row r="9">
      <c r="A9" s="350"/>
      <c r="B9" s="351"/>
      <c r="C9" s="352"/>
      <c r="D9" s="356" t="s">
        <v>2788</v>
      </c>
      <c r="E9" s="357"/>
      <c r="F9" s="351"/>
      <c r="G9" s="351"/>
      <c r="H9" s="358"/>
      <c r="I9" s="357"/>
      <c r="J9" s="357"/>
      <c r="K9" s="357"/>
      <c r="L9" s="357"/>
    </row>
    <row r="10">
      <c r="A10" s="110">
        <v>32687.0</v>
      </c>
      <c r="B10" s="111"/>
      <c r="C10" s="135" t="str">
        <f t="shared" ref="C10:C12" si="1">HYPERLINK("http://phish.net/sideshows/trey-anastasio-band/?d="&amp;RIGHT(TEXT(A10,"mm/dd/yyyy"),4)&amp;"-"&amp;LEFT(TEXT(A10,"mm/dd/yyyy"),2)&amp;"-"&amp;MID(TEXT(A10,"mm/dd/yyyy"),4,2), "setlist")</f>
        <v>setlist</v>
      </c>
      <c r="D10" s="183" t="s">
        <v>54</v>
      </c>
      <c r="E10" s="183" t="s">
        <v>34</v>
      </c>
      <c r="F10" s="114" t="s">
        <v>35</v>
      </c>
      <c r="G10" s="111"/>
      <c r="H10" s="359"/>
    </row>
    <row r="11">
      <c r="A11" s="103">
        <v>33258.0</v>
      </c>
      <c r="B11" s="104"/>
      <c r="C11" s="105" t="str">
        <f t="shared" si="1"/>
        <v>setlist</v>
      </c>
      <c r="D11" s="181" t="s">
        <v>54</v>
      </c>
      <c r="E11" s="181" t="s">
        <v>34</v>
      </c>
      <c r="F11" s="107" t="s">
        <v>35</v>
      </c>
      <c r="G11" s="104"/>
      <c r="H11" s="360"/>
      <c r="I11" s="260"/>
      <c r="J11" s="260"/>
      <c r="K11" s="260"/>
      <c r="L11" s="260"/>
    </row>
    <row r="12">
      <c r="A12" s="110">
        <v>33265.0</v>
      </c>
      <c r="B12" s="111"/>
      <c r="C12" s="135" t="str">
        <f t="shared" si="1"/>
        <v>setlist</v>
      </c>
      <c r="D12" s="183" t="s">
        <v>54</v>
      </c>
      <c r="E12" s="183" t="s">
        <v>34</v>
      </c>
      <c r="F12" s="114" t="s">
        <v>35</v>
      </c>
      <c r="G12" s="111"/>
      <c r="H12" s="359"/>
    </row>
    <row r="13">
      <c r="A13" s="350"/>
      <c r="B13" s="351"/>
      <c r="C13" s="352"/>
      <c r="D13" s="356" t="s">
        <v>3198</v>
      </c>
      <c r="E13" s="357"/>
      <c r="F13" s="351"/>
      <c r="G13" s="351"/>
      <c r="H13" s="358"/>
      <c r="I13" s="357"/>
      <c r="J13" s="357"/>
      <c r="K13" s="357"/>
      <c r="L13" s="357"/>
    </row>
    <row r="14">
      <c r="A14" s="110">
        <v>34076.0</v>
      </c>
      <c r="B14" s="111"/>
      <c r="C14" s="135" t="str">
        <f>HYPERLINK("http://phish.net/sideshows/guest-appearance/?showid=1335111498", "setlist")</f>
        <v>setlist</v>
      </c>
      <c r="D14" s="183" t="s">
        <v>3199</v>
      </c>
      <c r="E14" s="183" t="s">
        <v>711</v>
      </c>
      <c r="F14" s="114" t="s">
        <v>712</v>
      </c>
      <c r="G14" s="111"/>
      <c r="H14" s="359"/>
    </row>
    <row r="15">
      <c r="A15" s="350"/>
      <c r="B15" s="351"/>
      <c r="C15" s="352"/>
      <c r="D15" s="353" t="s">
        <v>2791</v>
      </c>
      <c r="E15" s="351"/>
      <c r="F15" s="351"/>
      <c r="G15" s="354"/>
      <c r="H15" s="351"/>
      <c r="I15" s="355"/>
      <c r="J15" s="355"/>
      <c r="K15" s="355"/>
      <c r="L15" s="355"/>
    </row>
    <row r="16">
      <c r="A16" s="110">
        <v>34128.0</v>
      </c>
      <c r="B16" s="111"/>
      <c r="C16" s="135" t="str">
        <f>HYPERLINK("http://phish.net/sideshows/guest-appearance/?d=1993-06-08", "setlist")</f>
        <v>setlist</v>
      </c>
      <c r="D16" s="113" t="s">
        <v>2792</v>
      </c>
      <c r="E16" s="183" t="s">
        <v>34</v>
      </c>
      <c r="F16" s="114" t="s">
        <v>35</v>
      </c>
      <c r="G16" s="111"/>
      <c r="H16" s="359"/>
      <c r="I16" s="80"/>
      <c r="J16" s="80"/>
      <c r="K16" s="80"/>
      <c r="L16" s="80"/>
    </row>
    <row r="17">
      <c r="A17" s="350"/>
      <c r="B17" s="351"/>
      <c r="C17" s="352"/>
      <c r="D17" s="353" t="s">
        <v>2793</v>
      </c>
      <c r="E17" s="351"/>
      <c r="F17" s="351"/>
      <c r="G17" s="354"/>
      <c r="H17" s="351"/>
      <c r="I17" s="355"/>
      <c r="J17" s="355"/>
      <c r="K17" s="355"/>
      <c r="L17" s="355"/>
    </row>
    <row r="18">
      <c r="A18" s="110">
        <v>34130.0</v>
      </c>
      <c r="B18" s="111"/>
      <c r="C18" s="135" t="str">
        <f>HYPERLINK("http://phish.net/sideshows/trey-anastasio-band/?d="&amp;RIGHT(TEXT(A18,"mm/dd/yyyy"),4)&amp;"-"&amp;LEFT(TEXT(A18,"mm/dd/yyyy"),2)&amp;"-"&amp;MID(TEXT(A18,"mm/dd/yyyy"),4,2), "setlist")</f>
        <v>setlist</v>
      </c>
      <c r="D18" s="113" t="s">
        <v>2794</v>
      </c>
      <c r="E18" s="183" t="s">
        <v>34</v>
      </c>
      <c r="F18" s="114" t="s">
        <v>35</v>
      </c>
      <c r="G18" s="139" t="s">
        <v>36</v>
      </c>
      <c r="H18" s="135" t="str">
        <f>HYPERLINK("http://www.mediafire.com/file/ygco66ij6aaer87/1993-06-10_-_Last_Elm_Cafe_-_Burlington%2C_VT.rar", "download link")</f>
        <v>download link</v>
      </c>
      <c r="I18" s="80"/>
      <c r="J18" s="80"/>
      <c r="K18" s="80"/>
      <c r="L18" s="80"/>
    </row>
    <row r="19">
      <c r="A19" s="350"/>
      <c r="B19" s="351"/>
      <c r="C19" s="352"/>
      <c r="D19" s="353" t="s">
        <v>3200</v>
      </c>
      <c r="E19" s="351"/>
      <c r="F19" s="351"/>
      <c r="G19" s="354"/>
      <c r="H19" s="351"/>
      <c r="I19" s="355"/>
      <c r="J19" s="355"/>
      <c r="K19" s="355"/>
      <c r="L19" s="355"/>
    </row>
    <row r="20">
      <c r="A20" s="110">
        <v>35339.0</v>
      </c>
      <c r="B20" s="111"/>
      <c r="C20" s="135" t="str">
        <f>HYPERLINK("http://phish.net/sideshows/trey-anastasio-band/?d="&amp;RIGHT(TEXT(A20,"mm/dd/yyyy"),4)&amp;"-"&amp;LEFT(TEXT(A20,"mm/dd/yyyy"),2)&amp;"-"&amp;MID(TEXT(A20,"mm/dd/yyyy"),4,2), "setlist")</f>
        <v>setlist</v>
      </c>
      <c r="D20" s="183" t="s">
        <v>51</v>
      </c>
      <c r="E20" s="183" t="s">
        <v>34</v>
      </c>
      <c r="F20" s="114" t="s">
        <v>35</v>
      </c>
      <c r="G20" s="111"/>
      <c r="H20" s="135" t="str">
        <f>HYPERLINK("http://www.mediafire.com/download/t5lkly317vkgb4h/1996-10-01_-_Slade_Hall,_University_of_Vermont_-_Burlington,_VT.rar", "download link")</f>
        <v>download link</v>
      </c>
      <c r="I20" s="80"/>
      <c r="J20" s="80"/>
      <c r="K20" s="80"/>
      <c r="L20" s="80"/>
    </row>
    <row r="21">
      <c r="A21" s="350"/>
      <c r="B21" s="351"/>
      <c r="C21" s="362"/>
      <c r="D21" s="356" t="s">
        <v>3201</v>
      </c>
      <c r="E21" s="350"/>
      <c r="F21" s="351"/>
      <c r="G21" s="351"/>
      <c r="H21" s="351"/>
      <c r="I21" s="350"/>
      <c r="J21" s="350"/>
      <c r="K21" s="350"/>
      <c r="L21" s="350"/>
    </row>
    <row r="22">
      <c r="A22" s="110">
        <v>35455.0</v>
      </c>
      <c r="B22" s="111"/>
      <c r="C22" s="135" t="str">
        <f>HYPERLINK("http://phish.net/sideshows/mike-gordon/?d="&amp;RIGHT(TEXT(A22,"mm/dd/yyyy"),4)&amp;"-"&amp;LEFT(TEXT(A22,"mm/dd/yyyy"),2)&amp;"-"&amp;MID(TEXT(A22,"mm/dd/yyyy"),4,2), "setlist")</f>
        <v>setlist</v>
      </c>
      <c r="D22" s="183" t="s">
        <v>1504</v>
      </c>
      <c r="E22" s="113" t="s">
        <v>711</v>
      </c>
      <c r="F22" s="114" t="s">
        <v>712</v>
      </c>
      <c r="G22" s="111"/>
      <c r="H22" s="359"/>
      <c r="I22" s="80"/>
      <c r="J22" s="80"/>
      <c r="K22" s="80"/>
      <c r="L22" s="80"/>
    </row>
    <row r="23">
      <c r="A23" s="350"/>
      <c r="B23" s="351"/>
      <c r="C23" s="362"/>
      <c r="D23" s="356" t="s">
        <v>162</v>
      </c>
      <c r="E23" s="350"/>
      <c r="F23" s="351"/>
      <c r="G23" s="351"/>
      <c r="H23" s="351"/>
      <c r="I23" s="350"/>
      <c r="J23" s="350"/>
      <c r="K23" s="350"/>
      <c r="L23" s="350"/>
    </row>
    <row r="24">
      <c r="A24" s="110">
        <v>35571.0</v>
      </c>
      <c r="B24" s="114" t="s">
        <v>32</v>
      </c>
      <c r="C24" s="135" t="str">
        <f>HYPERLINK("http://phish.net/sideshows/mike-gordon/?d="&amp;RIGHT(TEXT(A24,"mm/dd/yyyy"),4)&amp;"-"&amp;LEFT(TEXT(A24,"mm/dd/yyyy"),2)&amp;"-"&amp;MID(TEXT(A24,"mm/dd/yyyy"),4,2), "setlist")</f>
        <v>setlist</v>
      </c>
      <c r="D24" s="183" t="s">
        <v>2811</v>
      </c>
      <c r="E24" s="113" t="s">
        <v>34</v>
      </c>
      <c r="F24" s="114" t="s">
        <v>35</v>
      </c>
      <c r="G24" s="148" t="s">
        <v>36</v>
      </c>
      <c r="H24" s="135" t="str">
        <f>HYPERLINK("http://www.mediafire.com/?kctj4m8viqtu4", "download link")</f>
        <v>download link</v>
      </c>
      <c r="I24" s="149" t="s">
        <v>2812</v>
      </c>
      <c r="J24" s="149"/>
      <c r="K24" s="149"/>
      <c r="L24" s="149"/>
    </row>
    <row r="25">
      <c r="A25" s="350"/>
      <c r="B25" s="354"/>
      <c r="C25" s="352"/>
      <c r="D25" s="353" t="s">
        <v>2819</v>
      </c>
      <c r="E25" s="350"/>
      <c r="F25" s="351"/>
      <c r="G25" s="354"/>
      <c r="H25" s="351"/>
      <c r="I25" s="355"/>
      <c r="J25" s="355"/>
      <c r="K25" s="355"/>
      <c r="L25" s="355"/>
    </row>
    <row r="26">
      <c r="A26" s="147">
        <v>36100.0</v>
      </c>
      <c r="B26" s="158"/>
      <c r="C26" s="135" t="str">
        <f>HYPERLINK("http://phish.net/sideshows/trey-anastasio-band/?d="&amp;RIGHT(TEXT(A26,"mm/dd/yyyy"),4)&amp;"-"&amp;LEFT(TEXT(A26,"mm/dd/yyyy"),2)&amp;"-"&amp;MID(TEXT(A26,"mm/dd/yyyy"),4,2), "setlist")</f>
        <v>setlist</v>
      </c>
      <c r="D26" s="149" t="s">
        <v>2820</v>
      </c>
      <c r="E26" s="149" t="s">
        <v>1301</v>
      </c>
      <c r="F26" s="148" t="s">
        <v>1302</v>
      </c>
      <c r="G26" s="158"/>
      <c r="H26" s="138"/>
      <c r="I26" s="173"/>
      <c r="J26" s="173"/>
      <c r="K26" s="173"/>
      <c r="L26" s="173"/>
    </row>
    <row r="27">
      <c r="A27" s="350"/>
      <c r="B27" s="351"/>
      <c r="C27" s="362"/>
      <c r="D27" s="356" t="s">
        <v>3202</v>
      </c>
      <c r="E27" s="350"/>
      <c r="F27" s="351"/>
      <c r="G27" s="351"/>
      <c r="H27" s="351"/>
      <c r="I27" s="350"/>
      <c r="J27" s="350"/>
      <c r="K27" s="350"/>
      <c r="L27" s="350"/>
    </row>
    <row r="28">
      <c r="A28" s="110">
        <v>36186.0</v>
      </c>
      <c r="B28" s="111"/>
      <c r="C28" s="135" t="str">
        <f t="shared" ref="C28:C30" si="2">HYPERLINK("http://phish.net/sideshows/mike-gordon/?d="&amp;RIGHT(TEXT(A28,"mm/dd/yyyy"),4)&amp;"-"&amp;LEFT(TEXT(A28,"mm/dd/yyyy"),2)&amp;"-"&amp;MID(TEXT(A28,"mm/dd/yyyy"),4,2), "setlist")</f>
        <v>setlist</v>
      </c>
      <c r="D28" s="183" t="s">
        <v>3203</v>
      </c>
      <c r="E28" s="113" t="s">
        <v>34</v>
      </c>
      <c r="F28" s="114" t="s">
        <v>35</v>
      </c>
      <c r="G28" s="111"/>
      <c r="H28" s="138"/>
      <c r="I28" s="80"/>
      <c r="J28" s="80"/>
      <c r="K28" s="80"/>
      <c r="L28" s="80"/>
    </row>
    <row r="29">
      <c r="A29" s="103">
        <v>36195.0</v>
      </c>
      <c r="B29" s="104"/>
      <c r="C29" s="105" t="str">
        <f t="shared" si="2"/>
        <v>setlist</v>
      </c>
      <c r="D29" s="181" t="s">
        <v>51</v>
      </c>
      <c r="E29" s="106" t="s">
        <v>34</v>
      </c>
      <c r="F29" s="107" t="s">
        <v>35</v>
      </c>
      <c r="G29" s="107" t="s">
        <v>36</v>
      </c>
      <c r="H29" s="105" t="str">
        <f>HYPERLINK("http://www.mediafire.com/?f8z05ly6bysy2", "download link")</f>
        <v>download link</v>
      </c>
      <c r="I29" s="109"/>
      <c r="J29" s="109"/>
      <c r="K29" s="109"/>
      <c r="L29" s="109"/>
    </row>
    <row r="30">
      <c r="A30" s="110">
        <v>36539.0</v>
      </c>
      <c r="B30" s="111"/>
      <c r="C30" s="135" t="str">
        <f t="shared" si="2"/>
        <v>setlist</v>
      </c>
      <c r="D30" s="183" t="s">
        <v>3204</v>
      </c>
      <c r="E30" s="113" t="s">
        <v>3205</v>
      </c>
      <c r="F30" s="114" t="s">
        <v>35</v>
      </c>
      <c r="G30" s="111"/>
      <c r="H30" s="138"/>
      <c r="I30" s="80"/>
      <c r="J30" s="80"/>
      <c r="K30" s="80"/>
      <c r="L30" s="80"/>
    </row>
    <row r="31">
      <c r="A31" s="350"/>
      <c r="B31" s="351"/>
      <c r="C31" s="362"/>
      <c r="D31" s="356" t="s">
        <v>3206</v>
      </c>
      <c r="E31" s="350"/>
      <c r="F31" s="351"/>
      <c r="G31" s="351"/>
      <c r="H31" s="351"/>
      <c r="I31" s="350"/>
      <c r="J31" s="350"/>
      <c r="K31" s="350"/>
      <c r="L31" s="350"/>
    </row>
    <row r="32">
      <c r="A32" s="110">
        <v>36649.0</v>
      </c>
      <c r="B32" s="114" t="s">
        <v>32</v>
      </c>
      <c r="C32" s="135" t="str">
        <f>HYPERLINK("http://phish.net/sideshows/mike-gordon/?d="&amp;RIGHT(TEXT(A32,"mm/dd/yyyy"),4)&amp;"-"&amp;LEFT(TEXT(A32,"mm/dd/yyyy"),2)&amp;"-"&amp;MID(TEXT(A32,"mm/dd/yyyy"),4,2), "setlist")</f>
        <v>setlist</v>
      </c>
      <c r="D32" s="183" t="s">
        <v>3207</v>
      </c>
      <c r="E32" s="113" t="s">
        <v>231</v>
      </c>
      <c r="F32" s="114" t="s">
        <v>35</v>
      </c>
      <c r="G32" s="114" t="s">
        <v>36</v>
      </c>
      <c r="H32" s="135" t="str">
        <f>HYPERLINK("http://www.mediafire.com/file/d0pxauzo2ef5o3b/2000-05-03_-_Mead_Chapel%2C_Middlebury_College_-_Middlebury%2C_VT.rar", "download link")</f>
        <v>download link</v>
      </c>
      <c r="I32" s="113" t="s">
        <v>3208</v>
      </c>
      <c r="J32" s="113"/>
      <c r="K32" s="113"/>
      <c r="L32" s="113"/>
    </row>
    <row r="33">
      <c r="A33" s="350"/>
      <c r="B33" s="351"/>
      <c r="C33" s="352"/>
      <c r="D33" s="356" t="s">
        <v>3198</v>
      </c>
      <c r="E33" s="357"/>
      <c r="F33" s="351"/>
      <c r="G33" s="351"/>
      <c r="H33" s="358"/>
      <c r="I33" s="357"/>
      <c r="J33" s="357"/>
      <c r="K33" s="357"/>
      <c r="L33" s="357"/>
    </row>
    <row r="34">
      <c r="A34" s="110">
        <v>36717.0</v>
      </c>
      <c r="B34" s="111"/>
      <c r="C34" s="116" t="str">
        <f>HYPERLINK("http://phish.net/sideshows/guest-appearance/?showid=1335110264", "setlist")</f>
        <v>setlist</v>
      </c>
      <c r="D34" s="183" t="s">
        <v>3199</v>
      </c>
      <c r="E34" s="183" t="s">
        <v>1289</v>
      </c>
      <c r="F34" s="114" t="s">
        <v>508</v>
      </c>
      <c r="G34" s="111"/>
      <c r="H34" s="138"/>
    </row>
    <row r="35">
      <c r="A35" s="350"/>
      <c r="B35" s="351"/>
      <c r="C35" s="362"/>
      <c r="D35" s="356" t="s">
        <v>3209</v>
      </c>
      <c r="E35" s="350"/>
      <c r="F35" s="351"/>
      <c r="G35" s="351"/>
      <c r="H35" s="351"/>
      <c r="I35" s="350"/>
      <c r="J35" s="350"/>
      <c r="K35" s="350"/>
      <c r="L35" s="350"/>
    </row>
    <row r="36">
      <c r="A36" s="142">
        <v>36991.0</v>
      </c>
      <c r="B36" s="144"/>
      <c r="C36" s="116" t="str">
        <f t="shared" ref="C36:C37" si="3">HYPERLINK("http://phish.net/sideshows/mike-gordon/?d="&amp;RIGHT(TEXT(A36,"mm/dd/yyyy"),4)&amp;"-"&amp;LEFT(TEXT(A36,"mm/dd/yyyy"),2)&amp;"-"&amp;MID(TEXT(A36,"mm/dd/yyyy"),4,2), "setlist")</f>
        <v>setlist</v>
      </c>
      <c r="D36" s="272" t="s">
        <v>2817</v>
      </c>
      <c r="E36" s="118" t="s">
        <v>854</v>
      </c>
      <c r="F36" s="115" t="s">
        <v>35</v>
      </c>
      <c r="G36" s="165" t="s">
        <v>36</v>
      </c>
      <c r="H36" s="135" t="str">
        <f>HYPERLINK("http://www.mediafire.com/file/a1q707wvl8sxpik/2001-04-10_-_Higher_Ground_-_Winooski%2C_VT.rar", "download link")</f>
        <v>download link</v>
      </c>
      <c r="I36" s="146"/>
      <c r="J36" s="146"/>
      <c r="K36" s="146"/>
      <c r="L36" s="146"/>
    </row>
    <row r="37">
      <c r="A37" s="103">
        <v>36992.0</v>
      </c>
      <c r="B37" s="104"/>
      <c r="C37" s="105" t="str">
        <f t="shared" si="3"/>
        <v>setlist</v>
      </c>
      <c r="D37" s="181" t="s">
        <v>3210</v>
      </c>
      <c r="E37" s="106" t="s">
        <v>162</v>
      </c>
      <c r="F37" s="107" t="s">
        <v>129</v>
      </c>
      <c r="G37" s="104"/>
      <c r="H37" s="360"/>
      <c r="I37" s="106" t="s">
        <v>2812</v>
      </c>
      <c r="J37" s="106"/>
      <c r="K37" s="106"/>
      <c r="L37" s="106"/>
    </row>
    <row r="38">
      <c r="A38" s="142">
        <v>36993.0</v>
      </c>
      <c r="B38" s="144"/>
      <c r="C38" s="116" t="str">
        <f>HYPERLINK("http://phish.net/sideshows/mike-gordon/?showid=1322259380", "setlist")</f>
        <v>setlist</v>
      </c>
      <c r="D38" s="272" t="s">
        <v>562</v>
      </c>
      <c r="E38" s="118" t="s">
        <v>290</v>
      </c>
      <c r="F38" s="115" t="s">
        <v>95</v>
      </c>
      <c r="G38" s="165" t="s">
        <v>36</v>
      </c>
      <c r="H38" s="135" t="str">
        <f>HYPERLINK("http://www.mediafire.com/file/efg1bhhdcbk7xnj/2001-04-12_-_Somerville_Theatre_-_Somerville%2C_MA.rar", "download link")</f>
        <v>download link</v>
      </c>
      <c r="I38" s="146"/>
      <c r="J38" s="146"/>
      <c r="K38" s="146"/>
      <c r="L38" s="146"/>
    </row>
    <row r="39">
      <c r="A39" s="103">
        <v>36994.0</v>
      </c>
      <c r="B39" s="104"/>
      <c r="C39" s="105" t="str">
        <f>HYPERLINK("http://phish.net/sideshows/mike-gordon/?showid=1322259583", "setlist")</f>
        <v>setlist</v>
      </c>
      <c r="D39" s="181" t="s">
        <v>3211</v>
      </c>
      <c r="E39" s="106" t="s">
        <v>323</v>
      </c>
      <c r="F39" s="107" t="s">
        <v>171</v>
      </c>
      <c r="G39" s="141" t="s">
        <v>36</v>
      </c>
      <c r="H39" s="105" t="str">
        <f>HYPERLINK("http://www.mediafire.com/file/c097f3pwe90q53a/2001-04-13_-_Webster_Theater_-_Hartford%2C_CT.rar", "download link")</f>
        <v>download link</v>
      </c>
      <c r="I39" s="109"/>
      <c r="J39" s="109"/>
      <c r="K39" s="109"/>
      <c r="L39" s="109"/>
    </row>
    <row r="40">
      <c r="A40" s="350"/>
      <c r="B40" s="351"/>
      <c r="C40" s="362"/>
      <c r="D40" s="356" t="s">
        <v>3212</v>
      </c>
      <c r="E40" s="350"/>
      <c r="F40" s="351"/>
      <c r="G40" s="351"/>
      <c r="H40" s="351"/>
      <c r="I40" s="350"/>
      <c r="J40" s="350"/>
      <c r="K40" s="350"/>
      <c r="L40" s="350"/>
    </row>
    <row r="41">
      <c r="A41" s="110">
        <v>37001.0</v>
      </c>
      <c r="B41" s="111"/>
      <c r="C41" s="135" t="str">
        <f>HYPERLINK("http://phish.net/sideshows/guest-appearance/?showid=1354761410", "setlist")</f>
        <v>setlist</v>
      </c>
      <c r="D41" s="183" t="s">
        <v>296</v>
      </c>
      <c r="E41" s="183" t="s">
        <v>297</v>
      </c>
      <c r="F41" s="114" t="s">
        <v>298</v>
      </c>
      <c r="G41" s="114" t="s">
        <v>36</v>
      </c>
      <c r="H41" s="116" t="str">
        <f>HYPERLINK("http://www.mediafire.com/?wm3sdca985nhm", "download link")</f>
        <v>download link</v>
      </c>
      <c r="I41" s="113" t="s">
        <v>3213</v>
      </c>
      <c r="J41" s="113"/>
      <c r="K41" s="113"/>
      <c r="L41" s="113"/>
    </row>
    <row r="42">
      <c r="A42" s="350"/>
      <c r="B42" s="351"/>
      <c r="C42" s="362"/>
      <c r="D42" s="356" t="s">
        <v>3214</v>
      </c>
      <c r="E42" s="350"/>
      <c r="F42" s="351"/>
      <c r="G42" s="351"/>
      <c r="H42" s="351"/>
      <c r="I42" s="350"/>
      <c r="J42" s="350"/>
      <c r="K42" s="350"/>
      <c r="L42" s="350"/>
    </row>
    <row r="43">
      <c r="A43" s="110">
        <v>37072.0</v>
      </c>
      <c r="B43" s="111"/>
      <c r="C43" s="116" t="str">
        <f>HYPERLINK("http://phish.net/sideshows/mike-gordon/?d=2001-06-30", "setlist")</f>
        <v>setlist</v>
      </c>
      <c r="D43" s="183" t="s">
        <v>3215</v>
      </c>
      <c r="E43" s="113" t="s">
        <v>3103</v>
      </c>
      <c r="F43" s="114" t="s">
        <v>2493</v>
      </c>
      <c r="G43" s="114" t="s">
        <v>36</v>
      </c>
      <c r="H43" s="135" t="str">
        <f>HYPERLINK("http://www.mediafire.com/?ih5obi5p7a68s", "download link")</f>
        <v>download link</v>
      </c>
      <c r="I43" s="80"/>
      <c r="J43" s="80"/>
      <c r="K43" s="80"/>
      <c r="L43" s="80"/>
    </row>
    <row r="44">
      <c r="A44" s="103">
        <v>37204.0</v>
      </c>
      <c r="B44" s="107" t="s">
        <v>32</v>
      </c>
      <c r="C44" s="105" t="str">
        <f>HYPERLINK("http://phish.net/sideshows/mike-gordon/?showid=1327261607", "setlist")</f>
        <v>setlist</v>
      </c>
      <c r="D44" s="181" t="s">
        <v>3216</v>
      </c>
      <c r="E44" s="106" t="s">
        <v>591</v>
      </c>
      <c r="F44" s="107" t="s">
        <v>589</v>
      </c>
      <c r="G44" s="107" t="s">
        <v>36</v>
      </c>
      <c r="H44" s="105" t="str">
        <f>HYPERLINK("http://www.mediafire.com/?oba38l4g9v26d", "download link")</f>
        <v>download link</v>
      </c>
      <c r="I44" s="109"/>
      <c r="J44" s="109"/>
      <c r="K44" s="109"/>
      <c r="L44" s="109"/>
    </row>
    <row r="45">
      <c r="A45" s="142">
        <v>37205.0</v>
      </c>
      <c r="B45" s="144"/>
      <c r="C45" s="116" t="str">
        <f>HYPERLINK("http://phish.net/sideshows/mike-gordon/?showid=1327261647", "setlist")</f>
        <v>setlist</v>
      </c>
      <c r="D45" s="272" t="s">
        <v>3216</v>
      </c>
      <c r="E45" s="118" t="s">
        <v>591</v>
      </c>
      <c r="F45" s="115" t="s">
        <v>589</v>
      </c>
      <c r="G45" s="144"/>
      <c r="H45" s="379"/>
      <c r="I45" s="146"/>
      <c r="J45" s="146"/>
      <c r="K45" s="146"/>
      <c r="L45" s="146"/>
    </row>
    <row r="46">
      <c r="A46" s="350"/>
      <c r="B46" s="351"/>
      <c r="C46" s="362"/>
      <c r="D46" s="356" t="s">
        <v>3217</v>
      </c>
      <c r="E46" s="350"/>
      <c r="F46" s="351"/>
      <c r="G46" s="351"/>
      <c r="H46" s="351"/>
      <c r="I46" s="350"/>
      <c r="J46" s="350"/>
      <c r="K46" s="350"/>
      <c r="L46" s="350"/>
    </row>
    <row r="47">
      <c r="A47" s="110">
        <v>37325.0</v>
      </c>
      <c r="B47" s="111"/>
      <c r="C47" s="116" t="str">
        <f>HYPERLINK("http://phish.net/sideshows/mike-gordon/?d=2002-03-10", "setlist")</f>
        <v>setlist</v>
      </c>
      <c r="D47" s="183" t="s">
        <v>2999</v>
      </c>
      <c r="E47" s="183" t="s">
        <v>591</v>
      </c>
      <c r="F47" s="114" t="s">
        <v>589</v>
      </c>
      <c r="G47" s="111"/>
      <c r="H47" s="359"/>
      <c r="I47" s="80"/>
      <c r="J47" s="80"/>
      <c r="K47" s="80"/>
      <c r="L47" s="80"/>
    </row>
    <row r="48">
      <c r="A48" s="350"/>
      <c r="B48" s="354"/>
      <c r="C48" s="352"/>
      <c r="D48" s="353" t="s">
        <v>2891</v>
      </c>
      <c r="E48" s="355"/>
      <c r="F48" s="354"/>
      <c r="G48" s="354"/>
      <c r="H48" s="351"/>
      <c r="I48" s="355"/>
      <c r="J48" s="355"/>
      <c r="K48" s="355"/>
      <c r="L48" s="355"/>
    </row>
    <row r="49">
      <c r="A49" s="110">
        <v>37520.0</v>
      </c>
      <c r="B49" s="111"/>
      <c r="C49" s="116" t="str">
        <f>HYPERLINK("http://phish.net/sideshows/guest-appearance/?d=2002-09-21", "setlist")</f>
        <v>setlist</v>
      </c>
      <c r="D49" s="113" t="s">
        <v>2892</v>
      </c>
      <c r="E49" s="113" t="s">
        <v>2893</v>
      </c>
      <c r="F49" s="114" t="s">
        <v>129</v>
      </c>
      <c r="G49" s="111"/>
      <c r="H49" s="359"/>
      <c r="I49" s="80"/>
      <c r="J49" s="80"/>
      <c r="K49" s="80"/>
      <c r="L49" s="80"/>
    </row>
    <row r="50">
      <c r="A50" s="350"/>
      <c r="B50" s="351"/>
      <c r="C50" s="362"/>
      <c r="D50" s="356" t="s">
        <v>3218</v>
      </c>
      <c r="E50" s="350"/>
      <c r="F50" s="351"/>
      <c r="G50" s="351"/>
      <c r="H50" s="351"/>
      <c r="I50" s="350"/>
      <c r="J50" s="350"/>
      <c r="K50" s="350"/>
      <c r="L50" s="350"/>
    </row>
    <row r="51">
      <c r="A51" s="110">
        <v>37530.0</v>
      </c>
      <c r="B51" s="111"/>
      <c r="C51" s="116" t="str">
        <f t="shared" ref="C51:C54" si="4">HYPERLINK("http://phish.net/sideshows/mike-gordon/?d="&amp;RIGHT(TEXT(A51,"mm/dd/yyyy"),4)&amp;"-"&amp;LEFT(TEXT(A51,"mm/dd/yyyy"),2)&amp;"-"&amp;MID(TEXT(A51,"mm/dd/yyyy"),4,2), "setlist")</f>
        <v>setlist</v>
      </c>
      <c r="D51" s="183" t="s">
        <v>3219</v>
      </c>
      <c r="E51" s="113" t="s">
        <v>162</v>
      </c>
      <c r="F51" s="114" t="s">
        <v>129</v>
      </c>
      <c r="G51" s="111"/>
      <c r="H51" s="359"/>
      <c r="I51" s="80"/>
      <c r="J51" s="80"/>
      <c r="K51" s="80"/>
      <c r="L51" s="80"/>
    </row>
    <row r="52">
      <c r="A52" s="103">
        <v>37531.0</v>
      </c>
      <c r="B52" s="104"/>
      <c r="C52" s="105" t="str">
        <f t="shared" si="4"/>
        <v>setlist</v>
      </c>
      <c r="D52" s="181" t="s">
        <v>863</v>
      </c>
      <c r="E52" s="106" t="s">
        <v>162</v>
      </c>
      <c r="F52" s="107" t="s">
        <v>129</v>
      </c>
      <c r="G52" s="104"/>
      <c r="H52" s="360"/>
      <c r="I52" s="109"/>
      <c r="J52" s="109"/>
      <c r="K52" s="109"/>
      <c r="L52" s="109"/>
    </row>
    <row r="53">
      <c r="A53" s="110">
        <v>37564.0</v>
      </c>
      <c r="B53" s="111"/>
      <c r="C53" s="116" t="str">
        <f t="shared" si="4"/>
        <v>setlist</v>
      </c>
      <c r="D53" s="183" t="s">
        <v>3220</v>
      </c>
      <c r="E53" s="113" t="s">
        <v>3221</v>
      </c>
      <c r="F53" s="114" t="s">
        <v>95</v>
      </c>
      <c r="G53" s="139" t="s">
        <v>36</v>
      </c>
      <c r="H53" s="116" t="str">
        <f>HYPERLINK("http://www.mediafire.com/file/q5dgxnbfafs5mtt/2002-11-04_-_Club_Helsinki_-_Great_Barrington%2C_MA.rar", "download link")</f>
        <v>download link</v>
      </c>
      <c r="I53" s="80"/>
      <c r="J53" s="80"/>
      <c r="K53" s="80"/>
      <c r="L53" s="80"/>
    </row>
    <row r="54">
      <c r="A54" s="103">
        <v>37565.0</v>
      </c>
      <c r="B54" s="104"/>
      <c r="C54" s="105" t="str">
        <f t="shared" si="4"/>
        <v>setlist</v>
      </c>
      <c r="D54" s="181" t="s">
        <v>3222</v>
      </c>
      <c r="E54" s="106" t="s">
        <v>34</v>
      </c>
      <c r="F54" s="107" t="s">
        <v>35</v>
      </c>
      <c r="G54" s="141" t="s">
        <v>36</v>
      </c>
      <c r="H54" s="105" t="str">
        <f>HYPERLINK("http://www.mediafire.com/file/50l14idz0h5gpaj/2002-11-05_-_Ira_Allen_Chapel%2C_University_of_Vermont_-_Burlington%2C_VT.rar", "download link")</f>
        <v>download link</v>
      </c>
      <c r="I54" s="109"/>
      <c r="J54" s="109"/>
      <c r="K54" s="109"/>
      <c r="L54" s="109"/>
    </row>
    <row r="55">
      <c r="A55" s="110">
        <v>37566.0</v>
      </c>
      <c r="B55" s="111"/>
      <c r="C55" s="116" t="str">
        <f>HYPERLINK("http://phish.net/sideshows/mike-gordon/?showid=1321820591", "setlist")</f>
        <v>setlist</v>
      </c>
      <c r="D55" s="183" t="s">
        <v>3128</v>
      </c>
      <c r="E55" s="113" t="s">
        <v>3129</v>
      </c>
      <c r="F55" s="114" t="s">
        <v>95</v>
      </c>
      <c r="G55" s="139" t="s">
        <v>36</v>
      </c>
      <c r="H55" s="116" t="str">
        <f>HYPERLINK("http://www.mediafire.com/file/bkby0z4gefr18uq/2002-11-06_-_Sanders_Theatre%2C_Harvard_University_-_Cambridge%2C_MA.rar", "download link")</f>
        <v>download link</v>
      </c>
      <c r="I55" s="80"/>
      <c r="J55" s="80"/>
      <c r="K55" s="80"/>
      <c r="L55" s="80"/>
    </row>
    <row r="56">
      <c r="A56" s="103">
        <v>37568.0</v>
      </c>
      <c r="B56" s="104"/>
      <c r="C56" s="105" t="str">
        <f>HYPERLINK("http://phish.net/sideshows/mike-gordon/?showid=1321820819", "setlist")</f>
        <v>setlist</v>
      </c>
      <c r="D56" s="181" t="s">
        <v>3223</v>
      </c>
      <c r="E56" s="106" t="s">
        <v>162</v>
      </c>
      <c r="F56" s="107" t="s">
        <v>129</v>
      </c>
      <c r="G56" s="141" t="s">
        <v>36</v>
      </c>
      <c r="H56" s="105" t="str">
        <f>HYPERLINK("http://www.mediafire.com/file/xkcgxqc2nsqwxrz/2002-11-08_-_The_Bowery_Ballroom_-_New_York%2C_NY.rar", "download link")</f>
        <v>download link</v>
      </c>
      <c r="I56" s="109"/>
      <c r="J56" s="109"/>
      <c r="K56" s="109"/>
      <c r="L56" s="109"/>
    </row>
    <row r="57">
      <c r="A57" s="110">
        <v>37569.0</v>
      </c>
      <c r="B57" s="111"/>
      <c r="C57" s="116" t="str">
        <f>HYPERLINK("http://phish.net/sideshows/mike-gordon/?showid=1321820889", "setlist")</f>
        <v>setlist</v>
      </c>
      <c r="D57" s="183" t="s">
        <v>3224</v>
      </c>
      <c r="E57" s="113" t="s">
        <v>871</v>
      </c>
      <c r="F57" s="114" t="s">
        <v>212</v>
      </c>
      <c r="G57" s="111"/>
      <c r="H57" s="138"/>
      <c r="I57" s="80"/>
      <c r="J57" s="80"/>
      <c r="K57" s="80"/>
      <c r="L57" s="80"/>
    </row>
    <row r="58">
      <c r="A58" s="103">
        <v>37570.0</v>
      </c>
      <c r="B58" s="107" t="s">
        <v>32</v>
      </c>
      <c r="C58" s="105" t="str">
        <f>HYPERLINK("http://phish.net/sideshows/mike-gordon/?showid=1321820990", "setlist")</f>
        <v>setlist</v>
      </c>
      <c r="D58" s="181" t="s">
        <v>2838</v>
      </c>
      <c r="E58" s="106" t="s">
        <v>393</v>
      </c>
      <c r="F58" s="107" t="s">
        <v>394</v>
      </c>
      <c r="G58" s="107">
        <v>128.0</v>
      </c>
      <c r="H58" s="105" t="str">
        <f>HYPERLINK("http://www.mediafire.com/?gefwhqzhtukaj", "download link")</f>
        <v>download link</v>
      </c>
      <c r="I58" s="109"/>
      <c r="J58" s="109"/>
      <c r="K58" s="109"/>
      <c r="L58" s="109"/>
    </row>
    <row r="59">
      <c r="A59" s="110">
        <v>37572.0</v>
      </c>
      <c r="B59" s="111"/>
      <c r="C59" s="116" t="str">
        <f>HYPERLINK("http://phish.net/sideshows/mike-gordon/?showid=1321821192", "setlist")</f>
        <v>setlist</v>
      </c>
      <c r="D59" s="183" t="s">
        <v>761</v>
      </c>
      <c r="E59" s="113" t="s">
        <v>3225</v>
      </c>
      <c r="F59" s="114" t="s">
        <v>433</v>
      </c>
      <c r="G59" s="139" t="s">
        <v>36</v>
      </c>
      <c r="H59" s="116" t="str">
        <f>HYPERLINK("http://www.mediafire.com/file/wrnfob4zeg1eykm/2002-11-12_-_Variety_Playhouse_-_Atlanta%2C_GA.rar", "download link")</f>
        <v>download link</v>
      </c>
      <c r="I59" s="80"/>
      <c r="J59" s="80"/>
      <c r="K59" s="80"/>
      <c r="L59" s="80"/>
    </row>
    <row r="60">
      <c r="A60" s="103">
        <v>37573.0</v>
      </c>
      <c r="B60" s="104"/>
      <c r="C60" s="105" t="str">
        <f>HYPERLINK("http://phish.net/sideshows/mike-gordon/?showid=1321821245", "setlist")</f>
        <v>setlist</v>
      </c>
      <c r="D60" s="181" t="s">
        <v>3226</v>
      </c>
      <c r="E60" s="106" t="s">
        <v>479</v>
      </c>
      <c r="F60" s="107" t="s">
        <v>480</v>
      </c>
      <c r="G60" s="141" t="s">
        <v>36</v>
      </c>
      <c r="H60" s="105" t="str">
        <f>HYPERLINK("http://www.mediafire.com/file/mdi43oabthlujdb/2002-11-13_-_Park_West_-_Chicago%2C_IL.rar", "download link")</f>
        <v>download link</v>
      </c>
      <c r="I60" s="109"/>
      <c r="J60" s="109"/>
      <c r="K60" s="109"/>
      <c r="L60" s="109"/>
    </row>
    <row r="61">
      <c r="A61" s="110">
        <v>37575.0</v>
      </c>
      <c r="B61" s="114" t="s">
        <v>32</v>
      </c>
      <c r="C61" s="116" t="str">
        <f t="shared" ref="C61:C66" si="5">HYPERLINK("http://phish.net/sideshows/mike-gordon/?d="&amp;RIGHT(TEXT(A61,"mm/dd/yyyy"),4)&amp;"-"&amp;LEFT(TEXT(A61,"mm/dd/yyyy"),2)&amp;"-"&amp;MID(TEXT(A61,"mm/dd/yyyy"),4,2), "setlist")</f>
        <v>setlist</v>
      </c>
      <c r="D61" s="183" t="s">
        <v>884</v>
      </c>
      <c r="E61" s="113" t="s">
        <v>885</v>
      </c>
      <c r="F61" s="114" t="s">
        <v>886</v>
      </c>
      <c r="G61" s="114" t="s">
        <v>36</v>
      </c>
      <c r="H61" s="135" t="str">
        <f>HYPERLINK("http://www.mediafire.com/file/f18efx67zxbu8qk/2002-11-15_-_Mississippi_Nights_-_St._Louis%2C_MO.rar", "download link")</f>
        <v>download link</v>
      </c>
      <c r="I61" s="80"/>
      <c r="J61" s="80"/>
      <c r="K61" s="80"/>
      <c r="L61" s="80"/>
    </row>
    <row r="62">
      <c r="A62" s="103">
        <v>37576.0</v>
      </c>
      <c r="B62" s="104"/>
      <c r="C62" s="105" t="str">
        <f t="shared" si="5"/>
        <v>setlist</v>
      </c>
      <c r="D62" s="181" t="s">
        <v>3227</v>
      </c>
      <c r="E62" s="106" t="s">
        <v>911</v>
      </c>
      <c r="F62" s="107" t="s">
        <v>679</v>
      </c>
      <c r="G62" s="104"/>
      <c r="H62" s="108"/>
      <c r="I62" s="109"/>
      <c r="J62" s="109"/>
      <c r="K62" s="109"/>
      <c r="L62" s="109"/>
    </row>
    <row r="63">
      <c r="A63" s="110">
        <v>37577.0</v>
      </c>
      <c r="B63" s="111"/>
      <c r="C63" s="116" t="str">
        <f t="shared" si="5"/>
        <v>setlist</v>
      </c>
      <c r="D63" s="183" t="s">
        <v>2020</v>
      </c>
      <c r="E63" s="113" t="s">
        <v>683</v>
      </c>
      <c r="F63" s="114" t="s">
        <v>679</v>
      </c>
      <c r="G63" s="114" t="s">
        <v>36</v>
      </c>
      <c r="H63" s="135" t="str">
        <f>HYPERLINK("http://www.mediafire.com/?995ghh46888fs", "download link")</f>
        <v>download link</v>
      </c>
      <c r="I63" s="80"/>
      <c r="J63" s="80"/>
      <c r="K63" s="80"/>
      <c r="L63" s="80"/>
    </row>
    <row r="64">
      <c r="A64" s="103">
        <v>37579.0</v>
      </c>
      <c r="B64" s="104"/>
      <c r="C64" s="105" t="str">
        <f t="shared" si="5"/>
        <v>setlist</v>
      </c>
      <c r="D64" s="181" t="s">
        <v>500</v>
      </c>
      <c r="E64" s="106" t="s">
        <v>488</v>
      </c>
      <c r="F64" s="107" t="s">
        <v>203</v>
      </c>
      <c r="G64" s="107" t="s">
        <v>36</v>
      </c>
      <c r="H64" s="105" t="str">
        <f>HYPERLINK("http://www.mediafire.com/download/eqa3od586zyq0fi/2002-11-19_-_Boulder_Theater_-_Boulder%2C_CO.rar", "download link")</f>
        <v>download link</v>
      </c>
      <c r="I64" s="109"/>
      <c r="J64" s="109"/>
      <c r="K64" s="109"/>
      <c r="L64" s="109"/>
    </row>
    <row r="65">
      <c r="A65" s="110">
        <v>37597.0</v>
      </c>
      <c r="B65" s="111"/>
      <c r="C65" s="116" t="str">
        <f t="shared" si="5"/>
        <v>setlist</v>
      </c>
      <c r="D65" s="183" t="s">
        <v>3162</v>
      </c>
      <c r="E65" s="113" t="s">
        <v>162</v>
      </c>
      <c r="F65" s="114" t="s">
        <v>129</v>
      </c>
      <c r="G65" s="139" t="s">
        <v>36</v>
      </c>
      <c r="H65" s="116" t="str">
        <f>HYPERLINK("http://www.mediafire.com/file/abaw9o2x8n7b7kl/2002-12-07_-_Town_Hall_-_New_York%2C_NY.rar", "download link")</f>
        <v>download link</v>
      </c>
      <c r="I65" s="80"/>
      <c r="J65" s="80"/>
      <c r="K65" s="80"/>
      <c r="L65" s="80"/>
    </row>
    <row r="66">
      <c r="A66" s="103">
        <v>37598.0</v>
      </c>
      <c r="B66" s="104"/>
      <c r="C66" s="105" t="str">
        <f t="shared" si="5"/>
        <v>setlist</v>
      </c>
      <c r="D66" s="181" t="s">
        <v>873</v>
      </c>
      <c r="E66" s="106" t="s">
        <v>429</v>
      </c>
      <c r="F66" s="107" t="s">
        <v>874</v>
      </c>
      <c r="G66" s="141" t="s">
        <v>36</v>
      </c>
      <c r="H66" s="105" t="str">
        <f>HYPERLINK("http://www.mediafire.com/file/i7860voqgbtbp73/2002-12-08_-_Cultural_Center_Auditorium_-_Charleston%2C_WV.rar", "download link")</f>
        <v>download link</v>
      </c>
      <c r="I66" s="109"/>
      <c r="J66" s="109"/>
      <c r="K66" s="109"/>
      <c r="L66" s="109"/>
    </row>
    <row r="67">
      <c r="A67" s="350"/>
      <c r="B67" s="351"/>
      <c r="C67" s="362"/>
      <c r="D67" s="356" t="s">
        <v>3228</v>
      </c>
      <c r="E67" s="350"/>
      <c r="F67" s="351"/>
      <c r="G67" s="351"/>
      <c r="H67" s="351"/>
      <c r="I67" s="350"/>
      <c r="J67" s="350"/>
      <c r="K67" s="350"/>
      <c r="L67" s="350"/>
    </row>
    <row r="68">
      <c r="A68" s="110">
        <v>37639.0</v>
      </c>
      <c r="B68" s="111"/>
      <c r="C68" s="116" t="str">
        <f>HYPERLINK("http://phish.net/sideshows/mike-gordon/?d="&amp;RIGHT(TEXT(A68,"mm/dd/yyyy"),4)&amp;"-"&amp;LEFT(TEXT(A68,"mm/dd/yyyy"),2)&amp;"-"&amp;MID(TEXT(A68,"mm/dd/yyyy"),4,2), "setlist")</f>
        <v>setlist</v>
      </c>
      <c r="D68" s="183" t="s">
        <v>3204</v>
      </c>
      <c r="E68" s="113" t="s">
        <v>3205</v>
      </c>
      <c r="F68" s="114" t="s">
        <v>35</v>
      </c>
      <c r="G68" s="114" t="s">
        <v>36</v>
      </c>
      <c r="H68" s="135" t="str">
        <f>HYPERLINK("http://www.mediafire.com/?mksqi57hhr0ch", "download link")</f>
        <v>download link</v>
      </c>
      <c r="I68" s="80"/>
      <c r="J68" s="80"/>
      <c r="K68" s="80"/>
      <c r="L68" s="80"/>
    </row>
    <row r="69">
      <c r="A69" s="103">
        <v>37771.0</v>
      </c>
      <c r="B69" s="104"/>
      <c r="C69" s="105" t="str">
        <f>HYPERLINK("http://phish.net/sideshows/mike-gordon/?showid=1322078526", "setlist")</f>
        <v>setlist</v>
      </c>
      <c r="D69" s="181" t="s">
        <v>3229</v>
      </c>
      <c r="E69" s="106" t="s">
        <v>3129</v>
      </c>
      <c r="F69" s="107" t="s">
        <v>95</v>
      </c>
      <c r="G69" s="104"/>
      <c r="H69" s="108"/>
      <c r="I69" s="109"/>
      <c r="J69" s="109"/>
      <c r="K69" s="109"/>
      <c r="L69" s="109"/>
    </row>
    <row r="70">
      <c r="A70" s="142">
        <v>37772.0</v>
      </c>
      <c r="B70" s="144"/>
      <c r="C70" s="116" t="str">
        <f t="shared" ref="C70:C71" si="6">HYPERLINK("http://phish.net/sideshows/mike-gordon/?d="&amp;RIGHT(TEXT(A70,"mm/dd/yyyy"),4)&amp;"-"&amp;LEFT(TEXT(A70,"mm/dd/yyyy"),2)&amp;"-"&amp;MID(TEXT(A70,"mm/dd/yyyy"),4,2), "setlist")</f>
        <v>setlist</v>
      </c>
      <c r="D70" s="272" t="s">
        <v>2805</v>
      </c>
      <c r="E70" s="118" t="s">
        <v>247</v>
      </c>
      <c r="F70" s="115" t="s">
        <v>95</v>
      </c>
      <c r="G70" s="115" t="s">
        <v>36</v>
      </c>
      <c r="H70" s="116" t="str">
        <f>HYPERLINK("http://www.mediafire.com/?c32d035helwe1", "download link")</f>
        <v>download link</v>
      </c>
      <c r="I70" s="118" t="s">
        <v>3230</v>
      </c>
      <c r="J70" s="118"/>
      <c r="K70" s="118"/>
      <c r="L70" s="118"/>
    </row>
    <row r="71">
      <c r="A71" s="103">
        <v>37773.0</v>
      </c>
      <c r="B71" s="104"/>
      <c r="C71" s="105" t="str">
        <f t="shared" si="6"/>
        <v>setlist</v>
      </c>
      <c r="D71" s="181" t="s">
        <v>2817</v>
      </c>
      <c r="E71" s="106" t="s">
        <v>854</v>
      </c>
      <c r="F71" s="107" t="s">
        <v>35</v>
      </c>
      <c r="G71" s="107" t="s">
        <v>36</v>
      </c>
      <c r="H71" s="105" t="str">
        <f>HYPERLINK("http://www.mediafire.com/?vg0c2y8c3zu4o", "download link")</f>
        <v>download link</v>
      </c>
      <c r="I71" s="109"/>
      <c r="J71" s="109"/>
      <c r="K71" s="109"/>
      <c r="L71" s="109"/>
    </row>
    <row r="72">
      <c r="A72" s="350"/>
      <c r="B72" s="351"/>
      <c r="C72" s="362"/>
      <c r="D72" s="356" t="s">
        <v>3218</v>
      </c>
      <c r="E72" s="350"/>
      <c r="F72" s="351"/>
      <c r="G72" s="351"/>
      <c r="H72" s="351"/>
      <c r="I72" s="350"/>
      <c r="J72" s="350"/>
      <c r="K72" s="350"/>
      <c r="L72" s="350"/>
    </row>
    <row r="73">
      <c r="A73" s="110">
        <v>37786.0</v>
      </c>
      <c r="B73" s="111"/>
      <c r="C73" s="116" t="str">
        <f>HYPERLINK("http://phish.net/sideshows/mike-gordon/?d="&amp;RIGHT(TEXT(A73,"mm/dd/yyyy"),4)&amp;"-"&amp;LEFT(TEXT(A73,"mm/dd/yyyy"),2)&amp;"-"&amp;MID(TEXT(A73,"mm/dd/yyyy"),4,2), "setlist")</f>
        <v>setlist</v>
      </c>
      <c r="D73" s="183" t="s">
        <v>2333</v>
      </c>
      <c r="E73" s="113" t="s">
        <v>2332</v>
      </c>
      <c r="F73" s="114" t="s">
        <v>650</v>
      </c>
      <c r="G73" s="114">
        <v>128.0</v>
      </c>
      <c r="H73" s="135" t="str">
        <f>HYPERLINK("http://www.mediafire.com/?jozfb73y9t530", "download link")</f>
        <v>download link</v>
      </c>
      <c r="I73" s="80"/>
      <c r="J73" s="80"/>
      <c r="K73" s="80"/>
      <c r="L73" s="80"/>
    </row>
    <row r="74">
      <c r="A74" s="350"/>
      <c r="B74" s="351"/>
      <c r="C74" s="362"/>
      <c r="D74" s="356" t="s">
        <v>3231</v>
      </c>
      <c r="E74" s="350"/>
      <c r="F74" s="351"/>
      <c r="G74" s="351"/>
      <c r="H74" s="351"/>
      <c r="I74" s="350"/>
      <c r="J74" s="350"/>
      <c r="K74" s="350"/>
      <c r="L74" s="350"/>
    </row>
    <row r="75">
      <c r="A75" s="110">
        <v>37787.0</v>
      </c>
      <c r="B75" s="111"/>
      <c r="C75" s="116" t="str">
        <f>HYPERLINK("http://phish.net/sideshows/guest-appearance/?d=2003-06-15", "setlist")</f>
        <v>setlist</v>
      </c>
      <c r="D75" s="183" t="s">
        <v>2333</v>
      </c>
      <c r="E75" s="113" t="s">
        <v>2332</v>
      </c>
      <c r="F75" s="114" t="s">
        <v>650</v>
      </c>
      <c r="G75" s="114" t="s">
        <v>36</v>
      </c>
      <c r="H75" s="135" t="str">
        <f>HYPERLINK("http://www.mediafire.com/?skc6r21v1q3by", "download link")</f>
        <v>download link</v>
      </c>
      <c r="I75" s="80"/>
      <c r="J75" s="80"/>
      <c r="K75" s="80"/>
      <c r="L75" s="80"/>
    </row>
    <row r="76">
      <c r="A76" s="350"/>
      <c r="B76" s="351"/>
      <c r="C76" s="362"/>
      <c r="D76" s="356" t="s">
        <v>3232</v>
      </c>
      <c r="E76" s="350"/>
      <c r="F76" s="351"/>
      <c r="G76" s="351"/>
      <c r="H76" s="351"/>
      <c r="I76" s="350"/>
      <c r="J76" s="350"/>
      <c r="K76" s="350"/>
      <c r="L76" s="350"/>
    </row>
    <row r="77">
      <c r="A77" s="110">
        <v>37899.0</v>
      </c>
      <c r="B77" s="111"/>
      <c r="C77" s="116" t="str">
        <f t="shared" ref="C77:C85" si="7">HYPERLINK("http://phish.net/sideshows/mike-gordon/?d="&amp;RIGHT(TEXT(A77,"mm/dd/yyyy"),4)&amp;"-"&amp;LEFT(TEXT(A77,"mm/dd/yyyy"),2)&amp;"-"&amp;MID(TEXT(A77,"mm/dd/yyyy"),4,2), "setlist")</f>
        <v>setlist</v>
      </c>
      <c r="D77" s="183" t="s">
        <v>2020</v>
      </c>
      <c r="E77" s="113" t="s">
        <v>683</v>
      </c>
      <c r="F77" s="114" t="s">
        <v>679</v>
      </c>
      <c r="G77" s="114" t="s">
        <v>36</v>
      </c>
      <c r="H77" s="135" t="str">
        <f>HYPERLINK("http://www.mediafire.com/?vxvrnjbv5ynri", "download link")</f>
        <v>download link</v>
      </c>
      <c r="I77" s="113" t="s">
        <v>3233</v>
      </c>
      <c r="J77" s="113"/>
      <c r="K77" s="113"/>
      <c r="L77" s="113"/>
    </row>
    <row r="78">
      <c r="A78" s="103">
        <v>37901.0</v>
      </c>
      <c r="B78" s="104"/>
      <c r="C78" s="105" t="str">
        <f t="shared" si="7"/>
        <v>setlist</v>
      </c>
      <c r="D78" s="181" t="s">
        <v>897</v>
      </c>
      <c r="E78" s="106" t="s">
        <v>488</v>
      </c>
      <c r="F78" s="107" t="s">
        <v>203</v>
      </c>
      <c r="G78" s="104"/>
      <c r="H78" s="108"/>
      <c r="I78" s="109"/>
      <c r="J78" s="109"/>
      <c r="K78" s="109"/>
      <c r="L78" s="109"/>
    </row>
    <row r="79">
      <c r="A79" s="110">
        <v>37902.0</v>
      </c>
      <c r="B79" s="111"/>
      <c r="C79" s="116" t="str">
        <f t="shared" si="7"/>
        <v>setlist</v>
      </c>
      <c r="D79" s="183" t="s">
        <v>897</v>
      </c>
      <c r="E79" s="113" t="s">
        <v>488</v>
      </c>
      <c r="F79" s="114" t="s">
        <v>203</v>
      </c>
      <c r="G79" s="114" t="s">
        <v>36</v>
      </c>
      <c r="H79" s="135" t="str">
        <f>HYPERLINK("http://www.mediafire.com/download/0j4d6odfg4obxyy/2003-10-08_-_The_Fox_Theatre_-_Boulder%2C_CO.rar", "download link")</f>
        <v>download link</v>
      </c>
      <c r="I79" s="80"/>
      <c r="J79" s="80"/>
      <c r="K79" s="80"/>
      <c r="L79" s="80"/>
    </row>
    <row r="80">
      <c r="A80" s="103">
        <v>37904.0</v>
      </c>
      <c r="B80" s="104"/>
      <c r="C80" s="105" t="str">
        <f t="shared" si="7"/>
        <v>setlist</v>
      </c>
      <c r="D80" s="181" t="s">
        <v>1080</v>
      </c>
      <c r="E80" s="106" t="s">
        <v>479</v>
      </c>
      <c r="F80" s="107" t="s">
        <v>480</v>
      </c>
      <c r="G80" s="104"/>
      <c r="H80" s="108"/>
      <c r="I80" s="109"/>
      <c r="J80" s="109"/>
      <c r="K80" s="109"/>
      <c r="L80" s="109"/>
    </row>
    <row r="81">
      <c r="A81" s="110">
        <v>37905.0</v>
      </c>
      <c r="B81" s="111"/>
      <c r="C81" s="116" t="str">
        <f t="shared" si="7"/>
        <v>setlist</v>
      </c>
      <c r="D81" s="183" t="s">
        <v>942</v>
      </c>
      <c r="E81" s="113" t="s">
        <v>943</v>
      </c>
      <c r="F81" s="114" t="s">
        <v>472</v>
      </c>
      <c r="G81" s="114" t="s">
        <v>36</v>
      </c>
      <c r="H81" s="135" t="str">
        <f>HYPERLINK("http://www.mediafire.com/?6mkbvz96bxvvk", "download link")</f>
        <v>download link</v>
      </c>
      <c r="I81" s="80"/>
      <c r="J81" s="80"/>
      <c r="K81" s="80"/>
      <c r="L81" s="80"/>
    </row>
    <row r="82">
      <c r="A82" s="103">
        <v>37907.0</v>
      </c>
      <c r="B82" s="104"/>
      <c r="C82" s="105" t="str">
        <f t="shared" si="7"/>
        <v>setlist</v>
      </c>
      <c r="D82" s="181" t="s">
        <v>3224</v>
      </c>
      <c r="E82" s="106" t="s">
        <v>871</v>
      </c>
      <c r="F82" s="107" t="s">
        <v>212</v>
      </c>
      <c r="G82" s="141" t="s">
        <v>36</v>
      </c>
      <c r="H82" s="105" t="str">
        <f>HYPERLINK("http://www.mediafire.com/file/tyg94m59rd677cs/2003-10-13_-_Theatre_of_the_Living_Arts_-_Philadelphia%2C_PA.rar", "download link")</f>
        <v>download link</v>
      </c>
      <c r="I82" s="109"/>
      <c r="J82" s="109"/>
      <c r="K82" s="109"/>
      <c r="L82" s="109"/>
    </row>
    <row r="83">
      <c r="A83" s="110">
        <v>37908.0</v>
      </c>
      <c r="B83" s="111"/>
      <c r="C83" s="116" t="str">
        <f t="shared" si="7"/>
        <v>setlist</v>
      </c>
      <c r="D83" s="183" t="s">
        <v>458</v>
      </c>
      <c r="E83" s="113" t="s">
        <v>459</v>
      </c>
      <c r="F83" s="114" t="s">
        <v>171</v>
      </c>
      <c r="G83" s="114" t="s">
        <v>36</v>
      </c>
      <c r="H83" s="135" t="str">
        <f>HYPERLINK("http://www.mediafire.com/?ec3vug9jictga", "download link")</f>
        <v>download link</v>
      </c>
      <c r="I83" s="113" t="s">
        <v>2812</v>
      </c>
      <c r="J83" s="113"/>
      <c r="K83" s="113"/>
      <c r="L83" s="113"/>
    </row>
    <row r="84">
      <c r="A84" s="103">
        <v>37909.0</v>
      </c>
      <c r="B84" s="104"/>
      <c r="C84" s="105" t="str">
        <f t="shared" si="7"/>
        <v>setlist</v>
      </c>
      <c r="D84" s="181" t="s">
        <v>3234</v>
      </c>
      <c r="E84" s="106" t="s">
        <v>94</v>
      </c>
      <c r="F84" s="107" t="s">
        <v>95</v>
      </c>
      <c r="G84" s="107" t="s">
        <v>36</v>
      </c>
      <c r="H84" s="105" t="str">
        <f>HYPERLINK("http://www.mediafire.com/?kk8c3dpm5b7ef", "download link")</f>
        <v>download link</v>
      </c>
      <c r="I84" s="109"/>
      <c r="J84" s="109"/>
      <c r="K84" s="109"/>
      <c r="L84" s="109"/>
    </row>
    <row r="85">
      <c r="A85" s="110">
        <v>37910.0</v>
      </c>
      <c r="B85" s="111"/>
      <c r="C85" s="116" t="str">
        <f t="shared" si="7"/>
        <v>setlist</v>
      </c>
      <c r="D85" s="183" t="s">
        <v>3210</v>
      </c>
      <c r="E85" s="113" t="s">
        <v>162</v>
      </c>
      <c r="F85" s="114" t="s">
        <v>129</v>
      </c>
      <c r="G85" s="114" t="s">
        <v>36</v>
      </c>
      <c r="H85" s="135" t="str">
        <f>HYPERLINK("http://www.mediafire.com/?4zxkpl0wt1bn2", "download link")</f>
        <v>download link</v>
      </c>
      <c r="I85" s="80"/>
      <c r="J85" s="80"/>
      <c r="K85" s="80"/>
      <c r="L85" s="80"/>
    </row>
    <row r="86">
      <c r="A86" s="350"/>
      <c r="B86" s="351"/>
      <c r="C86" s="362"/>
      <c r="D86" s="356" t="s">
        <v>3235</v>
      </c>
      <c r="E86" s="350"/>
      <c r="F86" s="351"/>
      <c r="G86" s="351"/>
      <c r="H86" s="351"/>
      <c r="I86" s="350"/>
      <c r="J86" s="350"/>
      <c r="K86" s="350"/>
      <c r="L86" s="350"/>
    </row>
    <row r="87">
      <c r="A87" s="110">
        <v>38145.0</v>
      </c>
      <c r="B87" s="111"/>
      <c r="C87" s="116" t="str">
        <f>HYPERLINK("http://phish.net/sideshows/mike-gordon/?showid=1321810146", "setlist")</f>
        <v>setlist</v>
      </c>
      <c r="D87" s="183" t="s">
        <v>3236</v>
      </c>
      <c r="E87" s="113" t="s">
        <v>162</v>
      </c>
      <c r="F87" s="114" t="s">
        <v>129</v>
      </c>
      <c r="G87" s="111"/>
      <c r="H87" s="359"/>
      <c r="I87" s="80"/>
      <c r="J87" s="80"/>
      <c r="K87" s="80"/>
      <c r="L87" s="80"/>
    </row>
    <row r="88">
      <c r="A88" s="350"/>
      <c r="B88" s="351"/>
      <c r="C88" s="362"/>
      <c r="D88" s="356" t="s">
        <v>3237</v>
      </c>
      <c r="E88" s="350"/>
      <c r="F88" s="351"/>
      <c r="G88" s="351"/>
      <c r="H88" s="351"/>
      <c r="I88" s="350"/>
      <c r="J88" s="350"/>
      <c r="K88" s="350"/>
      <c r="L88" s="350"/>
    </row>
    <row r="89">
      <c r="A89" s="110">
        <v>38145.0</v>
      </c>
      <c r="B89" s="111"/>
      <c r="C89" s="116" t="str">
        <f>HYPERLINK("http://phish.net/sideshows/mike-gordon/?showid=1321810146", "setlist")</f>
        <v>setlist</v>
      </c>
      <c r="D89" s="183" t="s">
        <v>3236</v>
      </c>
      <c r="E89" s="113" t="s">
        <v>162</v>
      </c>
      <c r="F89" s="114" t="s">
        <v>129</v>
      </c>
      <c r="G89" s="114" t="s">
        <v>36</v>
      </c>
      <c r="H89" s="135" t="str">
        <f>HYPERLINK("http://www.mediafire.com/?hxwbkb93amwe6", "download link")</f>
        <v>download link</v>
      </c>
      <c r="I89" s="80"/>
      <c r="J89" s="80"/>
      <c r="K89" s="80"/>
      <c r="L89" s="80"/>
    </row>
    <row r="90">
      <c r="A90" s="103">
        <v>38234.0</v>
      </c>
      <c r="B90" s="104"/>
      <c r="C90" s="105" t="str">
        <f>HYPERLINK("http://phish.net/sideshows/mike-gordon/?d="&amp;RIGHT(TEXT(A90,"mm/dd/yyyy"),4)&amp;"-"&amp;LEFT(TEXT(A90,"mm/dd/yyyy"),2)&amp;"-"&amp;MID(TEXT(A90,"mm/dd/yyyy"),4,2), "setlist")</f>
        <v>setlist</v>
      </c>
      <c r="D90" s="181" t="s">
        <v>3238</v>
      </c>
      <c r="E90" s="106" t="s">
        <v>3239</v>
      </c>
      <c r="F90" s="107" t="s">
        <v>129</v>
      </c>
      <c r="G90" s="107" t="s">
        <v>36</v>
      </c>
      <c r="H90" s="105" t="str">
        <f>HYPERLINK("http://www.mediafire.com/file/mdp6z97pwiji6wi/2004-09-04_-_Snow_Ridge_Ski_Resort_-_Turin%2C_NY.rar", "download link")</f>
        <v>download link</v>
      </c>
      <c r="I90" s="109"/>
      <c r="J90" s="109"/>
      <c r="K90" s="109"/>
      <c r="L90" s="109"/>
    </row>
    <row r="91">
      <c r="A91" s="350"/>
      <c r="B91" s="351"/>
      <c r="C91" s="362"/>
      <c r="D91" s="356" t="s">
        <v>3240</v>
      </c>
      <c r="E91" s="350"/>
      <c r="F91" s="351"/>
      <c r="G91" s="351"/>
      <c r="H91" s="351"/>
      <c r="I91" s="350"/>
      <c r="J91" s="350"/>
      <c r="K91" s="350"/>
      <c r="L91" s="350"/>
    </row>
    <row r="92">
      <c r="A92" s="110">
        <v>38256.0</v>
      </c>
      <c r="B92" s="111"/>
      <c r="C92" s="361" t="s">
        <v>40</v>
      </c>
      <c r="D92" s="183" t="s">
        <v>3241</v>
      </c>
      <c r="E92" s="113" t="s">
        <v>34</v>
      </c>
      <c r="F92" s="114" t="s">
        <v>35</v>
      </c>
      <c r="G92" s="114">
        <v>192.0</v>
      </c>
      <c r="H92" s="135" t="str">
        <f>HYPERLINK("http://www.mediafire.com/?hs3opt30l3d48", "download link")</f>
        <v>download link</v>
      </c>
      <c r="I92" s="80"/>
      <c r="J92" s="80"/>
      <c r="K92" s="80"/>
      <c r="L92" s="80"/>
    </row>
    <row r="93">
      <c r="A93" s="350"/>
      <c r="B93" s="351"/>
      <c r="C93" s="362"/>
      <c r="D93" s="356" t="s">
        <v>3237</v>
      </c>
      <c r="E93" s="350"/>
      <c r="F93" s="351"/>
      <c r="G93" s="351"/>
      <c r="H93" s="351"/>
      <c r="I93" s="350"/>
      <c r="J93" s="350"/>
      <c r="K93" s="350"/>
      <c r="L93" s="350"/>
    </row>
    <row r="94">
      <c r="A94" s="110">
        <v>38349.0</v>
      </c>
      <c r="B94" s="111"/>
      <c r="C94" s="116" t="str">
        <f t="shared" ref="C94:C96" si="8">HYPERLINK("http://phish.net/sideshows/mike-gordon/?d="&amp;RIGHT(TEXT(A94,"mm/dd/yyyy"),4)&amp;"-"&amp;LEFT(TEXT(A94,"mm/dd/yyyy"),2)&amp;"-"&amp;MID(TEXT(A94,"mm/dd/yyyy"),4,2), "setlist")</f>
        <v>setlist</v>
      </c>
      <c r="D94" s="183" t="s">
        <v>3242</v>
      </c>
      <c r="E94" s="113" t="s">
        <v>871</v>
      </c>
      <c r="F94" s="114" t="s">
        <v>212</v>
      </c>
      <c r="G94" s="114" t="s">
        <v>36</v>
      </c>
      <c r="H94" s="135" t="str">
        <f>HYPERLINK("http://www.mediafire.com/file/94p2q65k880ere2/2004-12-28_-_Theatre_of_the_Living_Arts_-_Philadelphia%2C_PA.rar", "download link")</f>
        <v>download link</v>
      </c>
      <c r="I94" s="80"/>
      <c r="J94" s="80"/>
      <c r="K94" s="80"/>
      <c r="L94" s="80"/>
    </row>
    <row r="95">
      <c r="A95" s="103">
        <v>38350.0</v>
      </c>
      <c r="B95" s="104"/>
      <c r="C95" s="105" t="str">
        <f t="shared" si="8"/>
        <v>setlist</v>
      </c>
      <c r="D95" s="181" t="s">
        <v>260</v>
      </c>
      <c r="E95" s="106" t="s">
        <v>94</v>
      </c>
      <c r="F95" s="107" t="s">
        <v>95</v>
      </c>
      <c r="G95" s="107" t="s">
        <v>36</v>
      </c>
      <c r="H95" s="105" t="str">
        <f>HYPERLINK("http://www.mediafire.com/?lq2qqurvc1jeb", "download link")</f>
        <v>download link</v>
      </c>
      <c r="I95" s="109"/>
      <c r="J95" s="109"/>
      <c r="K95" s="109"/>
      <c r="L95" s="109"/>
    </row>
    <row r="96">
      <c r="A96" s="110">
        <v>38351.0</v>
      </c>
      <c r="B96" s="111"/>
      <c r="C96" s="116" t="str">
        <f t="shared" si="8"/>
        <v>setlist</v>
      </c>
      <c r="D96" s="183" t="s">
        <v>2817</v>
      </c>
      <c r="E96" s="113" t="s">
        <v>2826</v>
      </c>
      <c r="F96" s="114" t="s">
        <v>35</v>
      </c>
      <c r="G96" s="114" t="s">
        <v>36</v>
      </c>
      <c r="H96" s="135" t="str">
        <f>HYPERLINK("http://www.mediafire.com/file/z0rc9yh30ykr68a/2004-12-30_-_Higher_Ground_-_South_Burlington%2C_VT.rar", "download link")</f>
        <v>download link</v>
      </c>
      <c r="I96" s="113" t="s">
        <v>2812</v>
      </c>
      <c r="J96" s="113"/>
      <c r="K96" s="113"/>
      <c r="L96" s="113"/>
    </row>
    <row r="97">
      <c r="A97" s="103">
        <v>38352.0</v>
      </c>
      <c r="B97" s="104"/>
      <c r="C97" s="105" t="str">
        <f>HYPERLINK("http://phish.net/sideshows/mike-gordon/?showid=1321810472", "setlist")</f>
        <v>setlist</v>
      </c>
      <c r="D97" s="181" t="s">
        <v>3236</v>
      </c>
      <c r="E97" s="106" t="s">
        <v>162</v>
      </c>
      <c r="F97" s="107" t="s">
        <v>129</v>
      </c>
      <c r="G97" s="104"/>
      <c r="H97" s="108"/>
      <c r="I97" s="109"/>
      <c r="J97" s="109"/>
      <c r="K97" s="109"/>
      <c r="L97" s="109"/>
    </row>
    <row r="98">
      <c r="A98" s="350"/>
      <c r="B98" s="351"/>
      <c r="C98" s="362"/>
      <c r="D98" s="356" t="s">
        <v>3237</v>
      </c>
      <c r="E98" s="350"/>
      <c r="F98" s="351"/>
      <c r="G98" s="351"/>
      <c r="H98" s="351"/>
      <c r="I98" s="350"/>
      <c r="J98" s="350"/>
      <c r="K98" s="350"/>
      <c r="L98" s="350"/>
    </row>
    <row r="99">
      <c r="A99" s="110">
        <v>38468.0</v>
      </c>
      <c r="B99" s="111"/>
      <c r="C99" s="116" t="str">
        <f>HYPERLINK("http://phish.net/sideshows/mike-gordon/?showid=1321811578", "setlist")</f>
        <v>setlist</v>
      </c>
      <c r="D99" s="183" t="s">
        <v>3243</v>
      </c>
      <c r="E99" s="113" t="s">
        <v>162</v>
      </c>
      <c r="F99" s="114" t="s">
        <v>129</v>
      </c>
      <c r="G99" s="111"/>
      <c r="H99" s="359"/>
      <c r="I99" s="80"/>
      <c r="J99" s="80"/>
      <c r="K99" s="80"/>
      <c r="L99" s="80"/>
    </row>
    <row r="100">
      <c r="A100" s="103">
        <v>38469.0</v>
      </c>
      <c r="B100" s="104"/>
      <c r="C100" s="105" t="str">
        <f>HYPERLINK("http://phish.net/sideshows/mike-gordon/?showid=1321811617", "setlist")</f>
        <v>setlist</v>
      </c>
      <c r="D100" s="181" t="s">
        <v>431</v>
      </c>
      <c r="E100" s="106" t="s">
        <v>432</v>
      </c>
      <c r="F100" s="107" t="s">
        <v>433</v>
      </c>
      <c r="G100" s="107" t="s">
        <v>36</v>
      </c>
      <c r="H100" s="105" t="str">
        <f>HYPERLINK("http://www.mediafire.com/download/rszroxw21994fox/2005-04-27_-_The_Georgia_Theatre_-_Athens,_GA.rar", "download link")</f>
        <v>download link</v>
      </c>
      <c r="I100" s="109"/>
      <c r="J100" s="109"/>
      <c r="K100" s="109"/>
      <c r="L100" s="109"/>
    </row>
    <row r="101">
      <c r="A101" s="142">
        <v>38470.0</v>
      </c>
      <c r="B101" s="144"/>
      <c r="C101" s="116" t="str">
        <f>HYPERLINK("http://phish.net/sideshows/mike-gordon/?d="&amp;RIGHT(TEXT(A101,"mm/dd/yyyy"),4)&amp;"-"&amp;LEFT(TEXT(A101,"mm/dd/yyyy"),2)&amp;"-"&amp;MID(TEXT(A101,"mm/dd/yyyy"),4,2), "setlist")</f>
        <v>setlist</v>
      </c>
      <c r="D101" s="272" t="s">
        <v>761</v>
      </c>
      <c r="E101" s="118" t="s">
        <v>437</v>
      </c>
      <c r="F101" s="115" t="s">
        <v>433</v>
      </c>
      <c r="G101" s="115" t="s">
        <v>36</v>
      </c>
      <c r="H101" s="116" t="str">
        <f>HYPERLINK("http://www.mediafire.com/?bnib47caeqqm0", "download link")</f>
        <v>download link</v>
      </c>
      <c r="I101" s="146"/>
      <c r="J101" s="146"/>
      <c r="K101" s="146"/>
      <c r="L101" s="146"/>
    </row>
    <row r="102">
      <c r="A102" s="103">
        <v>38472.0</v>
      </c>
      <c r="B102" s="104"/>
      <c r="C102" s="105" t="str">
        <f>HYPERLINK("http://phish.net/sideshows/mike-gordon/?showid=1321811703", "setlist")</f>
        <v>setlist</v>
      </c>
      <c r="D102" s="181" t="s">
        <v>3244</v>
      </c>
      <c r="E102" s="106" t="s">
        <v>585</v>
      </c>
      <c r="F102" s="107" t="s">
        <v>586</v>
      </c>
      <c r="G102" s="104"/>
      <c r="H102" s="108"/>
      <c r="I102" s="109"/>
      <c r="J102" s="109"/>
      <c r="K102" s="109"/>
      <c r="L102" s="109"/>
    </row>
    <row r="103">
      <c r="A103" s="142">
        <v>38513.0</v>
      </c>
      <c r="B103" s="144"/>
      <c r="C103" s="116" t="str">
        <f>HYPERLINK("http://phish.net/sideshows/mike-gordon/?d="&amp;RIGHT(TEXT(A103,"mm/dd/yyyy"),4)&amp;"-"&amp;LEFT(TEXT(A103,"mm/dd/yyyy"),2)&amp;"-"&amp;MID(TEXT(A103,"mm/dd/yyyy"),4,2), "setlist")</f>
        <v>setlist</v>
      </c>
      <c r="D103" s="272" t="s">
        <v>2333</v>
      </c>
      <c r="E103" s="118" t="s">
        <v>2332</v>
      </c>
      <c r="F103" s="115" t="s">
        <v>650</v>
      </c>
      <c r="G103" s="115" t="s">
        <v>36</v>
      </c>
      <c r="H103" s="116" t="str">
        <f>HYPERLINK("http://www.mediafire.com/?kolmf6ylu5hz1", "download link")</f>
        <v>download link</v>
      </c>
      <c r="I103" s="146"/>
      <c r="J103" s="146"/>
      <c r="K103" s="146"/>
      <c r="L103" s="146"/>
    </row>
    <row r="104">
      <c r="A104" s="350"/>
      <c r="B104" s="351"/>
      <c r="C104" s="362"/>
      <c r="D104" s="356" t="s">
        <v>3245</v>
      </c>
      <c r="E104" s="350"/>
      <c r="F104" s="351"/>
      <c r="G104" s="351"/>
      <c r="H104" s="351"/>
      <c r="I104" s="350"/>
      <c r="J104" s="350"/>
      <c r="K104" s="350"/>
      <c r="L104" s="350"/>
    </row>
    <row r="105">
      <c r="A105" s="110">
        <v>38522.0</v>
      </c>
      <c r="B105" s="111"/>
      <c r="C105" s="116" t="str">
        <f t="shared" ref="C105:C113" si="9">HYPERLINK("http://phish.net/sideshows/mike-gordon/?d="&amp;RIGHT(TEXT(A105,"mm/dd/yyyy"),4)&amp;"-"&amp;LEFT(TEXT(A105,"mm/dd/yyyy"),2)&amp;"-"&amp;MID(TEXT(A105,"mm/dd/yyyy"),4,2), "setlist")</f>
        <v>setlist</v>
      </c>
      <c r="D105" s="183" t="s">
        <v>2397</v>
      </c>
      <c r="E105" s="113" t="s">
        <v>202</v>
      </c>
      <c r="F105" s="114" t="s">
        <v>203</v>
      </c>
      <c r="G105" s="111"/>
      <c r="H105" s="138"/>
      <c r="I105" s="80"/>
      <c r="J105" s="80"/>
      <c r="K105" s="80"/>
      <c r="L105" s="80"/>
    </row>
    <row r="106">
      <c r="A106" s="103">
        <v>38524.0</v>
      </c>
      <c r="B106" s="104"/>
      <c r="C106" s="105" t="str">
        <f t="shared" si="9"/>
        <v>setlist</v>
      </c>
      <c r="D106" s="181" t="s">
        <v>500</v>
      </c>
      <c r="E106" s="106" t="s">
        <v>488</v>
      </c>
      <c r="F106" s="107" t="s">
        <v>203</v>
      </c>
      <c r="G106" s="104"/>
      <c r="H106" s="108"/>
      <c r="I106" s="109"/>
      <c r="J106" s="109"/>
      <c r="K106" s="109"/>
      <c r="L106" s="109"/>
    </row>
    <row r="107">
      <c r="A107" s="110">
        <v>38527.0</v>
      </c>
      <c r="B107" s="111"/>
      <c r="C107" s="116" t="str">
        <f t="shared" si="9"/>
        <v>setlist</v>
      </c>
      <c r="D107" s="183" t="s">
        <v>3246</v>
      </c>
      <c r="E107" s="113" t="s">
        <v>3247</v>
      </c>
      <c r="F107" s="114" t="s">
        <v>692</v>
      </c>
      <c r="G107" s="139" t="s">
        <v>36</v>
      </c>
      <c r="H107" s="116" t="str">
        <f>HYPERLINK("http://www.mediafire.com/file/wd7vngx002o0147/2005-06-24_-_Horning%27s_Hideout_-_North_Plains%2C_OR.rar", "download link")</f>
        <v>download link</v>
      </c>
      <c r="I107" s="80"/>
      <c r="J107" s="80"/>
      <c r="K107" s="80"/>
      <c r="L107" s="80"/>
    </row>
    <row r="108">
      <c r="A108" s="103">
        <v>38529.0</v>
      </c>
      <c r="B108" s="104"/>
      <c r="C108" s="105" t="str">
        <f t="shared" si="9"/>
        <v>setlist</v>
      </c>
      <c r="D108" s="181" t="s">
        <v>3248</v>
      </c>
      <c r="E108" s="106" t="s">
        <v>3249</v>
      </c>
      <c r="F108" s="107" t="s">
        <v>811</v>
      </c>
      <c r="G108" s="104"/>
      <c r="H108" s="108"/>
      <c r="I108" s="109"/>
      <c r="J108" s="109"/>
      <c r="K108" s="109"/>
      <c r="L108" s="109"/>
    </row>
    <row r="109">
      <c r="A109" s="110">
        <v>38531.0</v>
      </c>
      <c r="B109" s="111"/>
      <c r="C109" s="116" t="str">
        <f t="shared" si="9"/>
        <v>setlist</v>
      </c>
      <c r="D109" s="183" t="s">
        <v>3250</v>
      </c>
      <c r="E109" s="113" t="s">
        <v>804</v>
      </c>
      <c r="F109" s="114" t="s">
        <v>805</v>
      </c>
      <c r="G109" s="111"/>
      <c r="H109" s="138"/>
      <c r="I109" s="80"/>
      <c r="J109" s="80"/>
      <c r="K109" s="80"/>
      <c r="L109" s="80"/>
    </row>
    <row r="110">
      <c r="A110" s="103">
        <v>38532.0</v>
      </c>
      <c r="B110" s="104"/>
      <c r="C110" s="105" t="str">
        <f t="shared" si="9"/>
        <v>setlist</v>
      </c>
      <c r="D110" s="181" t="s">
        <v>3251</v>
      </c>
      <c r="E110" s="106" t="s">
        <v>3252</v>
      </c>
      <c r="F110" s="107" t="s">
        <v>805</v>
      </c>
      <c r="G110" s="104"/>
      <c r="H110" s="108"/>
      <c r="I110" s="109"/>
      <c r="J110" s="109"/>
      <c r="K110" s="109"/>
      <c r="L110" s="109"/>
    </row>
    <row r="111">
      <c r="A111" s="110">
        <v>38534.0</v>
      </c>
      <c r="B111" s="111"/>
      <c r="C111" s="116" t="str">
        <f t="shared" si="9"/>
        <v>setlist</v>
      </c>
      <c r="D111" s="183" t="s">
        <v>1297</v>
      </c>
      <c r="E111" s="113" t="s">
        <v>1298</v>
      </c>
      <c r="F111" s="114" t="s">
        <v>203</v>
      </c>
      <c r="G111" s="111"/>
      <c r="H111" s="138"/>
      <c r="I111" s="80"/>
      <c r="J111" s="80"/>
      <c r="K111" s="80"/>
      <c r="L111" s="80"/>
    </row>
    <row r="112">
      <c r="A112" s="103">
        <v>38535.0</v>
      </c>
      <c r="B112" s="104"/>
      <c r="C112" s="105" t="str">
        <f t="shared" si="9"/>
        <v>setlist</v>
      </c>
      <c r="D112" s="181" t="s">
        <v>3253</v>
      </c>
      <c r="E112" s="106" t="s">
        <v>3254</v>
      </c>
      <c r="F112" s="107" t="s">
        <v>679</v>
      </c>
      <c r="G112" s="104"/>
      <c r="H112" s="108"/>
      <c r="I112" s="109"/>
      <c r="J112" s="109"/>
      <c r="K112" s="109"/>
      <c r="L112" s="109"/>
    </row>
    <row r="113">
      <c r="A113" s="110">
        <v>38536.0</v>
      </c>
      <c r="B113" s="111"/>
      <c r="C113" s="116" t="str">
        <f t="shared" si="9"/>
        <v>setlist</v>
      </c>
      <c r="D113" s="183" t="s">
        <v>3110</v>
      </c>
      <c r="E113" s="113" t="s">
        <v>3111</v>
      </c>
      <c r="F113" s="114" t="s">
        <v>679</v>
      </c>
      <c r="G113" s="114" t="s">
        <v>36</v>
      </c>
      <c r="H113" s="135" t="str">
        <f>HYPERLINK("http://www.mediafire.com/?osps6xw477xso", "download link")</f>
        <v>download link</v>
      </c>
      <c r="I113" s="80"/>
      <c r="J113" s="80"/>
      <c r="K113" s="80"/>
      <c r="L113" s="80"/>
    </row>
    <row r="114">
      <c r="A114" s="103">
        <v>38574.0</v>
      </c>
      <c r="B114" s="104"/>
      <c r="C114" s="105" t="str">
        <f>HYPERLINK("http://phish.net/sideshows/mike-gordon/?showid=1321847141", "setlist")</f>
        <v>setlist</v>
      </c>
      <c r="D114" s="181" t="s">
        <v>897</v>
      </c>
      <c r="E114" s="106" t="s">
        <v>488</v>
      </c>
      <c r="F114" s="107" t="s">
        <v>203</v>
      </c>
      <c r="G114" s="104"/>
      <c r="H114" s="108"/>
      <c r="I114" s="109"/>
      <c r="J114" s="109"/>
      <c r="K114" s="109"/>
      <c r="L114" s="109"/>
    </row>
    <row r="115">
      <c r="A115" s="350"/>
      <c r="B115" s="351"/>
      <c r="C115" s="362"/>
      <c r="D115" s="356" t="s">
        <v>3255</v>
      </c>
      <c r="E115" s="350"/>
      <c r="F115" s="351"/>
      <c r="G115" s="351"/>
      <c r="H115" s="351"/>
      <c r="I115" s="350"/>
      <c r="J115" s="350"/>
      <c r="K115" s="350"/>
      <c r="L115" s="350"/>
    </row>
    <row r="116">
      <c r="A116" s="110">
        <v>38610.0</v>
      </c>
      <c r="B116" s="111"/>
      <c r="C116" s="116" t="str">
        <f t="shared" ref="C116:C126" si="10">HYPERLINK("http://phish.net/sideshows/mike-gordon/?d="&amp;RIGHT(TEXT(A116,"mm/dd/yyyy"),4)&amp;"-"&amp;LEFT(TEXT(A116,"mm/dd/yyyy"),2)&amp;"-"&amp;MID(TEXT(A116,"mm/dd/yyyy"),4,2), "setlist")</f>
        <v>setlist</v>
      </c>
      <c r="D116" s="183" t="s">
        <v>890</v>
      </c>
      <c r="E116" s="113" t="s">
        <v>891</v>
      </c>
      <c r="F116" s="114" t="s">
        <v>892</v>
      </c>
      <c r="G116" s="139" t="s">
        <v>36</v>
      </c>
      <c r="H116" s="135" t="str">
        <f>HYPERLINK("http://www.mediafire.com/file/5bgdsw2qa6waakw/2005-09-15_-_Liberty_Hall_-_Lawrence%2C_KS.rar", "download link")</f>
        <v>download link</v>
      </c>
      <c r="I116" s="80"/>
      <c r="J116" s="80"/>
      <c r="K116" s="80"/>
      <c r="L116" s="80"/>
    </row>
    <row r="117">
      <c r="A117" s="103">
        <v>38611.0</v>
      </c>
      <c r="B117" s="104"/>
      <c r="C117" s="105" t="str">
        <f t="shared" si="10"/>
        <v>setlist</v>
      </c>
      <c r="D117" s="181" t="s">
        <v>884</v>
      </c>
      <c r="E117" s="106" t="s">
        <v>885</v>
      </c>
      <c r="F117" s="107" t="s">
        <v>886</v>
      </c>
      <c r="G117" s="141" t="s">
        <v>36</v>
      </c>
      <c r="H117" s="105" t="str">
        <f>HYPERLINK("http://www.mediafire.com/file/1ixk2afgk8ilk4r/2005-09-16_-_Mississippi_Nights_-_St._Louis%2C_MO.rar", "download link")</f>
        <v>download link</v>
      </c>
      <c r="I117" s="109"/>
      <c r="J117" s="109"/>
      <c r="K117" s="109"/>
      <c r="L117" s="109"/>
    </row>
    <row r="118">
      <c r="A118" s="110">
        <v>38612.0</v>
      </c>
      <c r="B118" s="111"/>
      <c r="C118" s="116" t="str">
        <f t="shared" si="10"/>
        <v>setlist</v>
      </c>
      <c r="D118" s="183" t="s">
        <v>888</v>
      </c>
      <c r="E118" s="113" t="s">
        <v>439</v>
      </c>
      <c r="F118" s="114" t="s">
        <v>886</v>
      </c>
      <c r="G118" s="139" t="s">
        <v>36</v>
      </c>
      <c r="H118" s="135" t="str">
        <f>HYPERLINK("http://www.mediafire.com/file/i9u2pt3upq528oz/2005-09-17_-_The_Blue_Note_-_Columbia%2C_MO.rar", "download link")</f>
        <v>download link</v>
      </c>
      <c r="I118" s="80"/>
      <c r="J118" s="80"/>
      <c r="K118" s="80"/>
      <c r="L118" s="80"/>
    </row>
    <row r="119">
      <c r="A119" s="103">
        <v>38614.0</v>
      </c>
      <c r="B119" s="104"/>
      <c r="C119" s="105" t="str">
        <f t="shared" si="10"/>
        <v>setlist</v>
      </c>
      <c r="D119" s="181" t="s">
        <v>2953</v>
      </c>
      <c r="E119" s="106" t="s">
        <v>2327</v>
      </c>
      <c r="F119" s="107" t="s">
        <v>443</v>
      </c>
      <c r="G119" s="141" t="s">
        <v>36</v>
      </c>
      <c r="H119" s="105" t="str">
        <f>HYPERLINK("http://www.mediafire.com/file/ciw67ele6fe93k6/2005-09-19_-_The_Orange_Peel_-_Asheville%2C_NC.rar", "download link")</f>
        <v>download link</v>
      </c>
      <c r="I119" s="109"/>
      <c r="J119" s="109"/>
      <c r="K119" s="109"/>
      <c r="L119" s="109"/>
    </row>
    <row r="120">
      <c r="A120" s="110">
        <v>38616.0</v>
      </c>
      <c r="B120" s="111"/>
      <c r="C120" s="116" t="str">
        <f t="shared" si="10"/>
        <v>setlist</v>
      </c>
      <c r="D120" s="183" t="s">
        <v>761</v>
      </c>
      <c r="E120" s="113" t="s">
        <v>437</v>
      </c>
      <c r="F120" s="114" t="s">
        <v>433</v>
      </c>
      <c r="G120" s="139" t="s">
        <v>36</v>
      </c>
      <c r="H120" s="135" t="str">
        <f>HYPERLINK("http://www.mediafire.com/file/poo8ddlnd654itd/2005-09-21_-_Variety_Playhouse_-_Atlanta%2C_GA.rar", "download link")</f>
        <v>download link</v>
      </c>
      <c r="I120" s="80"/>
      <c r="J120" s="80"/>
      <c r="K120" s="80"/>
      <c r="L120" s="80"/>
    </row>
    <row r="121">
      <c r="A121" s="103">
        <v>38618.0</v>
      </c>
      <c r="B121" s="104"/>
      <c r="C121" s="105" t="str">
        <f t="shared" si="10"/>
        <v>setlist</v>
      </c>
      <c r="D121" s="181" t="s">
        <v>2404</v>
      </c>
      <c r="E121" s="106" t="s">
        <v>591</v>
      </c>
      <c r="F121" s="107" t="s">
        <v>589</v>
      </c>
      <c r="G121" s="104"/>
      <c r="H121" s="108"/>
      <c r="I121" s="109"/>
      <c r="J121" s="109"/>
      <c r="K121" s="109"/>
      <c r="L121" s="109"/>
    </row>
    <row r="122">
      <c r="A122" s="110">
        <v>38622.0</v>
      </c>
      <c r="B122" s="111"/>
      <c r="C122" s="116" t="str">
        <f t="shared" si="10"/>
        <v>setlist</v>
      </c>
      <c r="D122" s="183" t="s">
        <v>3256</v>
      </c>
      <c r="E122" s="113" t="s">
        <v>810</v>
      </c>
      <c r="F122" s="114" t="s">
        <v>811</v>
      </c>
      <c r="G122" s="111"/>
      <c r="H122" s="138"/>
      <c r="I122" s="80"/>
      <c r="J122" s="80"/>
      <c r="K122" s="80"/>
      <c r="L122" s="80"/>
    </row>
    <row r="123">
      <c r="A123" s="103">
        <v>38623.0</v>
      </c>
      <c r="B123" s="104"/>
      <c r="C123" s="105" t="str">
        <f t="shared" si="10"/>
        <v>setlist</v>
      </c>
      <c r="D123" s="181" t="s">
        <v>1306</v>
      </c>
      <c r="E123" s="106" t="s">
        <v>499</v>
      </c>
      <c r="F123" s="107" t="s">
        <v>203</v>
      </c>
      <c r="G123" s="107" t="s">
        <v>36</v>
      </c>
      <c r="H123" s="105" t="str">
        <f>HYPERLINK("http://www.mediafire.com/?7csxapj736bwb", "download link")</f>
        <v>download link</v>
      </c>
      <c r="I123" s="109"/>
      <c r="J123" s="109"/>
      <c r="K123" s="109"/>
      <c r="L123" s="109"/>
    </row>
    <row r="124">
      <c r="A124" s="110">
        <v>38625.0</v>
      </c>
      <c r="B124" s="111"/>
      <c r="C124" s="116" t="str">
        <f t="shared" si="10"/>
        <v>setlist</v>
      </c>
      <c r="D124" s="183" t="s">
        <v>2990</v>
      </c>
      <c r="E124" s="113" t="s">
        <v>3257</v>
      </c>
      <c r="F124" s="114" t="s">
        <v>679</v>
      </c>
      <c r="G124" s="139" t="s">
        <v>36</v>
      </c>
      <c r="H124" s="135" t="str">
        <f>HYPERLINK("http://www.mediafire.com/file/6r6kv3qzd3ldcdd/2005-09-30_-_House_of_Blues_-_West_Hollywood%2C_CA.rar", "download link")</f>
        <v>download link</v>
      </c>
      <c r="I124" s="80"/>
      <c r="J124" s="80"/>
      <c r="K124" s="80"/>
      <c r="L124" s="80"/>
    </row>
    <row r="125">
      <c r="A125" s="103">
        <v>38626.0</v>
      </c>
      <c r="B125" s="104"/>
      <c r="C125" s="105" t="str">
        <f t="shared" si="10"/>
        <v>setlist</v>
      </c>
      <c r="D125" s="181" t="s">
        <v>3258</v>
      </c>
      <c r="E125" s="106" t="s">
        <v>917</v>
      </c>
      <c r="F125" s="107" t="s">
        <v>679</v>
      </c>
      <c r="G125" s="104"/>
      <c r="H125" s="108"/>
      <c r="I125" s="109"/>
      <c r="J125" s="109"/>
      <c r="K125" s="109"/>
      <c r="L125" s="109"/>
    </row>
    <row r="126">
      <c r="A126" s="110">
        <v>38629.0</v>
      </c>
      <c r="B126" s="111"/>
      <c r="C126" s="116" t="str">
        <f t="shared" si="10"/>
        <v>setlist</v>
      </c>
      <c r="D126" s="183" t="s">
        <v>677</v>
      </c>
      <c r="E126" s="113" t="s">
        <v>678</v>
      </c>
      <c r="F126" s="114" t="s">
        <v>679</v>
      </c>
      <c r="G126" s="111"/>
      <c r="H126" s="138"/>
      <c r="I126" s="80"/>
      <c r="J126" s="80"/>
      <c r="K126" s="80"/>
      <c r="L126" s="80"/>
    </row>
    <row r="127">
      <c r="A127" s="103">
        <v>38631.0</v>
      </c>
      <c r="B127" s="104"/>
      <c r="C127" s="105" t="str">
        <f>HYPERLINK("http://phish.net/sideshows/mike-gordon/?showid=1321849937", "setlist")</f>
        <v>setlist</v>
      </c>
      <c r="D127" s="181" t="s">
        <v>2020</v>
      </c>
      <c r="E127" s="106" t="s">
        <v>683</v>
      </c>
      <c r="F127" s="107" t="s">
        <v>679</v>
      </c>
      <c r="G127" s="104"/>
      <c r="H127" s="108"/>
      <c r="I127" s="109"/>
      <c r="J127" s="109"/>
      <c r="K127" s="109"/>
      <c r="L127" s="109"/>
    </row>
    <row r="128">
      <c r="A128" s="110">
        <v>38634.0</v>
      </c>
      <c r="B128" s="111"/>
      <c r="C128" s="116" t="str">
        <f t="shared" ref="C128:C135" si="11">HYPERLINK("http://phish.net/sideshows/mike-gordon/?d="&amp;RIGHT(TEXT(A128,"mm/dd/yyyy"),4)&amp;"-"&amp;LEFT(TEXT(A128,"mm/dd/yyyy"),2)&amp;"-"&amp;MID(TEXT(A128,"mm/dd/yyyy"),4,2), "setlist")</f>
        <v>setlist</v>
      </c>
      <c r="D128" s="183" t="s">
        <v>1390</v>
      </c>
      <c r="E128" s="113" t="s">
        <v>791</v>
      </c>
      <c r="F128" s="114" t="s">
        <v>701</v>
      </c>
      <c r="G128" s="111"/>
      <c r="H128" s="138"/>
      <c r="I128" s="80"/>
      <c r="J128" s="80"/>
      <c r="K128" s="80"/>
      <c r="L128" s="80"/>
    </row>
    <row r="129">
      <c r="A129" s="103">
        <v>38643.0</v>
      </c>
      <c r="B129" s="104"/>
      <c r="C129" s="105" t="str">
        <f t="shared" si="11"/>
        <v>setlist</v>
      </c>
      <c r="D129" s="181" t="s">
        <v>704</v>
      </c>
      <c r="E129" s="106" t="s">
        <v>482</v>
      </c>
      <c r="F129" s="107" t="s">
        <v>483</v>
      </c>
      <c r="G129" s="104"/>
      <c r="H129" s="108"/>
      <c r="I129" s="109"/>
      <c r="J129" s="109"/>
      <c r="K129" s="109"/>
      <c r="L129" s="109"/>
    </row>
    <row r="130">
      <c r="A130" s="110">
        <v>38644.0</v>
      </c>
      <c r="B130" s="111"/>
      <c r="C130" s="116" t="str">
        <f t="shared" si="11"/>
        <v>setlist</v>
      </c>
      <c r="D130" s="183" t="s">
        <v>3226</v>
      </c>
      <c r="E130" s="113" t="s">
        <v>479</v>
      </c>
      <c r="F130" s="114" t="s">
        <v>480</v>
      </c>
      <c r="G130" s="139" t="s">
        <v>36</v>
      </c>
      <c r="H130" s="135" t="str">
        <f>HYPERLINK("http://www.mediafire.com/file/4v2ubjsjqtl750v/2005-10-19_-_Park_West_-_Chicago%2C_IL.rar", "download link")</f>
        <v>download link</v>
      </c>
      <c r="I130" s="80"/>
      <c r="J130" s="80"/>
      <c r="K130" s="80"/>
      <c r="L130" s="80"/>
    </row>
    <row r="131">
      <c r="A131" s="103">
        <v>38646.0</v>
      </c>
      <c r="B131" s="104"/>
      <c r="C131" s="105" t="str">
        <f t="shared" si="11"/>
        <v>setlist</v>
      </c>
      <c r="D131" s="181" t="s">
        <v>3259</v>
      </c>
      <c r="E131" s="106" t="s">
        <v>1289</v>
      </c>
      <c r="F131" s="107" t="s">
        <v>508</v>
      </c>
      <c r="G131" s="104"/>
      <c r="H131" s="108"/>
      <c r="I131" s="109"/>
      <c r="J131" s="109"/>
      <c r="K131" s="109"/>
      <c r="L131" s="109"/>
    </row>
    <row r="132">
      <c r="A132" s="110">
        <v>38647.0</v>
      </c>
      <c r="B132" s="111"/>
      <c r="C132" s="116" t="str">
        <f t="shared" si="11"/>
        <v>setlist</v>
      </c>
      <c r="D132" s="183" t="s">
        <v>942</v>
      </c>
      <c r="E132" s="113" t="s">
        <v>943</v>
      </c>
      <c r="F132" s="114" t="s">
        <v>472</v>
      </c>
      <c r="G132" s="139" t="s">
        <v>36</v>
      </c>
      <c r="H132" s="135" t="str">
        <f>HYPERLINK("http://www.mediafire.com/file/zwey7887o8p7rgd/2005-10-22_-_Bogart%27s_-_Cincinnati%2C_OH.rar", "download link")</f>
        <v>download link</v>
      </c>
      <c r="I132" s="80"/>
      <c r="J132" s="80"/>
      <c r="K132" s="80"/>
      <c r="L132" s="80"/>
    </row>
    <row r="133">
      <c r="A133" s="103">
        <v>38648.0</v>
      </c>
      <c r="B133" s="104"/>
      <c r="C133" s="105" t="str">
        <f t="shared" si="11"/>
        <v>setlist</v>
      </c>
      <c r="D133" s="181" t="s">
        <v>1086</v>
      </c>
      <c r="E133" s="106" t="s">
        <v>711</v>
      </c>
      <c r="F133" s="107" t="s">
        <v>712</v>
      </c>
      <c r="G133" s="104"/>
      <c r="H133" s="108"/>
      <c r="I133" s="109"/>
      <c r="J133" s="109"/>
      <c r="K133" s="109"/>
      <c r="L133" s="109"/>
    </row>
    <row r="134">
      <c r="A134" s="110">
        <v>38650.0</v>
      </c>
      <c r="B134" s="111"/>
      <c r="C134" s="116" t="str">
        <f t="shared" si="11"/>
        <v>setlist</v>
      </c>
      <c r="D134" s="183" t="s">
        <v>2817</v>
      </c>
      <c r="E134" s="113" t="s">
        <v>2826</v>
      </c>
      <c r="F134" s="114" t="s">
        <v>35</v>
      </c>
      <c r="G134" s="111"/>
      <c r="H134" s="138"/>
      <c r="I134" s="80"/>
      <c r="J134" s="80"/>
      <c r="K134" s="80"/>
      <c r="L134" s="80"/>
    </row>
    <row r="135">
      <c r="A135" s="103">
        <v>38651.0</v>
      </c>
      <c r="B135" s="104"/>
      <c r="C135" s="105" t="str">
        <f t="shared" si="11"/>
        <v>setlist</v>
      </c>
      <c r="D135" s="181" t="s">
        <v>458</v>
      </c>
      <c r="E135" s="106" t="s">
        <v>459</v>
      </c>
      <c r="F135" s="107" t="s">
        <v>171</v>
      </c>
      <c r="G135" s="104"/>
      <c r="H135" s="108"/>
      <c r="I135" s="109"/>
      <c r="J135" s="109"/>
      <c r="K135" s="109"/>
      <c r="L135" s="109"/>
    </row>
    <row r="136">
      <c r="A136" s="110">
        <v>38653.0</v>
      </c>
      <c r="B136" s="111"/>
      <c r="C136" s="116" t="str">
        <f>HYPERLINK("http://phish.net/sideshows/mike-gordon/?showid=1321850792", "setlist")</f>
        <v>setlist</v>
      </c>
      <c r="D136" s="183" t="s">
        <v>3260</v>
      </c>
      <c r="E136" s="113" t="s">
        <v>94</v>
      </c>
      <c r="F136" s="114" t="s">
        <v>95</v>
      </c>
      <c r="G136" s="114" t="s">
        <v>36</v>
      </c>
      <c r="H136" s="135" t="str">
        <f>HYPERLINK("http://www.mediafire.com/?66q4joh8enp06", "download link")</f>
        <v>download link</v>
      </c>
      <c r="I136" s="80"/>
      <c r="J136" s="80"/>
      <c r="K136" s="80"/>
      <c r="L136" s="80"/>
    </row>
    <row r="137">
      <c r="A137" s="103">
        <v>38654.0</v>
      </c>
      <c r="B137" s="104"/>
      <c r="C137" s="105" t="str">
        <f>HYPERLINK("http://phish.net/sideshows/mike-gordon/?showid=1321850979", "setlist")</f>
        <v>setlist</v>
      </c>
      <c r="D137" s="181" t="s">
        <v>3210</v>
      </c>
      <c r="E137" s="106" t="s">
        <v>162</v>
      </c>
      <c r="F137" s="107" t="s">
        <v>129</v>
      </c>
      <c r="G137" s="104"/>
      <c r="H137" s="108"/>
      <c r="I137" s="109"/>
      <c r="J137" s="109"/>
      <c r="K137" s="109"/>
      <c r="L137" s="109"/>
    </row>
    <row r="138">
      <c r="A138" s="110">
        <v>38655.0</v>
      </c>
      <c r="B138" s="111"/>
      <c r="C138" s="116" t="str">
        <f>HYPERLINK("http://phish.net/sideshows/mike-gordon/?showid=1321851061", "setlist")</f>
        <v>setlist</v>
      </c>
      <c r="D138" s="183" t="s">
        <v>3224</v>
      </c>
      <c r="E138" s="113" t="s">
        <v>871</v>
      </c>
      <c r="F138" s="114" t="s">
        <v>212</v>
      </c>
      <c r="G138" s="111"/>
      <c r="H138" s="138"/>
      <c r="I138" s="80"/>
      <c r="J138" s="80"/>
      <c r="K138" s="80"/>
      <c r="L138" s="80"/>
    </row>
    <row r="139">
      <c r="A139" s="103">
        <v>38657.0</v>
      </c>
      <c r="B139" s="104"/>
      <c r="C139" s="105" t="str">
        <f>HYPERLINK("http://phish.net/sideshows/mike-gordon/?d="&amp;RIGHT(TEXT(A139,"mm/dd/yyyy"),4)&amp;"-"&amp;LEFT(TEXT(A139,"mm/dd/yyyy"),2)&amp;"-"&amp;MID(TEXT(A139,"mm/dd/yyyy"),4,2), "setlist")</f>
        <v>setlist</v>
      </c>
      <c r="D139" s="181" t="s">
        <v>3261</v>
      </c>
      <c r="E139" s="106" t="s">
        <v>579</v>
      </c>
      <c r="F139" s="107" t="s">
        <v>446</v>
      </c>
      <c r="G139" s="141" t="s">
        <v>36</v>
      </c>
      <c r="H139" s="105" t="str">
        <f>HYPERLINK("http://www.mediafire.com/file/baqn8y892kdg1ca/2005-11-01_-_Starr_Hill_Music_Hall_-_Charlottesville%2C_VA.rar", "download link")</f>
        <v>download link</v>
      </c>
      <c r="I139" s="109"/>
      <c r="J139" s="109"/>
      <c r="K139" s="109"/>
      <c r="L139" s="109"/>
    </row>
    <row r="140">
      <c r="A140" s="110">
        <v>38658.0</v>
      </c>
      <c r="B140" s="111"/>
      <c r="C140" s="116" t="str">
        <f>HYPERLINK("http://phish.net/sideshows/mike-gordon/?showid=1321851194", "setlist")</f>
        <v>setlist</v>
      </c>
      <c r="D140" s="183" t="s">
        <v>2838</v>
      </c>
      <c r="E140" s="113" t="s">
        <v>393</v>
      </c>
      <c r="F140" s="114" t="s">
        <v>394</v>
      </c>
      <c r="G140" s="111"/>
      <c r="H140" s="138"/>
      <c r="I140" s="80"/>
      <c r="J140" s="80"/>
      <c r="K140" s="80"/>
      <c r="L140" s="80"/>
    </row>
    <row r="141">
      <c r="A141" s="350"/>
      <c r="B141" s="351"/>
      <c r="C141" s="362"/>
      <c r="D141" s="356" t="s">
        <v>2952</v>
      </c>
      <c r="E141" s="350"/>
      <c r="F141" s="351"/>
      <c r="G141" s="351"/>
      <c r="H141" s="351"/>
      <c r="I141" s="350"/>
      <c r="J141" s="350"/>
      <c r="K141" s="350"/>
      <c r="L141" s="350"/>
    </row>
    <row r="142">
      <c r="A142" s="110">
        <v>38702.0</v>
      </c>
      <c r="B142" s="111"/>
      <c r="C142" s="116" t="str">
        <f t="shared" ref="C142:C143" si="12">HYPERLINK("http://phish.net/sideshows/mike-gordon/?d="&amp;RIGHT(TEXT(A142,"mm/dd/yyyy"),4)&amp;"-"&amp;LEFT(TEXT(A142,"mm/dd/yyyy"),2)&amp;"-"&amp;MID(TEXT(A142,"mm/dd/yyyy"),4,2), "setlist")</f>
        <v>setlist</v>
      </c>
      <c r="D142" s="183" t="s">
        <v>2953</v>
      </c>
      <c r="E142" s="113" t="s">
        <v>2327</v>
      </c>
      <c r="F142" s="114" t="s">
        <v>443</v>
      </c>
      <c r="G142" s="111"/>
      <c r="H142" s="138"/>
      <c r="I142" s="80"/>
      <c r="J142" s="80"/>
      <c r="K142" s="80"/>
      <c r="L142" s="80"/>
    </row>
    <row r="143">
      <c r="A143" s="103">
        <v>38703.0</v>
      </c>
      <c r="B143" s="104"/>
      <c r="C143" s="105" t="str">
        <f t="shared" si="12"/>
        <v>setlist</v>
      </c>
      <c r="D143" s="181" t="s">
        <v>2326</v>
      </c>
      <c r="E143" s="106" t="s">
        <v>2327</v>
      </c>
      <c r="F143" s="107" t="s">
        <v>443</v>
      </c>
      <c r="G143" s="133" t="s">
        <v>36</v>
      </c>
      <c r="H143" s="105" t="str">
        <f>HYPERLINK("http://www.mediafire.com/?p61q1qb2832r1", "download link")</f>
        <v>download link</v>
      </c>
      <c r="I143" s="109"/>
      <c r="J143" s="109"/>
      <c r="K143" s="109"/>
      <c r="L143" s="109"/>
    </row>
    <row r="144">
      <c r="A144" s="350"/>
      <c r="B144" s="351"/>
      <c r="C144" s="362"/>
      <c r="D144" s="356" t="s">
        <v>3237</v>
      </c>
      <c r="E144" s="350"/>
      <c r="F144" s="351"/>
      <c r="G144" s="351"/>
      <c r="H144" s="351"/>
      <c r="I144" s="350"/>
      <c r="J144" s="350"/>
      <c r="K144" s="350"/>
      <c r="L144" s="350"/>
    </row>
    <row r="145">
      <c r="A145" s="110">
        <v>38712.0</v>
      </c>
      <c r="B145" s="111"/>
      <c r="C145" s="116" t="str">
        <f t="shared" ref="C145:C148" si="13">HYPERLINK("http://phish.net/sideshows/mike-gordon/?d="&amp;RIGHT(TEXT(A145,"mm/dd/yyyy"),4)&amp;"-"&amp;LEFT(TEXT(A145,"mm/dd/yyyy"),2)&amp;"-"&amp;MID(TEXT(A145,"mm/dd/yyyy"),4,2), "setlist")</f>
        <v>setlist</v>
      </c>
      <c r="D145" s="183" t="s">
        <v>3262</v>
      </c>
      <c r="E145" s="113" t="s">
        <v>2421</v>
      </c>
      <c r="F145" s="114" t="s">
        <v>43</v>
      </c>
      <c r="G145" s="114" t="s">
        <v>36</v>
      </c>
      <c r="H145" s="135" t="str">
        <f>HYPERLINK("http://www.mediafire.com/?vfte23b2rzv77", "download link")</f>
        <v>download link</v>
      </c>
      <c r="I145" s="80"/>
      <c r="J145" s="80"/>
      <c r="K145" s="80"/>
      <c r="L145" s="80"/>
    </row>
    <row r="146">
      <c r="A146" s="103">
        <v>38713.0</v>
      </c>
      <c r="B146" s="104"/>
      <c r="C146" s="105" t="str">
        <f t="shared" si="13"/>
        <v>setlist</v>
      </c>
      <c r="D146" s="181" t="s">
        <v>1193</v>
      </c>
      <c r="E146" s="106" t="s">
        <v>3263</v>
      </c>
      <c r="F146" s="107" t="s">
        <v>446</v>
      </c>
      <c r="G146" s="107" t="s">
        <v>36</v>
      </c>
      <c r="H146" s="105" t="str">
        <f>HYPERLINK("http://www.mediafire.com/?fv36e138hfbic", "download link")</f>
        <v>download link</v>
      </c>
      <c r="I146" s="109"/>
      <c r="J146" s="109"/>
      <c r="K146" s="109"/>
      <c r="L146" s="109"/>
    </row>
    <row r="147">
      <c r="A147" s="110">
        <v>38715.0</v>
      </c>
      <c r="B147" s="111"/>
      <c r="C147" s="116" t="str">
        <f t="shared" si="13"/>
        <v>setlist</v>
      </c>
      <c r="D147" s="183" t="s">
        <v>3264</v>
      </c>
      <c r="E147" s="113" t="s">
        <v>2635</v>
      </c>
      <c r="F147" s="114" t="s">
        <v>1133</v>
      </c>
      <c r="G147" s="111"/>
      <c r="H147" s="138"/>
      <c r="I147" s="80"/>
      <c r="J147" s="80"/>
      <c r="K147" s="80"/>
      <c r="L147" s="80"/>
    </row>
    <row r="148">
      <c r="A148" s="103">
        <v>38716.0</v>
      </c>
      <c r="B148" s="104"/>
      <c r="C148" s="105" t="str">
        <f t="shared" si="13"/>
        <v>setlist</v>
      </c>
      <c r="D148" s="181" t="s">
        <v>3265</v>
      </c>
      <c r="E148" s="106" t="s">
        <v>3154</v>
      </c>
      <c r="F148" s="107" t="s">
        <v>1133</v>
      </c>
      <c r="G148" s="107" t="s">
        <v>36</v>
      </c>
      <c r="H148" s="105" t="str">
        <f>HYPERLINK("http://www.mediafire.com/?uvt1wv8brf771", "download link")</f>
        <v>download link</v>
      </c>
      <c r="I148" s="109"/>
      <c r="J148" s="109"/>
      <c r="K148" s="109"/>
      <c r="L148" s="109"/>
    </row>
    <row r="149">
      <c r="A149" s="110">
        <v>38717.0</v>
      </c>
      <c r="B149" s="111"/>
      <c r="C149" s="116" t="str">
        <f>HYPERLINK("http://phish.net/sideshows/mike-gordon/?showid=1321812014", "setlist")</f>
        <v>setlist</v>
      </c>
      <c r="D149" s="183" t="s">
        <v>3266</v>
      </c>
      <c r="E149" s="113" t="s">
        <v>3007</v>
      </c>
      <c r="F149" s="114" t="s">
        <v>1133</v>
      </c>
      <c r="G149" s="111"/>
      <c r="H149" s="138"/>
      <c r="I149" s="80"/>
      <c r="J149" s="80"/>
      <c r="K149" s="80"/>
      <c r="L149" s="80"/>
    </row>
    <row r="150">
      <c r="A150" s="350"/>
      <c r="B150" s="351"/>
      <c r="C150" s="362"/>
      <c r="D150" s="356" t="s">
        <v>3267</v>
      </c>
      <c r="E150" s="350"/>
      <c r="F150" s="351"/>
      <c r="G150" s="351"/>
      <c r="H150" s="351"/>
      <c r="I150" s="350"/>
      <c r="J150" s="350"/>
      <c r="K150" s="350"/>
      <c r="L150" s="350"/>
    </row>
    <row r="151">
      <c r="A151" s="110">
        <v>38826.0</v>
      </c>
      <c r="B151" s="111"/>
      <c r="C151" s="116" t="str">
        <f t="shared" ref="C151:C152" si="14">HYPERLINK("http://phish.net/sideshows/mike-gordon/?d="&amp;RIGHT(TEXT(A151,"mm/dd/yyyy"),4)&amp;"-"&amp;LEFT(TEXT(A151,"mm/dd/yyyy"),2)&amp;"-"&amp;MID(TEXT(A151,"mm/dd/yyyy"),4,2), "setlist")</f>
        <v>setlist</v>
      </c>
      <c r="D151" s="183" t="s">
        <v>3268</v>
      </c>
      <c r="E151" s="113" t="s">
        <v>162</v>
      </c>
      <c r="F151" s="114" t="s">
        <v>129</v>
      </c>
      <c r="G151" s="111"/>
      <c r="H151" s="359"/>
      <c r="I151" s="80"/>
      <c r="J151" s="80"/>
      <c r="K151" s="80"/>
      <c r="L151" s="80"/>
    </row>
    <row r="152">
      <c r="A152" s="103">
        <v>38827.0</v>
      </c>
      <c r="B152" s="104"/>
      <c r="C152" s="105" t="str">
        <f t="shared" si="14"/>
        <v>setlist</v>
      </c>
      <c r="D152" s="181" t="s">
        <v>3243</v>
      </c>
      <c r="E152" s="106" t="s">
        <v>162</v>
      </c>
      <c r="F152" s="107" t="s">
        <v>129</v>
      </c>
      <c r="G152" s="107" t="s">
        <v>36</v>
      </c>
      <c r="H152" s="105" t="str">
        <f>HYPERLINK("http://www.mediafire.com/?6wiciagk84yc0", "download link")</f>
        <v>download link</v>
      </c>
      <c r="I152" s="109"/>
      <c r="J152" s="109"/>
      <c r="K152" s="109"/>
      <c r="L152" s="109"/>
    </row>
    <row r="153">
      <c r="A153" s="350"/>
      <c r="B153" s="351"/>
      <c r="C153" s="362"/>
      <c r="D153" s="356" t="s">
        <v>3269</v>
      </c>
      <c r="E153" s="350"/>
      <c r="F153" s="351"/>
      <c r="G153" s="351"/>
      <c r="H153" s="351"/>
      <c r="I153" s="350"/>
      <c r="J153" s="350"/>
      <c r="K153" s="350"/>
      <c r="L153" s="350"/>
    </row>
    <row r="154">
      <c r="A154" s="110">
        <v>38866.0</v>
      </c>
      <c r="B154" s="111"/>
      <c r="C154" s="116" t="str">
        <f t="shared" ref="C154:C159" si="15">HYPERLINK("http://phish.net/sideshows/mike-gordon/?d="&amp;RIGHT(TEXT(A154,"mm/dd/yyyy"),4)&amp;"-"&amp;LEFT(TEXT(A154,"mm/dd/yyyy"),2)&amp;"-"&amp;MID(TEXT(A154,"mm/dd/yyyy"),4,2), "setlist")</f>
        <v>setlist</v>
      </c>
      <c r="D154" s="183" t="s">
        <v>458</v>
      </c>
      <c r="E154" s="113" t="s">
        <v>459</v>
      </c>
      <c r="F154" s="114" t="s">
        <v>171</v>
      </c>
      <c r="G154" s="111"/>
      <c r="H154" s="138"/>
      <c r="I154" s="80"/>
      <c r="J154" s="80"/>
      <c r="K154" s="80"/>
      <c r="L154" s="80"/>
    </row>
    <row r="155">
      <c r="A155" s="103">
        <v>38867.0</v>
      </c>
      <c r="B155" s="104"/>
      <c r="C155" s="105" t="str">
        <f t="shared" si="15"/>
        <v>setlist</v>
      </c>
      <c r="D155" s="181" t="s">
        <v>260</v>
      </c>
      <c r="E155" s="106" t="s">
        <v>94</v>
      </c>
      <c r="F155" s="107" t="s">
        <v>95</v>
      </c>
      <c r="G155" s="107" t="s">
        <v>36</v>
      </c>
      <c r="H155" s="105" t="str">
        <f>HYPERLINK("http://www.mediafire.com/?7aera0a65wu5k", "download link")</f>
        <v>download link</v>
      </c>
      <c r="I155" s="109"/>
      <c r="J155" s="109"/>
      <c r="K155" s="109"/>
      <c r="L155" s="109"/>
    </row>
    <row r="156">
      <c r="A156" s="110">
        <v>38868.0</v>
      </c>
      <c r="B156" s="111"/>
      <c r="C156" s="116" t="str">
        <f t="shared" si="15"/>
        <v>setlist</v>
      </c>
      <c r="D156" s="183" t="s">
        <v>3210</v>
      </c>
      <c r="E156" s="113" t="s">
        <v>162</v>
      </c>
      <c r="F156" s="114" t="s">
        <v>129</v>
      </c>
      <c r="G156" s="111"/>
      <c r="H156" s="138"/>
      <c r="I156" s="113" t="s">
        <v>3270</v>
      </c>
      <c r="J156" s="113"/>
      <c r="K156" s="113"/>
      <c r="L156" s="113"/>
    </row>
    <row r="157">
      <c r="A157" s="103">
        <v>38870.0</v>
      </c>
      <c r="B157" s="104"/>
      <c r="C157" s="105" t="str">
        <f t="shared" si="15"/>
        <v>setlist</v>
      </c>
      <c r="D157" s="181" t="s">
        <v>2817</v>
      </c>
      <c r="E157" s="106" t="s">
        <v>2826</v>
      </c>
      <c r="F157" s="107" t="s">
        <v>35</v>
      </c>
      <c r="G157" s="104"/>
      <c r="H157" s="108"/>
      <c r="I157" s="106" t="s">
        <v>3271</v>
      </c>
      <c r="J157" s="106"/>
      <c r="K157" s="106"/>
      <c r="L157" s="106"/>
    </row>
    <row r="158">
      <c r="A158" s="110">
        <v>38871.0</v>
      </c>
      <c r="B158" s="111"/>
      <c r="C158" s="116" t="str">
        <f t="shared" si="15"/>
        <v>setlist</v>
      </c>
      <c r="D158" s="183" t="s">
        <v>301</v>
      </c>
      <c r="E158" s="113" t="s">
        <v>247</v>
      </c>
      <c r="F158" s="114" t="s">
        <v>95</v>
      </c>
      <c r="G158" s="111"/>
      <c r="H158" s="138"/>
      <c r="I158" s="80"/>
      <c r="J158" s="80"/>
      <c r="K158" s="80"/>
      <c r="L158" s="80"/>
    </row>
    <row r="159">
      <c r="A159" s="103">
        <v>38872.0</v>
      </c>
      <c r="B159" s="104"/>
      <c r="C159" s="105" t="str">
        <f t="shared" si="15"/>
        <v>setlist</v>
      </c>
      <c r="D159" s="181" t="s">
        <v>3272</v>
      </c>
      <c r="E159" s="106" t="s">
        <v>3273</v>
      </c>
      <c r="F159" s="107" t="s">
        <v>129</v>
      </c>
      <c r="G159" s="104"/>
      <c r="H159" s="108"/>
      <c r="I159" s="109"/>
      <c r="J159" s="109"/>
      <c r="K159" s="109"/>
      <c r="L159" s="109"/>
    </row>
    <row r="160">
      <c r="A160" s="110">
        <v>38884.0</v>
      </c>
      <c r="B160" s="111"/>
      <c r="C160" s="116" t="str">
        <f>HYPERLINK("http://phish.net/sideshows/mike-gordon/?showid=1321804489", "setlist")</f>
        <v>setlist</v>
      </c>
      <c r="D160" s="183" t="s">
        <v>2333</v>
      </c>
      <c r="E160" s="113" t="s">
        <v>2332</v>
      </c>
      <c r="F160" s="114" t="s">
        <v>650</v>
      </c>
      <c r="G160" s="111"/>
      <c r="H160" s="138"/>
      <c r="I160" s="80"/>
      <c r="J160" s="80"/>
      <c r="K160" s="80"/>
      <c r="L160" s="80"/>
    </row>
    <row r="161">
      <c r="A161" s="350"/>
      <c r="B161" s="351"/>
      <c r="C161" s="362"/>
      <c r="D161" s="356" t="s">
        <v>3274</v>
      </c>
      <c r="E161" s="350"/>
      <c r="F161" s="351"/>
      <c r="G161" s="351"/>
      <c r="H161" s="351"/>
      <c r="I161" s="350"/>
      <c r="J161" s="350"/>
      <c r="K161" s="350"/>
      <c r="L161" s="350"/>
    </row>
    <row r="162">
      <c r="A162" s="110">
        <v>38885.0</v>
      </c>
      <c r="B162" s="111"/>
      <c r="C162" s="116" t="str">
        <f>HYPERLINK("http://phish.net/sideshows/trey-anastasio-band/?showid=1318103701", "setlist")</f>
        <v>setlist</v>
      </c>
      <c r="D162" s="183" t="s">
        <v>2333</v>
      </c>
      <c r="E162" s="113" t="s">
        <v>2332</v>
      </c>
      <c r="F162" s="114" t="s">
        <v>650</v>
      </c>
      <c r="G162" s="148" t="s">
        <v>36</v>
      </c>
      <c r="H162" s="135" t="str">
        <f>HYPERLINK("http://www.mediafire.com/?yr0emid44jp7i", "download link")</f>
        <v>download link</v>
      </c>
      <c r="I162" s="80"/>
      <c r="J162" s="80"/>
      <c r="K162" s="80"/>
      <c r="L162" s="80"/>
    </row>
    <row r="163">
      <c r="A163" s="350"/>
      <c r="B163" s="351"/>
      <c r="C163" s="362"/>
      <c r="D163" s="356" t="s">
        <v>3237</v>
      </c>
      <c r="E163" s="350"/>
      <c r="F163" s="351"/>
      <c r="G163" s="351"/>
      <c r="H163" s="351"/>
      <c r="I163" s="350"/>
      <c r="J163" s="350"/>
      <c r="K163" s="350"/>
      <c r="L163" s="350"/>
    </row>
    <row r="164">
      <c r="A164" s="142">
        <v>38895.0</v>
      </c>
      <c r="B164" s="144"/>
      <c r="C164" s="116" t="str">
        <f>HYPERLINK("http://phish.net/sideshows/mike-gordon/?d="&amp;RIGHT(TEXT(A164,"mm/dd/yyyy"),4)&amp;"-"&amp;LEFT(TEXT(A164,"mm/dd/yyyy"),2)&amp;"-"&amp;MID(TEXT(A164,"mm/dd/yyyy"),4,2), "setlist")</f>
        <v>setlist</v>
      </c>
      <c r="D164" s="272" t="s">
        <v>2326</v>
      </c>
      <c r="E164" s="118" t="s">
        <v>2327</v>
      </c>
      <c r="F164" s="115" t="s">
        <v>443</v>
      </c>
      <c r="G164" s="115" t="s">
        <v>36</v>
      </c>
      <c r="H164" s="116" t="str">
        <f>HYPERLINK("http://www.mediafire.com/?i604ws7wj1x6j", "download link")</f>
        <v>download link</v>
      </c>
      <c r="I164" s="146"/>
      <c r="J164" s="146"/>
      <c r="K164" s="146"/>
      <c r="L164" s="146"/>
    </row>
    <row r="165">
      <c r="A165" s="350"/>
      <c r="B165" s="351"/>
      <c r="C165" s="362"/>
      <c r="D165" s="356" t="s">
        <v>3274</v>
      </c>
      <c r="E165" s="350"/>
      <c r="F165" s="351"/>
      <c r="G165" s="351"/>
      <c r="H165" s="351"/>
      <c r="I165" s="350"/>
      <c r="J165" s="350"/>
      <c r="K165" s="350"/>
      <c r="L165" s="350"/>
    </row>
    <row r="166">
      <c r="A166" s="110">
        <v>38896.0</v>
      </c>
      <c r="B166" s="111"/>
      <c r="C166" s="116" t="str">
        <f t="shared" ref="C166:C184" si="16">HYPERLINK("http://phish.net/sideshows/mike-gordon/?d="&amp;RIGHT(TEXT(A166,"mm/dd/yyyy"),4)&amp;"-"&amp;LEFT(TEXT(A166,"mm/dd/yyyy"),2)&amp;"-"&amp;MID(TEXT(A166,"mm/dd/yyyy"),4,2), "setlist")</f>
        <v>setlist</v>
      </c>
      <c r="D166" s="183" t="s">
        <v>2180</v>
      </c>
      <c r="E166" s="113" t="s">
        <v>536</v>
      </c>
      <c r="F166" s="114" t="s">
        <v>443</v>
      </c>
      <c r="G166" s="148" t="s">
        <v>36</v>
      </c>
      <c r="H166" s="135" t="str">
        <f>HYPERLINK("http://www.mediafire.com/?v5rxbad9dme8f", "download link")</f>
        <v>download link</v>
      </c>
      <c r="I166" s="80"/>
      <c r="J166" s="80"/>
      <c r="K166" s="80"/>
      <c r="L166" s="80"/>
    </row>
    <row r="167">
      <c r="A167" s="103">
        <v>38898.0</v>
      </c>
      <c r="B167" s="104"/>
      <c r="C167" s="105" t="str">
        <f t="shared" si="16"/>
        <v>setlist</v>
      </c>
      <c r="D167" s="181" t="s">
        <v>2272</v>
      </c>
      <c r="E167" s="106" t="s">
        <v>2070</v>
      </c>
      <c r="F167" s="107" t="s">
        <v>43</v>
      </c>
      <c r="G167" s="133" t="s">
        <v>36</v>
      </c>
      <c r="H167" s="105" t="str">
        <f>HYPERLINK("http://www.mediafire.com/file/ob9ccqs08b2mcct/2006-06-30_-_Tweeter_Center_at_the_Waterfront_-_Camden%2C_NJ.rar", "download link")</f>
        <v>download link</v>
      </c>
      <c r="I167" s="109"/>
      <c r="J167" s="109"/>
      <c r="K167" s="109"/>
      <c r="L167" s="109"/>
    </row>
    <row r="168">
      <c r="A168" s="110">
        <v>38899.0</v>
      </c>
      <c r="B168" s="111"/>
      <c r="C168" s="116" t="str">
        <f t="shared" si="16"/>
        <v>setlist</v>
      </c>
      <c r="D168" s="183" t="s">
        <v>2072</v>
      </c>
      <c r="E168" s="113" t="s">
        <v>992</v>
      </c>
      <c r="F168" s="114" t="s">
        <v>43</v>
      </c>
      <c r="G168" s="148" t="s">
        <v>36</v>
      </c>
      <c r="H168" s="135" t="str">
        <f>HYPERLINK("http://www.mediafire.com/?d3u4x4u2ajrxr", "download link")</f>
        <v>download link</v>
      </c>
      <c r="I168" s="80"/>
      <c r="J168" s="80"/>
      <c r="K168" s="80"/>
      <c r="L168" s="80"/>
    </row>
    <row r="169">
      <c r="A169" s="103">
        <v>38900.0</v>
      </c>
      <c r="B169" s="104"/>
      <c r="C169" s="105" t="str">
        <f t="shared" si="16"/>
        <v>setlist</v>
      </c>
      <c r="D169" s="181" t="s">
        <v>1015</v>
      </c>
      <c r="E169" s="106" t="s">
        <v>465</v>
      </c>
      <c r="F169" s="107" t="s">
        <v>129</v>
      </c>
      <c r="G169" s="133" t="s">
        <v>36</v>
      </c>
      <c r="H169" s="105" t="str">
        <f>HYPERLINK("http://www.mediafire.com/?yvupm0v81m6f8", "download link")</f>
        <v>download link</v>
      </c>
      <c r="I169" s="109"/>
      <c r="J169" s="109"/>
      <c r="K169" s="109"/>
      <c r="L169" s="109"/>
    </row>
    <row r="170">
      <c r="A170" s="110">
        <v>38901.0</v>
      </c>
      <c r="B170" s="111"/>
      <c r="C170" s="116" t="str">
        <f t="shared" si="16"/>
        <v>setlist</v>
      </c>
      <c r="D170" s="183" t="s">
        <v>2973</v>
      </c>
      <c r="E170" s="113" t="s">
        <v>323</v>
      </c>
      <c r="F170" s="114" t="s">
        <v>171</v>
      </c>
      <c r="G170" s="148" t="s">
        <v>36</v>
      </c>
      <c r="H170" s="135" t="str">
        <f>HYPERLINK("http://www.mediafire.com/?4gq5xcajd7imr", "download link")</f>
        <v>download link</v>
      </c>
      <c r="I170" s="80"/>
      <c r="J170" s="80"/>
      <c r="K170" s="80"/>
      <c r="L170" s="80"/>
    </row>
    <row r="171">
      <c r="A171" s="103">
        <v>38904.0</v>
      </c>
      <c r="B171" s="104"/>
      <c r="C171" s="105" t="str">
        <f t="shared" si="16"/>
        <v>setlist</v>
      </c>
      <c r="D171" s="181" t="s">
        <v>2071</v>
      </c>
      <c r="E171" s="106" t="s">
        <v>1004</v>
      </c>
      <c r="F171" s="107" t="s">
        <v>95</v>
      </c>
      <c r="G171" s="133" t="s">
        <v>36</v>
      </c>
      <c r="H171" s="105" t="str">
        <f>HYPERLINK("http://www.mediafire.com/?2ryha0lze1v3k", "download link")</f>
        <v>download link</v>
      </c>
      <c r="I171" s="109"/>
      <c r="J171" s="109"/>
      <c r="K171" s="109"/>
      <c r="L171" s="109"/>
    </row>
    <row r="172">
      <c r="A172" s="110">
        <v>38905.0</v>
      </c>
      <c r="B172" s="111"/>
      <c r="C172" s="116" t="str">
        <f t="shared" si="16"/>
        <v>setlist</v>
      </c>
      <c r="D172" s="183" t="s">
        <v>993</v>
      </c>
      <c r="E172" s="113" t="s">
        <v>994</v>
      </c>
      <c r="F172" s="114" t="s">
        <v>129</v>
      </c>
      <c r="G172" s="148" t="s">
        <v>36</v>
      </c>
      <c r="H172" s="135" t="str">
        <f>HYPERLINK("http://www.mediafire.com/?cg788cg2x78o8", "download link")</f>
        <v>download link</v>
      </c>
      <c r="I172" s="80"/>
      <c r="J172" s="80"/>
      <c r="K172" s="80"/>
      <c r="L172" s="80"/>
    </row>
    <row r="173">
      <c r="A173" s="103">
        <v>38906.0</v>
      </c>
      <c r="B173" s="104"/>
      <c r="C173" s="105" t="str">
        <f t="shared" si="16"/>
        <v>setlist</v>
      </c>
      <c r="D173" s="181" t="s">
        <v>1278</v>
      </c>
      <c r="E173" s="106" t="s">
        <v>1279</v>
      </c>
      <c r="F173" s="107" t="s">
        <v>129</v>
      </c>
      <c r="G173" s="133" t="s">
        <v>36</v>
      </c>
      <c r="H173" s="105" t="str">
        <f>HYPERLINK("http://www.mediafire.com/?e4z86r02a179h", "download link")</f>
        <v>download link</v>
      </c>
      <c r="I173" s="109"/>
      <c r="J173" s="109"/>
      <c r="K173" s="109"/>
      <c r="L173" s="109"/>
    </row>
    <row r="174">
      <c r="A174" s="110">
        <v>38907.0</v>
      </c>
      <c r="B174" s="111"/>
      <c r="C174" s="116" t="str">
        <f t="shared" si="16"/>
        <v>setlist</v>
      </c>
      <c r="D174" s="183" t="s">
        <v>2425</v>
      </c>
      <c r="E174" s="113" t="s">
        <v>2426</v>
      </c>
      <c r="F174" s="114" t="s">
        <v>129</v>
      </c>
      <c r="G174" s="148" t="s">
        <v>36</v>
      </c>
      <c r="H174" s="135" t="str">
        <f>HYPERLINK("http://www.mediafire.com/?6nql8zf3dnz7e", "download link")</f>
        <v>download link</v>
      </c>
      <c r="I174" s="80"/>
      <c r="J174" s="80"/>
      <c r="K174" s="80"/>
      <c r="L174" s="80"/>
    </row>
    <row r="175">
      <c r="A175" s="103">
        <v>38909.0</v>
      </c>
      <c r="B175" s="104"/>
      <c r="C175" s="105" t="str">
        <f t="shared" si="16"/>
        <v>setlist</v>
      </c>
      <c r="D175" s="181" t="s">
        <v>2975</v>
      </c>
      <c r="E175" s="106" t="s">
        <v>2976</v>
      </c>
      <c r="F175" s="107" t="s">
        <v>212</v>
      </c>
      <c r="G175" s="133" t="s">
        <v>36</v>
      </c>
      <c r="H175" s="105" t="str">
        <f>HYPERLINK("http://www.mediafire.com/?e1j0jdb3edj3l", "download link")</f>
        <v>download link</v>
      </c>
      <c r="I175" s="109"/>
      <c r="J175" s="109"/>
      <c r="K175" s="109"/>
      <c r="L175" s="109"/>
    </row>
    <row r="176">
      <c r="A176" s="110">
        <v>38910.0</v>
      </c>
      <c r="B176" s="111"/>
      <c r="C176" s="116" t="str">
        <f t="shared" si="16"/>
        <v>setlist</v>
      </c>
      <c r="D176" s="183" t="s">
        <v>2462</v>
      </c>
      <c r="E176" s="113" t="s">
        <v>2463</v>
      </c>
      <c r="F176" s="114" t="s">
        <v>35</v>
      </c>
      <c r="G176" s="148">
        <v>192.0</v>
      </c>
      <c r="H176" s="135" t="str">
        <f>HYPERLINK("http://www.mediafire.com/?m7ij2vqw3nvxs", "download link")</f>
        <v>download link</v>
      </c>
      <c r="I176" s="113" t="s">
        <v>2812</v>
      </c>
      <c r="J176" s="113"/>
      <c r="K176" s="113"/>
      <c r="L176" s="113"/>
    </row>
    <row r="177">
      <c r="A177" s="103">
        <v>38912.0</v>
      </c>
      <c r="B177" s="104"/>
      <c r="C177" s="105" t="str">
        <f t="shared" si="16"/>
        <v>setlist</v>
      </c>
      <c r="D177" s="181" t="s">
        <v>2977</v>
      </c>
      <c r="E177" s="106" t="s">
        <v>2978</v>
      </c>
      <c r="F177" s="107" t="s">
        <v>874</v>
      </c>
      <c r="G177" s="133" t="s">
        <v>36</v>
      </c>
      <c r="H177" s="105" t="str">
        <f>HYPERLINK("http://www.mediafire.com/?x4vouu1nut89l", "download link")</f>
        <v>download link</v>
      </c>
      <c r="I177" s="109"/>
      <c r="J177" s="109"/>
      <c r="K177" s="109"/>
      <c r="L177" s="109"/>
    </row>
    <row r="178">
      <c r="A178" s="110">
        <v>38913.0</v>
      </c>
      <c r="B178" s="111"/>
      <c r="C178" s="116" t="str">
        <f t="shared" si="16"/>
        <v>setlist</v>
      </c>
      <c r="D178" s="183" t="s">
        <v>1270</v>
      </c>
      <c r="E178" s="113" t="s">
        <v>437</v>
      </c>
      <c r="F178" s="114" t="s">
        <v>433</v>
      </c>
      <c r="G178" s="148" t="s">
        <v>36</v>
      </c>
      <c r="H178" s="135" t="str">
        <f>HYPERLINK("http://www.mediafire.com/?yircg7im9s3kn", "download link")</f>
        <v>download link</v>
      </c>
      <c r="I178" s="80"/>
      <c r="J178" s="80"/>
      <c r="K178" s="80"/>
      <c r="L178" s="80"/>
    </row>
    <row r="179">
      <c r="A179" s="103">
        <v>38914.0</v>
      </c>
      <c r="B179" s="104"/>
      <c r="C179" s="105" t="str">
        <f t="shared" si="16"/>
        <v>setlist</v>
      </c>
      <c r="D179" s="181" t="s">
        <v>2918</v>
      </c>
      <c r="E179" s="106" t="s">
        <v>652</v>
      </c>
      <c r="F179" s="107" t="s">
        <v>650</v>
      </c>
      <c r="G179" s="133">
        <v>192.0</v>
      </c>
      <c r="H179" s="105" t="str">
        <f>HYPERLINK("http://www.mediafire.com/?6uelql2vjrn16", "download link")</f>
        <v>download link</v>
      </c>
      <c r="I179" s="109"/>
      <c r="J179" s="109"/>
      <c r="K179" s="109"/>
      <c r="L179" s="109"/>
    </row>
    <row r="180">
      <c r="A180" s="110">
        <v>38915.0</v>
      </c>
      <c r="B180" s="111"/>
      <c r="C180" s="116" t="str">
        <f t="shared" si="16"/>
        <v>setlist</v>
      </c>
      <c r="D180" s="183" t="s">
        <v>2979</v>
      </c>
      <c r="E180" s="113" t="s">
        <v>1090</v>
      </c>
      <c r="F180" s="114" t="s">
        <v>1091</v>
      </c>
      <c r="G180" s="158"/>
      <c r="H180" s="138"/>
      <c r="I180" s="80"/>
      <c r="J180" s="80"/>
      <c r="K180" s="80"/>
      <c r="L180" s="80"/>
    </row>
    <row r="181">
      <c r="A181" s="103">
        <v>38916.0</v>
      </c>
      <c r="B181" s="104"/>
      <c r="C181" s="105" t="str">
        <f t="shared" si="16"/>
        <v>setlist</v>
      </c>
      <c r="D181" s="181" t="s">
        <v>2980</v>
      </c>
      <c r="E181" s="106" t="s">
        <v>1090</v>
      </c>
      <c r="F181" s="107" t="s">
        <v>1091</v>
      </c>
      <c r="G181" s="133" t="s">
        <v>36</v>
      </c>
      <c r="H181" s="105" t="str">
        <f>HYPERLINK("http://www.mediafire.com/?54jcnokrcnzin", "download link")</f>
        <v>download link</v>
      </c>
      <c r="I181" s="109"/>
      <c r="J181" s="109"/>
      <c r="K181" s="109"/>
      <c r="L181" s="109"/>
    </row>
    <row r="182">
      <c r="A182" s="142">
        <v>38917.0</v>
      </c>
      <c r="B182" s="144"/>
      <c r="C182" s="116" t="str">
        <f t="shared" si="16"/>
        <v>setlist</v>
      </c>
      <c r="D182" s="272" t="s">
        <v>2981</v>
      </c>
      <c r="E182" s="118" t="s">
        <v>773</v>
      </c>
      <c r="F182" s="115" t="s">
        <v>472</v>
      </c>
      <c r="G182" s="151" t="s">
        <v>36</v>
      </c>
      <c r="H182" s="116" t="str">
        <f>HYPERLINK("http://www.mediafire.com/?8cswrmrz6ug92", "download link")</f>
        <v>download link</v>
      </c>
      <c r="I182" s="146"/>
      <c r="J182" s="146"/>
      <c r="K182" s="146"/>
      <c r="L182" s="146"/>
    </row>
    <row r="183">
      <c r="A183" s="103">
        <v>38918.0</v>
      </c>
      <c r="B183" s="104"/>
      <c r="C183" s="105" t="str">
        <f t="shared" si="16"/>
        <v>setlist</v>
      </c>
      <c r="D183" s="181" t="s">
        <v>2932</v>
      </c>
      <c r="E183" s="106" t="s">
        <v>479</v>
      </c>
      <c r="F183" s="107" t="s">
        <v>480</v>
      </c>
      <c r="G183" s="133">
        <v>192.0</v>
      </c>
      <c r="H183" s="105" t="str">
        <f>HYPERLINK("http://www.mediafire.com/?b2tz59xwisg9b", "download link")</f>
        <v>download link</v>
      </c>
      <c r="I183" s="109"/>
      <c r="J183" s="109"/>
      <c r="K183" s="109"/>
      <c r="L183" s="109"/>
    </row>
    <row r="184">
      <c r="A184" s="142">
        <v>38920.0</v>
      </c>
      <c r="B184" s="144"/>
      <c r="C184" s="116" t="str">
        <f t="shared" si="16"/>
        <v>setlist</v>
      </c>
      <c r="D184" s="272" t="s">
        <v>2927</v>
      </c>
      <c r="E184" s="118" t="s">
        <v>2928</v>
      </c>
      <c r="F184" s="115" t="s">
        <v>486</v>
      </c>
      <c r="G184" s="151" t="s">
        <v>36</v>
      </c>
      <c r="H184" s="116" t="str">
        <f>HYPERLINK("http://www.mediafire.com/?okxq6jch419x2", "download link")</f>
        <v>download link</v>
      </c>
      <c r="I184" s="146"/>
      <c r="J184" s="146"/>
      <c r="K184" s="146"/>
      <c r="L184" s="146"/>
    </row>
    <row r="185">
      <c r="A185" s="350"/>
      <c r="B185" s="351"/>
      <c r="C185" s="362"/>
      <c r="D185" s="356" t="s">
        <v>3269</v>
      </c>
      <c r="E185" s="350"/>
      <c r="F185" s="351"/>
      <c r="G185" s="351"/>
      <c r="H185" s="351"/>
      <c r="I185" s="350"/>
      <c r="J185" s="350"/>
      <c r="K185" s="350"/>
      <c r="L185" s="350"/>
    </row>
    <row r="186">
      <c r="A186" s="110">
        <v>38933.0</v>
      </c>
      <c r="B186" s="111"/>
      <c r="C186" s="116" t="str">
        <f>HYPERLINK("http://phish.net/sideshows/mike-gordon/?showid=1321804727", "setlist")</f>
        <v>setlist</v>
      </c>
      <c r="D186" s="183" t="s">
        <v>3275</v>
      </c>
      <c r="E186" s="113" t="s">
        <v>3276</v>
      </c>
      <c r="F186" s="114" t="s">
        <v>3277</v>
      </c>
      <c r="G186" s="111"/>
      <c r="H186" s="359"/>
      <c r="I186" s="80"/>
      <c r="J186" s="80"/>
      <c r="K186" s="80"/>
      <c r="L186" s="80"/>
    </row>
    <row r="187">
      <c r="A187" s="350"/>
      <c r="B187" s="351"/>
      <c r="C187" s="362"/>
      <c r="D187" s="356" t="s">
        <v>3278</v>
      </c>
      <c r="E187" s="350"/>
      <c r="F187" s="351"/>
      <c r="G187" s="351"/>
      <c r="H187" s="351"/>
      <c r="I187" s="350"/>
      <c r="J187" s="350"/>
      <c r="K187" s="350"/>
      <c r="L187" s="350"/>
    </row>
    <row r="188">
      <c r="A188" s="110">
        <v>38945.0</v>
      </c>
      <c r="B188" s="111"/>
      <c r="C188" s="116" t="str">
        <f t="shared" ref="C188:C191" si="17">HYPERLINK("http://phish.net/sideshows/mike-gordon/?d="&amp;RIGHT(TEXT(A188,"mm/dd/yyyy"),4)&amp;"-"&amp;LEFT(TEXT(A188,"mm/dd/yyyy"),2)&amp;"-"&amp;MID(TEXT(A188,"mm/dd/yyyy"),4,2), "setlist")</f>
        <v>setlist</v>
      </c>
      <c r="D188" s="183" t="s">
        <v>2817</v>
      </c>
      <c r="E188" s="113" t="s">
        <v>2826</v>
      </c>
      <c r="F188" s="114" t="s">
        <v>35</v>
      </c>
      <c r="G188" s="111"/>
      <c r="H188" s="138"/>
      <c r="I188" s="80"/>
      <c r="J188" s="80"/>
      <c r="K188" s="80"/>
      <c r="L188" s="80"/>
    </row>
    <row r="189">
      <c r="A189" s="103">
        <v>38946.0</v>
      </c>
      <c r="B189" s="104"/>
      <c r="C189" s="105" t="str">
        <f t="shared" si="17"/>
        <v>setlist</v>
      </c>
      <c r="D189" s="181" t="s">
        <v>2817</v>
      </c>
      <c r="E189" s="106" t="s">
        <v>2826</v>
      </c>
      <c r="F189" s="107" t="s">
        <v>35</v>
      </c>
      <c r="G189" s="104"/>
      <c r="H189" s="108"/>
      <c r="I189" s="109"/>
      <c r="J189" s="109"/>
      <c r="K189" s="109"/>
      <c r="L189" s="109"/>
    </row>
    <row r="190">
      <c r="A190" s="110">
        <v>38947.0</v>
      </c>
      <c r="B190" s="111"/>
      <c r="C190" s="116" t="str">
        <f t="shared" si="17"/>
        <v>setlist</v>
      </c>
      <c r="D190" s="183" t="s">
        <v>3279</v>
      </c>
      <c r="E190" s="113" t="s">
        <v>3280</v>
      </c>
      <c r="F190" s="114" t="s">
        <v>446</v>
      </c>
      <c r="G190" s="139" t="s">
        <v>36</v>
      </c>
      <c r="H190" s="135" t="str">
        <f>HYPERLINK("http://www.mediafire.com/file/7loi9fxfzmnb11f/2006-08-18_-_The_Birchmere_-_Alexandria%2C_VA.rar", "download link")</f>
        <v>download link</v>
      </c>
      <c r="I190" s="80"/>
      <c r="J190" s="80"/>
      <c r="K190" s="80"/>
      <c r="L190" s="80"/>
    </row>
    <row r="191">
      <c r="A191" s="103">
        <v>38948.0</v>
      </c>
      <c r="B191" s="104"/>
      <c r="C191" s="105" t="str">
        <f t="shared" si="17"/>
        <v>setlist</v>
      </c>
      <c r="D191" s="181" t="s">
        <v>3281</v>
      </c>
      <c r="E191" s="106" t="s">
        <v>3282</v>
      </c>
      <c r="F191" s="107" t="s">
        <v>129</v>
      </c>
      <c r="G191" s="107" t="s">
        <v>36</v>
      </c>
      <c r="H191" s="105" t="str">
        <f>HYPERLINK("http://www.mediafire.com/?rmbxit83kxwaz", "download link")</f>
        <v>download link</v>
      </c>
      <c r="I191" s="109"/>
      <c r="J191" s="109"/>
      <c r="K191" s="109"/>
      <c r="L191" s="109"/>
    </row>
    <row r="192">
      <c r="A192" s="350"/>
      <c r="B192" s="351"/>
      <c r="C192" s="362"/>
      <c r="D192" s="356" t="s">
        <v>3269</v>
      </c>
      <c r="E192" s="350"/>
      <c r="F192" s="351"/>
      <c r="G192" s="351"/>
      <c r="H192" s="351"/>
      <c r="I192" s="350"/>
      <c r="J192" s="350"/>
      <c r="K192" s="350"/>
      <c r="L192" s="350"/>
    </row>
    <row r="193">
      <c r="A193" s="110">
        <v>38963.0</v>
      </c>
      <c r="B193" s="111"/>
      <c r="C193" s="116" t="str">
        <f>HYPERLINK("http://phish.net/sideshows/mike-gordon/?d="&amp;RIGHT(TEXT(A193,"mm/dd/yyyy"),4)&amp;"-"&amp;LEFT(TEXT(A193,"mm/dd/yyyy"),2)&amp;"-"&amp;MID(TEXT(A193,"mm/dd/yyyy"),4,2), "setlist")</f>
        <v>setlist</v>
      </c>
      <c r="D193" s="183" t="s">
        <v>3238</v>
      </c>
      <c r="E193" s="113" t="s">
        <v>3239</v>
      </c>
      <c r="F193" s="114" t="s">
        <v>129</v>
      </c>
      <c r="G193" s="114" t="s">
        <v>36</v>
      </c>
      <c r="H193" s="135" t="str">
        <f>HYPERLINK("http://www.mediafire.com/?d04sj8183451t", "download link")</f>
        <v>download link</v>
      </c>
      <c r="I193" s="80"/>
      <c r="J193" s="80"/>
      <c r="K193" s="80"/>
      <c r="L193" s="80"/>
    </row>
    <row r="194">
      <c r="A194" s="350"/>
      <c r="B194" s="351"/>
      <c r="C194" s="362"/>
      <c r="D194" s="356" t="s">
        <v>3283</v>
      </c>
      <c r="E194" s="350"/>
      <c r="F194" s="351"/>
      <c r="G194" s="351"/>
      <c r="H194" s="351"/>
      <c r="I194" s="350"/>
      <c r="J194" s="350"/>
      <c r="K194" s="350"/>
      <c r="L194" s="350"/>
    </row>
    <row r="195">
      <c r="A195" s="110">
        <v>39007.0</v>
      </c>
      <c r="B195" s="111"/>
      <c r="C195" s="116" t="str">
        <f>HYPERLINK("http://phish.net/sideshows/mike-gordon/?d="&amp;RIGHT(TEXT(A195,"mm/dd/yyyy"),4)&amp;"-"&amp;LEFT(TEXT(A195,"mm/dd/yyyy"),2)&amp;"-"&amp;MID(TEXT(A195,"mm/dd/yyyy"),4,2), "setlist")</f>
        <v>setlist</v>
      </c>
      <c r="D195" s="183" t="s">
        <v>3284</v>
      </c>
      <c r="E195" s="113" t="s">
        <v>3285</v>
      </c>
      <c r="F195" s="114" t="s">
        <v>212</v>
      </c>
      <c r="G195" s="114" t="s">
        <v>36</v>
      </c>
      <c r="H195" s="135" t="str">
        <f>HYPERLINK("http://www.mediafire.com/?13nys125adhuy", "download link")</f>
        <v>download link</v>
      </c>
      <c r="I195" s="80"/>
      <c r="J195" s="80"/>
      <c r="K195" s="80"/>
      <c r="L195" s="80"/>
    </row>
    <row r="196">
      <c r="A196" s="103">
        <v>39008.0</v>
      </c>
      <c r="B196" s="104"/>
      <c r="C196" s="105" t="str">
        <f>HYPERLINK("http://phish.net/sideshows/mike-gordon/?showid=1324843068", "setlist")</f>
        <v>setlist</v>
      </c>
      <c r="D196" s="181" t="s">
        <v>3286</v>
      </c>
      <c r="E196" s="106" t="s">
        <v>3287</v>
      </c>
      <c r="F196" s="107" t="s">
        <v>43</v>
      </c>
      <c r="G196" s="107" t="s">
        <v>36</v>
      </c>
      <c r="H196" s="105" t="str">
        <f>HYPERLINK("http://www.mediafire.com/?360dn6d2vin1k", "download link")</f>
        <v>download link</v>
      </c>
      <c r="I196" s="109"/>
      <c r="J196" s="109"/>
      <c r="K196" s="109"/>
      <c r="L196" s="109"/>
    </row>
    <row r="197">
      <c r="A197" s="110">
        <v>39009.0</v>
      </c>
      <c r="B197" s="111"/>
      <c r="C197" s="116" t="str">
        <f>HYPERLINK("http://phish.net/sideshows/mike-gordon/?showid=1324843101", "setlist")</f>
        <v>setlist</v>
      </c>
      <c r="D197" s="183" t="s">
        <v>3039</v>
      </c>
      <c r="E197" s="113" t="s">
        <v>471</v>
      </c>
      <c r="F197" s="114" t="s">
        <v>472</v>
      </c>
      <c r="G197" s="114" t="s">
        <v>36</v>
      </c>
      <c r="H197" s="135" t="str">
        <f>HYPERLINK("http://www.mediafire.com/?baabqsvuek9fo", "download link")</f>
        <v>download link</v>
      </c>
      <c r="I197" s="80"/>
      <c r="J197" s="80"/>
      <c r="K197" s="80"/>
      <c r="L197" s="80"/>
    </row>
    <row r="198">
      <c r="A198" s="103">
        <v>39011.0</v>
      </c>
      <c r="B198" s="104"/>
      <c r="C198" s="105" t="str">
        <f>HYPERLINK("http://phish.net/sideshows/mike-gordon/?showid=1324843177", "setlist")</f>
        <v>setlist</v>
      </c>
      <c r="D198" s="181" t="s">
        <v>3288</v>
      </c>
      <c r="E198" s="106" t="s">
        <v>3289</v>
      </c>
      <c r="F198" s="107" t="s">
        <v>472</v>
      </c>
      <c r="G198" s="107" t="s">
        <v>36</v>
      </c>
      <c r="H198" s="105" t="str">
        <f>HYPERLINK("http://www.mediafire.com/?2zr6vsru6z0gd", "download link")</f>
        <v>download link</v>
      </c>
      <c r="I198" s="109"/>
      <c r="J198" s="109"/>
      <c r="K198" s="109"/>
      <c r="L198" s="109"/>
    </row>
    <row r="199">
      <c r="A199" s="110">
        <v>39012.0</v>
      </c>
      <c r="B199" s="111"/>
      <c r="C199" s="116" t="str">
        <f>HYPERLINK("http://phish.net/sideshows/mike-gordon/?showid=1324843239", "setlist")</f>
        <v>setlist</v>
      </c>
      <c r="D199" s="183" t="s">
        <v>2990</v>
      </c>
      <c r="E199" s="113" t="s">
        <v>773</v>
      </c>
      <c r="F199" s="114" t="s">
        <v>472</v>
      </c>
      <c r="G199" s="114" t="s">
        <v>36</v>
      </c>
      <c r="H199" s="135" t="str">
        <f>HYPERLINK("http://www.mediafire.com/?fwxua2c1eg75c", "download link")</f>
        <v>download link</v>
      </c>
      <c r="I199" s="80"/>
      <c r="J199" s="80"/>
      <c r="K199" s="80"/>
      <c r="L199" s="80"/>
    </row>
    <row r="200">
      <c r="A200" s="103">
        <v>39014.0</v>
      </c>
      <c r="B200" s="104"/>
      <c r="C200" s="105" t="str">
        <f>HYPERLINK("http://phish.net/sideshows/mike-gordon/?showid=1324843272", "setlist")</f>
        <v>setlist</v>
      </c>
      <c r="D200" s="181" t="s">
        <v>2904</v>
      </c>
      <c r="E200" s="106" t="s">
        <v>479</v>
      </c>
      <c r="F200" s="107" t="s">
        <v>480</v>
      </c>
      <c r="G200" s="107" t="s">
        <v>36</v>
      </c>
      <c r="H200" s="105" t="str">
        <f>HYPERLINK("http://www.mediafire.com/?5b6g3r9cabej5", "download link")</f>
        <v>download link</v>
      </c>
      <c r="I200" s="109"/>
      <c r="J200" s="109"/>
      <c r="K200" s="109"/>
      <c r="L200" s="109"/>
    </row>
    <row r="201">
      <c r="A201" s="110">
        <v>39015.0</v>
      </c>
      <c r="B201" s="111"/>
      <c r="C201" s="116" t="str">
        <f>HYPERLINK("http://phish.net/sideshows/mike-gordon/?d="&amp;RIGHT(TEXT(A201,"mm/dd/yyyy"),4)&amp;"-"&amp;LEFT(TEXT(A201,"mm/dd/yyyy"),2)&amp;"-"&amp;MID(TEXT(A201,"mm/dd/yyyy"),4,2), "setlist")</f>
        <v>setlist</v>
      </c>
      <c r="D201" s="183" t="s">
        <v>3164</v>
      </c>
      <c r="E201" s="113" t="s">
        <v>936</v>
      </c>
      <c r="F201" s="114" t="s">
        <v>483</v>
      </c>
      <c r="G201" s="114" t="s">
        <v>36</v>
      </c>
      <c r="H201" s="135" t="str">
        <f>HYPERLINK("http://www.mediafire.com/?n2qhzoj8nxiot", "download link")</f>
        <v>download link</v>
      </c>
      <c r="I201" s="80"/>
      <c r="J201" s="80"/>
      <c r="K201" s="80"/>
      <c r="L201" s="80"/>
    </row>
    <row r="202">
      <c r="A202" s="103">
        <v>39017.0</v>
      </c>
      <c r="B202" s="104"/>
      <c r="C202" s="105" t="str">
        <f>HYPERLINK("http://phish.net/sideshows/mike-gordon/?showid=1324843546", "setlist")</f>
        <v>setlist</v>
      </c>
      <c r="D202" s="181" t="s">
        <v>3290</v>
      </c>
      <c r="E202" s="106" t="s">
        <v>3291</v>
      </c>
      <c r="F202" s="107" t="s">
        <v>203</v>
      </c>
      <c r="G202" s="107" t="s">
        <v>36</v>
      </c>
      <c r="H202" s="105" t="str">
        <f>HYPERLINK("http://www.mediafire.com/?bxt9iptni0ej9", "download link")</f>
        <v>download link</v>
      </c>
      <c r="I202" s="109"/>
      <c r="J202" s="109"/>
      <c r="K202" s="109"/>
      <c r="L202" s="109"/>
    </row>
    <row r="203">
      <c r="A203" s="110">
        <v>39019.0</v>
      </c>
      <c r="B203" s="111"/>
      <c r="C203" s="116" t="str">
        <f>HYPERLINK("http://phish.net/sideshows/mike-gordon/?showid=1324843580", "setlist")</f>
        <v>setlist</v>
      </c>
      <c r="D203" s="183" t="s">
        <v>2937</v>
      </c>
      <c r="E203" s="113" t="s">
        <v>1804</v>
      </c>
      <c r="F203" s="114" t="s">
        <v>1805</v>
      </c>
      <c r="G203" s="114" t="s">
        <v>36</v>
      </c>
      <c r="H203" s="135" t="str">
        <f>HYPERLINK("http://www.mediafire.com/?vd0jt9o4rbjtj", "download link")</f>
        <v>download link</v>
      </c>
      <c r="I203" s="80"/>
      <c r="J203" s="80"/>
      <c r="K203" s="80"/>
      <c r="L203" s="80"/>
    </row>
    <row r="204">
      <c r="A204" s="103">
        <v>39052.0</v>
      </c>
      <c r="B204" s="104"/>
      <c r="C204" s="105" t="str">
        <f>HYPERLINK("http://phish.net/sideshows/mike-gordon/?d="&amp;RIGHT(TEXT(A204,"mm/dd/yyyy"),4)&amp;"-"&amp;LEFT(TEXT(A204,"mm/dd/yyyy"),2)&amp;"-"&amp;MID(TEXT(A204,"mm/dd/yyyy"),4,2), "setlist")</f>
        <v>setlist</v>
      </c>
      <c r="D204" s="181" t="s">
        <v>914</v>
      </c>
      <c r="E204" s="106" t="s">
        <v>683</v>
      </c>
      <c r="F204" s="107" t="s">
        <v>679</v>
      </c>
      <c r="G204" s="141" t="s">
        <v>36</v>
      </c>
      <c r="H204" s="105" t="str">
        <f>HYPERLINK("http://www.mediafire.com/file/18hsm86467hj4pa/2006-12-01_-_Warfield_Theatre_-_San_Francisco%2C_CA.rar", "download link")</f>
        <v>download link</v>
      </c>
      <c r="I204" s="109"/>
      <c r="J204" s="109"/>
      <c r="K204" s="109"/>
      <c r="L204" s="109"/>
    </row>
    <row r="205">
      <c r="A205" s="350"/>
      <c r="B205" s="351"/>
      <c r="C205" s="362"/>
      <c r="D205" s="356" t="s">
        <v>3292</v>
      </c>
      <c r="E205" s="350"/>
      <c r="F205" s="351"/>
      <c r="G205" s="351"/>
      <c r="H205" s="351"/>
      <c r="I205" s="350"/>
      <c r="J205" s="350"/>
      <c r="K205" s="350"/>
      <c r="L205" s="350"/>
    </row>
    <row r="206">
      <c r="A206" s="110">
        <v>39086.0</v>
      </c>
      <c r="B206" s="111"/>
      <c r="C206" s="116" t="str">
        <f>HYPERLINK("http://phish.net/sideshows/mike-gordon/?d="&amp;RIGHT(TEXT(A206,"mm/dd/yyyy"),4)&amp;"-"&amp;LEFT(TEXT(A206,"mm/dd/yyyy"),2)&amp;"-"&amp;MID(TEXT(A206,"mm/dd/yyyy"),4,2), "setlist")</f>
        <v>setlist</v>
      </c>
      <c r="D206" s="183" t="s">
        <v>3293</v>
      </c>
      <c r="E206" s="113" t="s">
        <v>393</v>
      </c>
      <c r="F206" s="114" t="s">
        <v>394</v>
      </c>
      <c r="G206" s="111"/>
      <c r="H206" s="359"/>
      <c r="I206" s="80"/>
      <c r="J206" s="80"/>
      <c r="K206" s="80"/>
      <c r="L206" s="80"/>
    </row>
    <row r="207">
      <c r="A207" s="350"/>
      <c r="B207" s="351"/>
      <c r="C207" s="362"/>
      <c r="D207" s="356" t="s">
        <v>3294</v>
      </c>
      <c r="E207" s="350"/>
      <c r="F207" s="351"/>
      <c r="G207" s="351"/>
      <c r="H207" s="351"/>
      <c r="I207" s="350"/>
      <c r="J207" s="350"/>
      <c r="K207" s="350"/>
      <c r="L207" s="350"/>
    </row>
    <row r="208">
      <c r="A208" s="110">
        <v>39346.0</v>
      </c>
      <c r="B208" s="111"/>
      <c r="C208" s="135" t="str">
        <f>HYPERLINK("http://phish.net/sideshows/mike-gordon/?d="&amp;RIGHT(TEXT(A208,"mm/dd/yyyy"),4)&amp;"-"&amp;LEFT(TEXT(A208,"mm/dd/yyyy"),2)&amp;"-"&amp;MID(TEXT(A208,"mm/dd/yyyy"),4,2), "setlist")</f>
        <v>setlist</v>
      </c>
      <c r="D208" s="183" t="s">
        <v>3295</v>
      </c>
      <c r="E208" s="113" t="s">
        <v>3296</v>
      </c>
      <c r="F208" s="114" t="s">
        <v>3297</v>
      </c>
      <c r="G208" s="114" t="s">
        <v>36</v>
      </c>
      <c r="H208" s="135" t="str">
        <f>HYPERLINK("http://www.mediafire.com/file/d20cjpye0luldmo/2007-09-21_-_One_Love_Gardens_-_Kauai%2C_HI.rar", "download link")</f>
        <v>download link</v>
      </c>
      <c r="I208" s="80"/>
      <c r="J208" s="80"/>
      <c r="K208" s="80"/>
      <c r="L208" s="80"/>
    </row>
    <row r="209">
      <c r="A209" s="350"/>
      <c r="B209" s="351"/>
      <c r="C209" s="362"/>
      <c r="D209" s="356" t="s">
        <v>3298</v>
      </c>
      <c r="E209" s="350"/>
      <c r="F209" s="351"/>
      <c r="G209" s="351"/>
      <c r="H209" s="351"/>
      <c r="I209" s="350"/>
      <c r="J209" s="350"/>
      <c r="K209" s="350"/>
      <c r="L209" s="350"/>
    </row>
    <row r="210">
      <c r="A210" s="110">
        <v>39452.0</v>
      </c>
      <c r="B210" s="111"/>
      <c r="C210" s="116" t="str">
        <f>HYPERLINK("http://phish.net/sideshows/mike-gordon/?d="&amp;RIGHT(TEXT(A210,"mm/dd/yyyy"),4)&amp;"-"&amp;LEFT(TEXT(A210,"mm/dd/yyyy"),2)&amp;"-"&amp;MID(TEXT(A210,"mm/dd/yyyy"),4,2), "setlist")</f>
        <v>setlist</v>
      </c>
      <c r="D210" s="183" t="s">
        <v>3299</v>
      </c>
      <c r="E210" s="113" t="s">
        <v>3300</v>
      </c>
      <c r="F210" s="114" t="s">
        <v>3301</v>
      </c>
      <c r="G210" s="111"/>
      <c r="H210" s="138"/>
      <c r="I210" s="80"/>
      <c r="J210" s="80"/>
      <c r="K210" s="80"/>
      <c r="L210" s="80"/>
    </row>
    <row r="211">
      <c r="A211" s="350"/>
      <c r="B211" s="351"/>
      <c r="C211" s="362"/>
      <c r="D211" s="356" t="s">
        <v>3302</v>
      </c>
      <c r="E211" s="350"/>
      <c r="F211" s="351"/>
      <c r="G211" s="351"/>
      <c r="H211" s="351"/>
      <c r="I211" s="350"/>
      <c r="J211" s="350"/>
      <c r="K211" s="350"/>
      <c r="L211" s="350"/>
    </row>
    <row r="212">
      <c r="A212" s="110">
        <v>39629.0</v>
      </c>
      <c r="B212" s="114" t="s">
        <v>32</v>
      </c>
      <c r="C212" s="116" t="str">
        <f t="shared" ref="C212:C213" si="18">HYPERLINK("http://phish.net/sideshows/mike-gordon/?d="&amp;RIGHT(TEXT(A212,"mm/dd/yyyy"),4)&amp;"-"&amp;LEFT(TEXT(A212,"mm/dd/yyyy"),2)&amp;"-"&amp;MID(TEXT(A212,"mm/dd/yyyy"),4,2), "setlist")</f>
        <v>setlist</v>
      </c>
      <c r="D212" s="183" t="s">
        <v>2805</v>
      </c>
      <c r="E212" s="113" t="s">
        <v>247</v>
      </c>
      <c r="F212" s="114" t="s">
        <v>95</v>
      </c>
      <c r="G212" s="114" t="s">
        <v>36</v>
      </c>
      <c r="H212" s="135" t="str">
        <f>HYPERLINK("http://www.mediafire.com/?mz4dciicr3i6u", "download link")</f>
        <v>download link</v>
      </c>
      <c r="I212" s="113" t="s">
        <v>3303</v>
      </c>
      <c r="J212" s="113"/>
      <c r="K212" s="113"/>
      <c r="L212" s="113"/>
    </row>
    <row r="213">
      <c r="A213" s="103">
        <v>39633.0</v>
      </c>
      <c r="B213" s="104"/>
      <c r="C213" s="105" t="str">
        <f t="shared" si="18"/>
        <v>setlist</v>
      </c>
      <c r="D213" s="181" t="s">
        <v>3304</v>
      </c>
      <c r="E213" s="106" t="s">
        <v>3111</v>
      </c>
      <c r="F213" s="107" t="s">
        <v>679</v>
      </c>
      <c r="G213" s="107" t="s">
        <v>36</v>
      </c>
      <c r="H213" s="105" t="str">
        <f>HYPERLINK("http://www.mediafire.com/?ef354e16oip6y", "download link")</f>
        <v>download link</v>
      </c>
      <c r="I213" s="109"/>
      <c r="J213" s="109"/>
      <c r="K213" s="109"/>
      <c r="L213" s="109"/>
    </row>
    <row r="214">
      <c r="A214" s="110">
        <v>39635.0</v>
      </c>
      <c r="B214" s="111"/>
      <c r="C214" s="116" t="str">
        <f>HYPERLINK("http://phish.net/sideshows/mike-gordon/?showid=1299272930", "setlist")</f>
        <v>setlist</v>
      </c>
      <c r="D214" s="183" t="s">
        <v>3009</v>
      </c>
      <c r="E214" s="113" t="s">
        <v>3010</v>
      </c>
      <c r="F214" s="114" t="s">
        <v>712</v>
      </c>
      <c r="G214" s="114" t="s">
        <v>36</v>
      </c>
      <c r="H214" s="135" t="str">
        <f>HYPERLINK("http://www.mediafire.com/?uaebj81ze5q3a", "download link")</f>
        <v>download link</v>
      </c>
      <c r="I214" s="113" t="s">
        <v>3305</v>
      </c>
      <c r="J214" s="113"/>
      <c r="K214" s="113"/>
      <c r="L214" s="113"/>
    </row>
    <row r="215">
      <c r="A215" s="103">
        <v>39641.0</v>
      </c>
      <c r="B215" s="104"/>
      <c r="C215" s="105" t="str">
        <f>HYPERLINK("http://phish.net/sideshows/mike-gordon/?d="&amp;RIGHT(TEXT(A215,"mm/dd/yyyy"),4)&amp;"-"&amp;LEFT(TEXT(A215,"mm/dd/yyyy"),2)&amp;"-"&amp;MID(TEXT(A215,"mm/dd/yyyy"),4,2), "setlist")</f>
        <v>setlist</v>
      </c>
      <c r="D215" s="181" t="s">
        <v>2977</v>
      </c>
      <c r="E215" s="106" t="s">
        <v>2978</v>
      </c>
      <c r="F215" s="107" t="s">
        <v>874</v>
      </c>
      <c r="G215" s="107" t="s">
        <v>36</v>
      </c>
      <c r="H215" s="105" t="str">
        <f>HYPERLINK("http://www.mediafire.com/?wynbpm951d4mq", "download link")</f>
        <v>download link</v>
      </c>
      <c r="I215" s="109"/>
      <c r="J215" s="109"/>
      <c r="K215" s="109"/>
      <c r="L215" s="109"/>
    </row>
    <row r="216">
      <c r="A216" s="110">
        <v>39648.0</v>
      </c>
      <c r="B216" s="111"/>
      <c r="C216" s="361" t="s">
        <v>40</v>
      </c>
      <c r="D216" s="183" t="s">
        <v>3306</v>
      </c>
      <c r="E216" s="113" t="s">
        <v>499</v>
      </c>
      <c r="F216" s="114" t="s">
        <v>203</v>
      </c>
      <c r="G216" s="111"/>
      <c r="H216" s="138"/>
      <c r="I216" s="80"/>
      <c r="J216" s="80"/>
      <c r="K216" s="80"/>
      <c r="L216" s="80"/>
    </row>
    <row r="217">
      <c r="A217" s="103">
        <v>39662.0</v>
      </c>
      <c r="B217" s="104"/>
      <c r="C217" s="105" t="str">
        <f>HYPERLINK("http://phish.net/sideshows/mike-gordon/?showid=1299275472", "setlist")</f>
        <v>setlist</v>
      </c>
      <c r="D217" s="181" t="s">
        <v>3307</v>
      </c>
      <c r="E217" s="106" t="s">
        <v>3308</v>
      </c>
      <c r="F217" s="107" t="s">
        <v>171</v>
      </c>
      <c r="G217" s="107" t="s">
        <v>36</v>
      </c>
      <c r="H217" s="105" t="str">
        <f>HYPERLINK("http://www.mediafire.com/?331d9ht0xhfv0", "download link")</f>
        <v>download link</v>
      </c>
      <c r="I217" s="109"/>
      <c r="J217" s="109"/>
      <c r="K217" s="109"/>
      <c r="L217" s="109"/>
    </row>
    <row r="218">
      <c r="A218" s="110">
        <v>39663.0</v>
      </c>
      <c r="B218" s="111"/>
      <c r="C218" s="116" t="str">
        <f>HYPERLINK("http://phish.net/sideshows/mike-gordon/?d="&amp;RIGHT(TEXT(A218,"mm/dd/yyyy"),4)&amp;"-"&amp;LEFT(TEXT(A218,"mm/dd/yyyy"),2)&amp;"-"&amp;MID(TEXT(A218,"mm/dd/yyyy"),4,2), "setlist")</f>
        <v>setlist</v>
      </c>
      <c r="D218" s="183" t="s">
        <v>3224</v>
      </c>
      <c r="E218" s="113" t="s">
        <v>871</v>
      </c>
      <c r="F218" s="114" t="s">
        <v>212</v>
      </c>
      <c r="G218" s="114" t="s">
        <v>36</v>
      </c>
      <c r="H218" s="135" t="str">
        <f>HYPERLINK("http://www.mediafire.com/?omsdg78z7va03", "download link")</f>
        <v>download link</v>
      </c>
      <c r="I218" s="80"/>
      <c r="J218" s="80"/>
      <c r="K218" s="80"/>
      <c r="L218" s="80"/>
    </row>
    <row r="219">
      <c r="A219" s="103">
        <v>39665.0</v>
      </c>
      <c r="B219" s="107" t="s">
        <v>32</v>
      </c>
      <c r="C219" s="105" t="str">
        <f>HYPERLINK("http://phish.net/sideshows/mike-gordon/?showid=1299342210", "setlist")</f>
        <v>setlist</v>
      </c>
      <c r="D219" s="181" t="s">
        <v>458</v>
      </c>
      <c r="E219" s="106" t="s">
        <v>445</v>
      </c>
      <c r="F219" s="107" t="s">
        <v>446</v>
      </c>
      <c r="G219" s="107" t="s">
        <v>36</v>
      </c>
      <c r="H219" s="105" t="str">
        <f>HYPERLINK("http://www.mediafire.com/?mbmbg87puj95e", "download link")</f>
        <v>download link</v>
      </c>
      <c r="I219" s="106" t="s">
        <v>3309</v>
      </c>
      <c r="J219" s="106"/>
      <c r="K219" s="106"/>
      <c r="L219" s="106"/>
    </row>
    <row r="220">
      <c r="A220" s="110">
        <v>39665.0</v>
      </c>
      <c r="B220" s="111"/>
      <c r="C220" s="116" t="str">
        <f>HYPERLINK("http://phish.net/sideshows/mike-gordon/?showid=1299342958", "setlist")</f>
        <v>setlist</v>
      </c>
      <c r="D220" s="183" t="s">
        <v>3310</v>
      </c>
      <c r="E220" s="113" t="s">
        <v>445</v>
      </c>
      <c r="F220" s="114" t="s">
        <v>446</v>
      </c>
      <c r="G220" s="114" t="s">
        <v>36</v>
      </c>
      <c r="H220" s="135" t="str">
        <f>HYPERLINK("http://www.mediafire.com/?o9jinav9pp3v2", "download link")</f>
        <v>download link</v>
      </c>
      <c r="I220" s="80"/>
      <c r="J220" s="80"/>
      <c r="K220" s="80"/>
      <c r="L220" s="80"/>
    </row>
    <row r="221">
      <c r="A221" s="103">
        <v>39666.0</v>
      </c>
      <c r="B221" s="104"/>
      <c r="C221" s="105" t="str">
        <f>HYPERLINK("http://phish.net/sideshows/mike-gordon/?d="&amp;RIGHT(TEXT(A221,"mm/dd/yyyy"),4)&amp;"-"&amp;LEFT(TEXT(A221,"mm/dd/yyyy"),2)&amp;"-"&amp;MID(TEXT(A221,"mm/dd/yyyy"),4,2), "setlist")</f>
        <v>setlist</v>
      </c>
      <c r="D221" s="181" t="s">
        <v>3311</v>
      </c>
      <c r="E221" s="106" t="s">
        <v>536</v>
      </c>
      <c r="F221" s="107" t="s">
        <v>443</v>
      </c>
      <c r="G221" s="107" t="s">
        <v>36</v>
      </c>
      <c r="H221" s="105" t="str">
        <f>HYPERLINK("http://www.mediafire.com/?sbccseryf5lu0", "download link")</f>
        <v>download link</v>
      </c>
      <c r="I221" s="109"/>
      <c r="J221" s="109"/>
      <c r="K221" s="109"/>
      <c r="L221" s="109"/>
    </row>
    <row r="222">
      <c r="A222" s="142">
        <v>39667.0</v>
      </c>
      <c r="B222" s="144"/>
      <c r="C222" s="116" t="str">
        <f>HYPERLINK("http://phish.net/sideshows/mike-gordon/?showid=1299349282", "setlist")</f>
        <v>setlist</v>
      </c>
      <c r="D222" s="272" t="s">
        <v>3312</v>
      </c>
      <c r="E222" s="118" t="s">
        <v>541</v>
      </c>
      <c r="F222" s="115" t="s">
        <v>443</v>
      </c>
      <c r="G222" s="144"/>
      <c r="H222" s="145"/>
      <c r="I222" s="146"/>
      <c r="J222" s="146"/>
      <c r="K222" s="146"/>
      <c r="L222" s="146"/>
    </row>
    <row r="223">
      <c r="A223" s="103">
        <v>39668.0</v>
      </c>
      <c r="B223" s="104"/>
      <c r="C223" s="105" t="str">
        <f t="shared" ref="C223:C226" si="19">HYPERLINK("http://phish.net/sideshows/mike-gordon/?d="&amp;RIGHT(TEXT(A223,"mm/dd/yyyy"),4)&amp;"-"&amp;LEFT(TEXT(A223,"mm/dd/yyyy"),2)&amp;"-"&amp;MID(TEXT(A223,"mm/dd/yyyy"),4,2), "setlist")</f>
        <v>setlist</v>
      </c>
      <c r="D223" s="181" t="s">
        <v>825</v>
      </c>
      <c r="E223" s="106" t="s">
        <v>429</v>
      </c>
      <c r="F223" s="107" t="s">
        <v>430</v>
      </c>
      <c r="G223" s="107" t="s">
        <v>36</v>
      </c>
      <c r="H223" s="105" t="str">
        <f>HYPERLINK("http://www.mediafire.com/?ydcr6ehmzbwue", "download link")</f>
        <v>download link</v>
      </c>
      <c r="I223" s="109"/>
      <c r="J223" s="109"/>
      <c r="K223" s="109"/>
      <c r="L223" s="109"/>
    </row>
    <row r="224">
      <c r="A224" s="142">
        <v>39669.0</v>
      </c>
      <c r="B224" s="144"/>
      <c r="C224" s="116" t="str">
        <f t="shared" si="19"/>
        <v>setlist</v>
      </c>
      <c r="D224" s="272" t="s">
        <v>1270</v>
      </c>
      <c r="E224" s="118" t="s">
        <v>437</v>
      </c>
      <c r="F224" s="115" t="s">
        <v>433</v>
      </c>
      <c r="G224" s="115" t="s">
        <v>36</v>
      </c>
      <c r="H224" s="116" t="str">
        <f>HYPERLINK("http://www.mediafire.com/?ubxd3txt5swy8", "download link")</f>
        <v>download link</v>
      </c>
      <c r="I224" s="146"/>
      <c r="J224" s="146"/>
      <c r="K224" s="146"/>
      <c r="L224" s="146"/>
    </row>
    <row r="225">
      <c r="A225" s="103">
        <v>39672.0</v>
      </c>
      <c r="B225" s="104"/>
      <c r="C225" s="105" t="str">
        <f t="shared" si="19"/>
        <v>setlist</v>
      </c>
      <c r="D225" s="181" t="s">
        <v>1193</v>
      </c>
      <c r="E225" s="106" t="s">
        <v>3263</v>
      </c>
      <c r="F225" s="107" t="s">
        <v>446</v>
      </c>
      <c r="G225" s="104"/>
      <c r="H225" s="108"/>
      <c r="I225" s="109"/>
      <c r="J225" s="109"/>
      <c r="K225" s="109"/>
      <c r="L225" s="109"/>
    </row>
    <row r="226">
      <c r="A226" s="142">
        <v>39673.0</v>
      </c>
      <c r="B226" s="144"/>
      <c r="C226" s="116" t="str">
        <f t="shared" si="19"/>
        <v>setlist</v>
      </c>
      <c r="D226" s="272" t="s">
        <v>3313</v>
      </c>
      <c r="E226" s="118" t="s">
        <v>162</v>
      </c>
      <c r="F226" s="115" t="s">
        <v>129</v>
      </c>
      <c r="G226" s="115">
        <v>224.0</v>
      </c>
      <c r="H226" s="116" t="str">
        <f>HYPERLINK("http://www.mediafire.com/?mbiiry9a7nm3y", "download link")</f>
        <v>download link</v>
      </c>
      <c r="I226" s="146"/>
      <c r="J226" s="146"/>
      <c r="K226" s="146"/>
      <c r="L226" s="146"/>
    </row>
    <row r="227">
      <c r="A227" s="103">
        <v>39674.0</v>
      </c>
      <c r="B227" s="104"/>
      <c r="C227" s="105" t="str">
        <f>HYPERLINK("http://phish.net/sideshows/mike-gordon/?showid=1299373247", "setlist")</f>
        <v>setlist</v>
      </c>
      <c r="D227" s="181" t="s">
        <v>3314</v>
      </c>
      <c r="E227" s="106" t="s">
        <v>715</v>
      </c>
      <c r="F227" s="107" t="s">
        <v>129</v>
      </c>
      <c r="G227" s="107" t="s">
        <v>36</v>
      </c>
      <c r="H227" s="105" t="str">
        <f>HYPERLINK("http://www.mediafire.com/?dvr6b0a0opsuf", "download link")</f>
        <v>download link</v>
      </c>
      <c r="I227" s="109"/>
      <c r="J227" s="109"/>
      <c r="K227" s="109"/>
      <c r="L227" s="109"/>
    </row>
    <row r="228">
      <c r="A228" s="110">
        <v>39674.0</v>
      </c>
      <c r="B228" s="111"/>
      <c r="C228" s="116" t="str">
        <f>HYPERLINK("http://phish.net/sideshows/mike-gordon/?showid=1300589726", "setlist")</f>
        <v>setlist</v>
      </c>
      <c r="D228" s="183" t="s">
        <v>3315</v>
      </c>
      <c r="E228" s="113" t="s">
        <v>715</v>
      </c>
      <c r="F228" s="114" t="s">
        <v>129</v>
      </c>
      <c r="G228" s="111"/>
      <c r="H228" s="138"/>
      <c r="I228" s="80"/>
      <c r="J228" s="80"/>
      <c r="K228" s="80"/>
      <c r="L228" s="80"/>
    </row>
    <row r="229">
      <c r="A229" s="103">
        <v>39675.0</v>
      </c>
      <c r="B229" s="104"/>
      <c r="C229" s="105" t="str">
        <f t="shared" ref="C229:C241" si="20">HYPERLINK("http://phish.net/sideshows/mike-gordon/?d="&amp;RIGHT(TEXT(A229,"mm/dd/yyyy"),4)&amp;"-"&amp;LEFT(TEXT(A229,"mm/dd/yyyy"),2)&amp;"-"&amp;MID(TEXT(A229,"mm/dd/yyyy"),4,2), "setlist")</f>
        <v>setlist</v>
      </c>
      <c r="D229" s="181" t="s">
        <v>3116</v>
      </c>
      <c r="E229" s="106" t="s">
        <v>34</v>
      </c>
      <c r="F229" s="107" t="s">
        <v>35</v>
      </c>
      <c r="G229" s="107" t="s">
        <v>36</v>
      </c>
      <c r="H229" s="105" t="str">
        <f>HYPERLINK("http://www.mediafire.com/?ihd5nn0nfdr8z", "download link")</f>
        <v>download link</v>
      </c>
      <c r="I229" s="106" t="s">
        <v>3316</v>
      </c>
      <c r="J229" s="106"/>
      <c r="K229" s="106"/>
      <c r="L229" s="106"/>
    </row>
    <row r="230">
      <c r="A230" s="142">
        <v>39682.0</v>
      </c>
      <c r="B230" s="144"/>
      <c r="C230" s="116" t="str">
        <f t="shared" si="20"/>
        <v>setlist</v>
      </c>
      <c r="D230" s="272" t="s">
        <v>3317</v>
      </c>
      <c r="E230" s="118" t="s">
        <v>791</v>
      </c>
      <c r="F230" s="115" t="s">
        <v>701</v>
      </c>
      <c r="G230" s="144"/>
      <c r="H230" s="145"/>
      <c r="I230" s="146"/>
      <c r="J230" s="146"/>
      <c r="K230" s="146"/>
      <c r="L230" s="146"/>
    </row>
    <row r="231">
      <c r="A231" s="103">
        <v>39683.0</v>
      </c>
      <c r="B231" s="104"/>
      <c r="C231" s="105" t="str">
        <f t="shared" si="20"/>
        <v>setlist</v>
      </c>
      <c r="D231" s="181" t="s">
        <v>3318</v>
      </c>
      <c r="E231" s="106" t="s">
        <v>279</v>
      </c>
      <c r="F231" s="107" t="s">
        <v>692</v>
      </c>
      <c r="G231" s="107" t="s">
        <v>36</v>
      </c>
      <c r="H231" s="105" t="str">
        <f>HYPERLINK("http://www.mediafire.com/?furu46ihi4att", "download link")</f>
        <v>download link</v>
      </c>
      <c r="I231" s="109"/>
      <c r="J231" s="109"/>
      <c r="K231" s="109"/>
      <c r="L231" s="109"/>
    </row>
    <row r="232">
      <c r="A232" s="142">
        <v>39684.0</v>
      </c>
      <c r="B232" s="144"/>
      <c r="C232" s="116" t="str">
        <f t="shared" si="20"/>
        <v>setlist</v>
      </c>
      <c r="D232" s="272" t="s">
        <v>2453</v>
      </c>
      <c r="E232" s="118" t="s">
        <v>683</v>
      </c>
      <c r="F232" s="115" t="s">
        <v>679</v>
      </c>
      <c r="G232" s="115" t="s">
        <v>36</v>
      </c>
      <c r="H232" s="116" t="str">
        <f>HYPERLINK("http://www.mediafire.com/?mhab1apc4wu3h", "download link")</f>
        <v>download link</v>
      </c>
      <c r="I232" s="146"/>
      <c r="J232" s="146"/>
      <c r="K232" s="146"/>
      <c r="L232" s="146"/>
    </row>
    <row r="233">
      <c r="A233" s="103">
        <v>39686.0</v>
      </c>
      <c r="B233" s="104"/>
      <c r="C233" s="105" t="str">
        <f t="shared" si="20"/>
        <v>setlist</v>
      </c>
      <c r="D233" s="181" t="s">
        <v>3227</v>
      </c>
      <c r="E233" s="106" t="s">
        <v>911</v>
      </c>
      <c r="F233" s="107" t="s">
        <v>679</v>
      </c>
      <c r="G233" s="104"/>
      <c r="H233" s="108"/>
      <c r="I233" s="109"/>
      <c r="J233" s="109"/>
      <c r="K233" s="109"/>
      <c r="L233" s="109"/>
    </row>
    <row r="234">
      <c r="A234" s="142">
        <v>39689.0</v>
      </c>
      <c r="B234" s="144"/>
      <c r="C234" s="116" t="str">
        <f t="shared" si="20"/>
        <v>setlist</v>
      </c>
      <c r="D234" s="272" t="s">
        <v>897</v>
      </c>
      <c r="E234" s="118" t="s">
        <v>488</v>
      </c>
      <c r="F234" s="115" t="s">
        <v>203</v>
      </c>
      <c r="G234" s="144"/>
      <c r="H234" s="145"/>
      <c r="I234" s="146"/>
      <c r="J234" s="146"/>
      <c r="K234" s="146"/>
      <c r="L234" s="146"/>
    </row>
    <row r="235">
      <c r="A235" s="103">
        <v>39690.0</v>
      </c>
      <c r="B235" s="104"/>
      <c r="C235" s="105" t="str">
        <f t="shared" si="20"/>
        <v>setlist</v>
      </c>
      <c r="D235" s="181" t="s">
        <v>3319</v>
      </c>
      <c r="E235" s="106" t="s">
        <v>3320</v>
      </c>
      <c r="F235" s="107" t="s">
        <v>203</v>
      </c>
      <c r="G235" s="104"/>
      <c r="H235" s="108"/>
      <c r="I235" s="109"/>
      <c r="J235" s="109"/>
      <c r="K235" s="109"/>
      <c r="L235" s="109"/>
    </row>
    <row r="236">
      <c r="A236" s="142">
        <v>39691.0</v>
      </c>
      <c r="B236" s="144"/>
      <c r="C236" s="116" t="str">
        <f t="shared" si="20"/>
        <v>setlist</v>
      </c>
      <c r="D236" s="272" t="s">
        <v>3321</v>
      </c>
      <c r="E236" s="118" t="s">
        <v>1781</v>
      </c>
      <c r="F236" s="115" t="s">
        <v>1620</v>
      </c>
      <c r="G236" s="115">
        <v>192.0</v>
      </c>
      <c r="H236" s="116" t="str">
        <f>HYPERLINK("http://www.mediafire.com/?nt4j3584xdo13", "download link")</f>
        <v>download link</v>
      </c>
      <c r="I236" s="146"/>
      <c r="J236" s="146"/>
      <c r="K236" s="146"/>
      <c r="L236" s="146"/>
    </row>
    <row r="237">
      <c r="A237" s="103">
        <v>39693.0</v>
      </c>
      <c r="B237" s="104"/>
      <c r="C237" s="105" t="str">
        <f t="shared" si="20"/>
        <v>setlist</v>
      </c>
      <c r="D237" s="181" t="s">
        <v>3322</v>
      </c>
      <c r="E237" s="106" t="s">
        <v>485</v>
      </c>
      <c r="F237" s="107" t="s">
        <v>486</v>
      </c>
      <c r="G237" s="107" t="s">
        <v>36</v>
      </c>
      <c r="H237" s="105" t="str">
        <f>HYPERLINK("http://www.mediafire.com/?bdnwe2wmip342", "download link")</f>
        <v>download link</v>
      </c>
      <c r="I237" s="109"/>
      <c r="J237" s="109"/>
      <c r="K237" s="109"/>
      <c r="L237" s="109"/>
    </row>
    <row r="238">
      <c r="A238" s="142">
        <v>39694.0</v>
      </c>
      <c r="B238" s="144"/>
      <c r="C238" s="116" t="str">
        <f t="shared" si="20"/>
        <v>setlist</v>
      </c>
      <c r="D238" s="272" t="s">
        <v>3323</v>
      </c>
      <c r="E238" s="118" t="s">
        <v>482</v>
      </c>
      <c r="F238" s="115" t="s">
        <v>483</v>
      </c>
      <c r="G238" s="144"/>
      <c r="H238" s="145"/>
      <c r="I238" s="146"/>
      <c r="J238" s="146"/>
      <c r="K238" s="146"/>
      <c r="L238" s="146"/>
    </row>
    <row r="239">
      <c r="A239" s="103">
        <v>39695.0</v>
      </c>
      <c r="B239" s="104"/>
      <c r="C239" s="105" t="str">
        <f t="shared" si="20"/>
        <v>setlist</v>
      </c>
      <c r="D239" s="181" t="s">
        <v>3324</v>
      </c>
      <c r="E239" s="106" t="s">
        <v>479</v>
      </c>
      <c r="F239" s="107" t="s">
        <v>480</v>
      </c>
      <c r="G239" s="141" t="s">
        <v>36</v>
      </c>
      <c r="H239" s="108" t="str">
        <f>HYPERLINK("", "download link")</f>
        <v>download link</v>
      </c>
      <c r="I239" s="109"/>
      <c r="J239" s="109"/>
      <c r="K239" s="109"/>
      <c r="L239" s="109"/>
    </row>
    <row r="240">
      <c r="A240" s="142">
        <v>39696.0</v>
      </c>
      <c r="B240" s="144"/>
      <c r="C240" s="116" t="str">
        <f t="shared" si="20"/>
        <v>setlist</v>
      </c>
      <c r="D240" s="272" t="s">
        <v>3325</v>
      </c>
      <c r="E240" s="118" t="s">
        <v>773</v>
      </c>
      <c r="F240" s="115" t="s">
        <v>472</v>
      </c>
      <c r="G240" s="144"/>
      <c r="H240" s="145"/>
      <c r="I240" s="146"/>
      <c r="J240" s="146"/>
      <c r="K240" s="146"/>
      <c r="L240" s="146"/>
    </row>
    <row r="241">
      <c r="A241" s="103">
        <v>39698.0</v>
      </c>
      <c r="B241" s="104"/>
      <c r="C241" s="105" t="str">
        <f t="shared" si="20"/>
        <v>setlist</v>
      </c>
      <c r="D241" s="181" t="s">
        <v>260</v>
      </c>
      <c r="E241" s="106" t="s">
        <v>94</v>
      </c>
      <c r="F241" s="107" t="s">
        <v>95</v>
      </c>
      <c r="G241" s="107" t="s">
        <v>36</v>
      </c>
      <c r="H241" s="105" t="str">
        <f>HYPERLINK("http://www.mediafire.com/?o36rt4bprbw9f", "download link")</f>
        <v>download link</v>
      </c>
      <c r="I241" s="109"/>
      <c r="J241" s="109"/>
      <c r="K241" s="109"/>
      <c r="L241" s="109"/>
    </row>
    <row r="242">
      <c r="A242" s="350"/>
      <c r="B242" s="351"/>
      <c r="C242" s="362"/>
      <c r="D242" s="356" t="s">
        <v>3326</v>
      </c>
      <c r="E242" s="350"/>
      <c r="F242" s="351"/>
      <c r="G242" s="351"/>
      <c r="H242" s="351"/>
      <c r="I242" s="350"/>
      <c r="J242" s="350"/>
      <c r="K242" s="350"/>
      <c r="L242" s="350"/>
    </row>
    <row r="243">
      <c r="A243" s="110">
        <v>39809.0</v>
      </c>
      <c r="B243" s="111"/>
      <c r="C243" s="116" t="str">
        <f t="shared" ref="C243:C246" si="21">HYPERLINK("http://phish.net/sideshows/mike-gordon/?d="&amp;RIGHT(TEXT(A243,"mm/dd/yyyy"),4)&amp;"-"&amp;LEFT(TEXT(A243,"mm/dd/yyyy"),2)&amp;"-"&amp;MID(TEXT(A243,"mm/dd/yyyy"),4,2), "setlist")</f>
        <v>setlist</v>
      </c>
      <c r="D243" s="183" t="s">
        <v>3018</v>
      </c>
      <c r="E243" s="113" t="s">
        <v>297</v>
      </c>
      <c r="F243" s="114" t="s">
        <v>298</v>
      </c>
      <c r="G243" s="114" t="s">
        <v>36</v>
      </c>
      <c r="H243" s="135" t="str">
        <f>HYPERLINK("http://www.mediafire.com/?dac4hmr8brynv", "download link")</f>
        <v>download link</v>
      </c>
      <c r="I243" s="80"/>
      <c r="J243" s="80"/>
      <c r="K243" s="80"/>
      <c r="L243" s="80"/>
    </row>
    <row r="244">
      <c r="A244" s="103">
        <v>39810.0</v>
      </c>
      <c r="B244" s="104"/>
      <c r="C244" s="105" t="str">
        <f t="shared" si="21"/>
        <v>setlist</v>
      </c>
      <c r="D244" s="181" t="s">
        <v>633</v>
      </c>
      <c r="E244" s="106" t="s">
        <v>634</v>
      </c>
      <c r="F244" s="107" t="s">
        <v>182</v>
      </c>
      <c r="G244" s="107" t="s">
        <v>36</v>
      </c>
      <c r="H244" s="105" t="str">
        <f>HYPERLINK("http://www.mediafire.com/?2tokxwc8edwtr", "download link")</f>
        <v>download link</v>
      </c>
      <c r="I244" s="109"/>
      <c r="J244" s="109"/>
      <c r="K244" s="109"/>
      <c r="L244" s="109"/>
    </row>
    <row r="245">
      <c r="A245" s="110">
        <v>39811.0</v>
      </c>
      <c r="B245" s="111"/>
      <c r="C245" s="116" t="str">
        <f t="shared" si="21"/>
        <v>setlist</v>
      </c>
      <c r="D245" s="183" t="s">
        <v>3327</v>
      </c>
      <c r="E245" s="113" t="s">
        <v>631</v>
      </c>
      <c r="F245" s="114" t="s">
        <v>35</v>
      </c>
      <c r="G245" s="114" t="s">
        <v>36</v>
      </c>
      <c r="H245" s="135" t="str">
        <f>HYPERLINK("http://www.mediafire.com/?9o1inebmh9j1j", "download link")</f>
        <v>download link</v>
      </c>
      <c r="I245" s="80"/>
      <c r="J245" s="80"/>
      <c r="K245" s="80"/>
      <c r="L245" s="80"/>
    </row>
    <row r="246">
      <c r="A246" s="103">
        <v>39812.0</v>
      </c>
      <c r="B246" s="104"/>
      <c r="C246" s="105" t="str">
        <f t="shared" si="21"/>
        <v>setlist</v>
      </c>
      <c r="D246" s="181" t="s">
        <v>2817</v>
      </c>
      <c r="E246" s="106" t="s">
        <v>2826</v>
      </c>
      <c r="F246" s="107" t="s">
        <v>35</v>
      </c>
      <c r="G246" s="107" t="s">
        <v>36</v>
      </c>
      <c r="H246" s="105" t="str">
        <f>HYPERLINK("http://www.mediafire.com/?1n7349i7pv7ld", "download link")</f>
        <v>download link</v>
      </c>
      <c r="I246" s="109"/>
      <c r="J246" s="109"/>
      <c r="K246" s="109"/>
      <c r="L246" s="109"/>
    </row>
    <row r="247">
      <c r="A247" s="350"/>
      <c r="B247" s="351"/>
      <c r="C247" s="362"/>
      <c r="D247" s="356" t="s">
        <v>3298</v>
      </c>
      <c r="E247" s="350"/>
      <c r="F247" s="351"/>
      <c r="G247" s="351"/>
      <c r="H247" s="351"/>
      <c r="I247" s="350"/>
      <c r="J247" s="350"/>
      <c r="K247" s="350"/>
      <c r="L247" s="350"/>
    </row>
    <row r="248">
      <c r="A248" s="110">
        <v>39967.0</v>
      </c>
      <c r="B248" s="111"/>
      <c r="C248" s="116" t="str">
        <f>HYPERLINK("http://phish.net/sideshows/mike-gordon/?d=2009-06-03", "setlist")</f>
        <v>setlist</v>
      </c>
      <c r="D248" s="183" t="s">
        <v>3328</v>
      </c>
      <c r="E248" s="113" t="s">
        <v>162</v>
      </c>
      <c r="F248" s="114" t="s">
        <v>129</v>
      </c>
      <c r="G248" s="111"/>
      <c r="H248" s="359"/>
      <c r="I248" s="80"/>
      <c r="J248" s="80"/>
      <c r="K248" s="80"/>
      <c r="L248" s="80"/>
    </row>
    <row r="249">
      <c r="A249" s="350"/>
      <c r="B249" s="351"/>
      <c r="C249" s="362"/>
      <c r="D249" s="356" t="s">
        <v>3232</v>
      </c>
      <c r="E249" s="350"/>
      <c r="F249" s="351"/>
      <c r="G249" s="351"/>
      <c r="H249" s="351"/>
      <c r="I249" s="350"/>
      <c r="J249" s="350"/>
      <c r="K249" s="350"/>
      <c r="L249" s="350"/>
    </row>
    <row r="250">
      <c r="A250" s="110">
        <v>40064.0</v>
      </c>
      <c r="B250" s="111"/>
      <c r="C250" s="116" t="str">
        <f t="shared" ref="C250:C253" si="22">HYPERLINK("http://phish.net/sideshows/mike-gordon/?d="&amp;RIGHT(TEXT(A250,"mm/dd/yyyy"),4)&amp;"-"&amp;LEFT(TEXT(A250,"mm/dd/yyyy"),2)&amp;"-"&amp;MID(TEXT(A250,"mm/dd/yyyy"),4,2), "setlist")</f>
        <v>setlist</v>
      </c>
      <c r="D250" s="183" t="s">
        <v>3014</v>
      </c>
      <c r="E250" s="113" t="s">
        <v>2294</v>
      </c>
      <c r="F250" s="114" t="s">
        <v>129</v>
      </c>
      <c r="G250" s="114" t="s">
        <v>36</v>
      </c>
      <c r="H250" s="135" t="str">
        <f>HYPERLINK("http://www.mediafire.com/?3wcnh7qyvg1db", "download link")</f>
        <v>download link</v>
      </c>
      <c r="I250" s="80"/>
      <c r="J250" s="80"/>
      <c r="K250" s="80"/>
      <c r="L250" s="80"/>
    </row>
    <row r="251">
      <c r="A251" s="103">
        <v>40065.0</v>
      </c>
      <c r="B251" s="104"/>
      <c r="C251" s="105" t="str">
        <f t="shared" si="22"/>
        <v>setlist</v>
      </c>
      <c r="D251" s="181" t="s">
        <v>562</v>
      </c>
      <c r="E251" s="106" t="s">
        <v>290</v>
      </c>
      <c r="F251" s="107" t="s">
        <v>95</v>
      </c>
      <c r="G251" s="107" t="s">
        <v>36</v>
      </c>
      <c r="H251" s="105" t="str">
        <f>HYPERLINK("http://www.mediafire.com/?a59sx2pqhf11k", "download link")</f>
        <v>download link</v>
      </c>
      <c r="I251" s="109"/>
      <c r="J251" s="109"/>
      <c r="K251" s="109"/>
      <c r="L251" s="109"/>
    </row>
    <row r="252">
      <c r="A252" s="110">
        <v>40066.0</v>
      </c>
      <c r="B252" s="111"/>
      <c r="C252" s="116" t="str">
        <f t="shared" si="22"/>
        <v>setlist</v>
      </c>
      <c r="D252" s="183" t="s">
        <v>3329</v>
      </c>
      <c r="E252" s="113" t="s">
        <v>279</v>
      </c>
      <c r="F252" s="114" t="s">
        <v>257</v>
      </c>
      <c r="G252" s="114" t="s">
        <v>36</v>
      </c>
      <c r="H252" s="135" t="str">
        <f>HYPERLINK("http://www.mediafire.com/?h3n2hh443gus5", "download link")</f>
        <v>download link</v>
      </c>
      <c r="I252" s="80"/>
      <c r="J252" s="80"/>
      <c r="K252" s="80"/>
      <c r="L252" s="80"/>
    </row>
    <row r="253">
      <c r="A253" s="103">
        <v>40067.0</v>
      </c>
      <c r="B253" s="104"/>
      <c r="C253" s="105" t="str">
        <f t="shared" si="22"/>
        <v>setlist</v>
      </c>
      <c r="D253" s="181" t="s">
        <v>3330</v>
      </c>
      <c r="E253" s="106" t="s">
        <v>1689</v>
      </c>
      <c r="F253" s="107" t="s">
        <v>129</v>
      </c>
      <c r="G253" s="107" t="s">
        <v>36</v>
      </c>
      <c r="H253" s="105" t="str">
        <f>HYPERLINK("http://www.mediafire.com/?d8txcfc3fh2sf", "download link")</f>
        <v>download link</v>
      </c>
      <c r="I253" s="109"/>
      <c r="J253" s="109"/>
      <c r="K253" s="109"/>
      <c r="L253" s="109"/>
    </row>
    <row r="254">
      <c r="A254" s="110">
        <v>40068.0</v>
      </c>
      <c r="B254" s="111"/>
      <c r="C254" s="116" t="str">
        <f>HYPERLINK("http://phish.net/sideshows/mike-gordon/?showid=1299251195", "setlist")</f>
        <v>setlist</v>
      </c>
      <c r="D254" s="183" t="s">
        <v>1193</v>
      </c>
      <c r="E254" s="113" t="s">
        <v>3263</v>
      </c>
      <c r="F254" s="114" t="s">
        <v>446</v>
      </c>
      <c r="G254" s="114" t="s">
        <v>36</v>
      </c>
      <c r="H254" s="135" t="str">
        <f>HYPERLINK("http://www.mediafire.com/?6jo6n1e6owkyk", "download link")</f>
        <v>download link</v>
      </c>
      <c r="I254" s="80"/>
      <c r="J254" s="80"/>
      <c r="K254" s="80"/>
      <c r="L254" s="80"/>
    </row>
    <row r="255">
      <c r="A255" s="103">
        <v>40070.0</v>
      </c>
      <c r="B255" s="104"/>
      <c r="C255" s="105" t="str">
        <f t="shared" ref="C255:C270" si="23">HYPERLINK("http://phish.net/sideshows/mike-gordon/?d="&amp;RIGHT(TEXT(A255,"mm/dd/yyyy"),4)&amp;"-"&amp;LEFT(TEXT(A255,"mm/dd/yyyy"),2)&amp;"-"&amp;MID(TEXT(A255,"mm/dd/yyyy"),4,2), "setlist")</f>
        <v>setlist</v>
      </c>
      <c r="D255" s="181" t="s">
        <v>3331</v>
      </c>
      <c r="E255" s="106" t="s">
        <v>536</v>
      </c>
      <c r="F255" s="107" t="s">
        <v>443</v>
      </c>
      <c r="G255" s="107" t="s">
        <v>36</v>
      </c>
      <c r="H255" s="105" t="str">
        <f>HYPERLINK("http://www.mediafire.com/?8ats6ta5518md", "download link")</f>
        <v>download link</v>
      </c>
      <c r="I255" s="109"/>
      <c r="J255" s="109"/>
      <c r="K255" s="109"/>
      <c r="L255" s="109"/>
    </row>
    <row r="256">
      <c r="A256" s="110">
        <v>40071.0</v>
      </c>
      <c r="B256" s="111"/>
      <c r="C256" s="116" t="str">
        <f t="shared" si="23"/>
        <v>setlist</v>
      </c>
      <c r="D256" s="183" t="s">
        <v>2953</v>
      </c>
      <c r="E256" s="113" t="s">
        <v>2327</v>
      </c>
      <c r="F256" s="114" t="s">
        <v>443</v>
      </c>
      <c r="G256" s="114" t="s">
        <v>36</v>
      </c>
      <c r="H256" s="135" t="str">
        <f>HYPERLINK("http://www.mediafire.com/?61pud14t5suql", "download link")</f>
        <v>download link</v>
      </c>
      <c r="I256" s="80"/>
      <c r="J256" s="80"/>
      <c r="K256" s="80"/>
      <c r="L256" s="80"/>
    </row>
    <row r="257">
      <c r="A257" s="103">
        <v>40073.0</v>
      </c>
      <c r="B257" s="104"/>
      <c r="C257" s="105" t="str">
        <f t="shared" si="23"/>
        <v>setlist</v>
      </c>
      <c r="D257" s="181" t="s">
        <v>761</v>
      </c>
      <c r="E257" s="106" t="s">
        <v>437</v>
      </c>
      <c r="F257" s="107" t="s">
        <v>433</v>
      </c>
      <c r="G257" s="107" t="s">
        <v>36</v>
      </c>
      <c r="H257" s="105" t="str">
        <f>HYPERLINK("http://www.mediafire.com/?3gkmko6eyxwf2", "download link")</f>
        <v>download link</v>
      </c>
      <c r="I257" s="109"/>
      <c r="J257" s="109"/>
      <c r="K257" s="109"/>
      <c r="L257" s="109"/>
    </row>
    <row r="258">
      <c r="A258" s="110">
        <v>40074.0</v>
      </c>
      <c r="B258" s="111"/>
      <c r="C258" s="116" t="str">
        <f t="shared" si="23"/>
        <v>setlist</v>
      </c>
      <c r="D258" s="183" t="s">
        <v>3264</v>
      </c>
      <c r="E258" s="113" t="s">
        <v>2635</v>
      </c>
      <c r="F258" s="114" t="s">
        <v>1133</v>
      </c>
      <c r="G258" s="114" t="s">
        <v>36</v>
      </c>
      <c r="H258" s="135" t="str">
        <f>HYPERLINK("http://www.mediafire.com/?3iahcb1wp26rp", "download link")</f>
        <v>download link</v>
      </c>
      <c r="I258" s="80"/>
      <c r="J258" s="80"/>
      <c r="K258" s="80"/>
      <c r="L258" s="80"/>
    </row>
    <row r="259">
      <c r="A259" s="103">
        <v>40075.0</v>
      </c>
      <c r="B259" s="104"/>
      <c r="C259" s="105" t="str">
        <f t="shared" si="23"/>
        <v>setlist</v>
      </c>
      <c r="D259" s="181" t="s">
        <v>3332</v>
      </c>
      <c r="E259" s="106" t="s">
        <v>1360</v>
      </c>
      <c r="F259" s="107" t="s">
        <v>583</v>
      </c>
      <c r="G259" s="107" t="s">
        <v>36</v>
      </c>
      <c r="H259" s="105" t="str">
        <f>HYPERLINK("http://www.mediafire.com/?7woyu0yct2dc3", "download link")</f>
        <v>download link</v>
      </c>
      <c r="I259" s="109"/>
      <c r="J259" s="109"/>
      <c r="K259" s="109"/>
      <c r="L259" s="109"/>
    </row>
    <row r="260">
      <c r="A260" s="110">
        <v>40077.0</v>
      </c>
      <c r="B260" s="111"/>
      <c r="C260" s="116" t="str">
        <f t="shared" si="23"/>
        <v>setlist</v>
      </c>
      <c r="D260" s="183" t="s">
        <v>3333</v>
      </c>
      <c r="E260" s="113" t="s">
        <v>656</v>
      </c>
      <c r="F260" s="114" t="s">
        <v>650</v>
      </c>
      <c r="G260" s="111"/>
      <c r="H260" s="138"/>
      <c r="I260" s="80"/>
      <c r="J260" s="80"/>
      <c r="K260" s="80"/>
      <c r="L260" s="80"/>
    </row>
    <row r="261">
      <c r="A261" s="103">
        <v>40078.0</v>
      </c>
      <c r="B261" s="104"/>
      <c r="C261" s="105" t="str">
        <f t="shared" si="23"/>
        <v>setlist</v>
      </c>
      <c r="D261" s="181" t="s">
        <v>3334</v>
      </c>
      <c r="E261" s="106" t="s">
        <v>652</v>
      </c>
      <c r="F261" s="107" t="s">
        <v>650</v>
      </c>
      <c r="G261" s="104"/>
      <c r="H261" s="108"/>
      <c r="I261" s="109"/>
      <c r="J261" s="109"/>
      <c r="K261" s="109"/>
      <c r="L261" s="109"/>
    </row>
    <row r="262">
      <c r="A262" s="110">
        <v>40080.0</v>
      </c>
      <c r="B262" s="111"/>
      <c r="C262" s="116" t="str">
        <f t="shared" si="23"/>
        <v>setlist</v>
      </c>
      <c r="D262" s="183" t="s">
        <v>3335</v>
      </c>
      <c r="E262" s="113" t="s">
        <v>1289</v>
      </c>
      <c r="F262" s="114" t="s">
        <v>508</v>
      </c>
      <c r="G262" s="114" t="s">
        <v>36</v>
      </c>
      <c r="H262" s="135" t="str">
        <f>HYPERLINK("http://www.mediafire.com/?q3945a0wy9ve4", "download link")</f>
        <v>download link</v>
      </c>
      <c r="I262" s="80"/>
      <c r="J262" s="80"/>
      <c r="K262" s="80"/>
      <c r="L262" s="80"/>
    </row>
    <row r="263">
      <c r="A263" s="103">
        <v>40081.0</v>
      </c>
      <c r="B263" s="104"/>
      <c r="C263" s="105" t="str">
        <f t="shared" si="23"/>
        <v>setlist</v>
      </c>
      <c r="D263" s="181" t="s">
        <v>3226</v>
      </c>
      <c r="E263" s="106" t="s">
        <v>479</v>
      </c>
      <c r="F263" s="107" t="s">
        <v>480</v>
      </c>
      <c r="G263" s="107" t="s">
        <v>36</v>
      </c>
      <c r="H263" s="105" t="str">
        <f>HYPERLINK("http://www.mediafire.com/?kawu8rkecr9nn", "download link")</f>
        <v>download link</v>
      </c>
      <c r="I263" s="109"/>
      <c r="J263" s="109"/>
      <c r="K263" s="109"/>
      <c r="L263" s="109"/>
    </row>
    <row r="264">
      <c r="A264" s="110">
        <v>40082.0</v>
      </c>
      <c r="B264" s="111"/>
      <c r="C264" s="116" t="str">
        <f t="shared" si="23"/>
        <v>setlist</v>
      </c>
      <c r="D264" s="183" t="s">
        <v>704</v>
      </c>
      <c r="E264" s="113" t="s">
        <v>482</v>
      </c>
      <c r="F264" s="114" t="s">
        <v>483</v>
      </c>
      <c r="G264" s="114" t="s">
        <v>36</v>
      </c>
      <c r="H264" s="135" t="str">
        <f>HYPERLINK("http://www.mediafire.com/?1ppaf33a13v90", "download link")</f>
        <v>download link</v>
      </c>
      <c r="I264" s="80"/>
      <c r="J264" s="80"/>
      <c r="K264" s="80"/>
      <c r="L264" s="80"/>
    </row>
    <row r="265">
      <c r="A265" s="103">
        <v>40084.0</v>
      </c>
      <c r="B265" s="104"/>
      <c r="C265" s="105" t="str">
        <f t="shared" si="23"/>
        <v>setlist</v>
      </c>
      <c r="D265" s="181" t="s">
        <v>3336</v>
      </c>
      <c r="E265" s="106" t="s">
        <v>943</v>
      </c>
      <c r="F265" s="107" t="s">
        <v>472</v>
      </c>
      <c r="G265" s="107" t="s">
        <v>36</v>
      </c>
      <c r="H265" s="105" t="str">
        <f>HYPERLINK("http://www.mediafire.com/?x33nkke1gxs3o", "download link")</f>
        <v>download link</v>
      </c>
      <c r="I265" s="109"/>
      <c r="J265" s="109"/>
      <c r="K265" s="109"/>
      <c r="L265" s="109"/>
    </row>
    <row r="266">
      <c r="A266" s="110">
        <v>40085.0</v>
      </c>
      <c r="B266" s="111"/>
      <c r="C266" s="116" t="str">
        <f t="shared" si="23"/>
        <v>setlist</v>
      </c>
      <c r="D266" s="183" t="s">
        <v>3337</v>
      </c>
      <c r="E266" s="113" t="s">
        <v>711</v>
      </c>
      <c r="F266" s="114" t="s">
        <v>712</v>
      </c>
      <c r="G266" s="111"/>
      <c r="H266" s="138"/>
      <c r="I266" s="80"/>
      <c r="J266" s="80"/>
      <c r="K266" s="80"/>
      <c r="L266" s="80"/>
    </row>
    <row r="267">
      <c r="A267" s="103">
        <v>40086.0</v>
      </c>
      <c r="B267" s="104"/>
      <c r="C267" s="105" t="str">
        <f t="shared" si="23"/>
        <v>setlist</v>
      </c>
      <c r="D267" s="181" t="s">
        <v>3338</v>
      </c>
      <c r="E267" s="106" t="s">
        <v>1073</v>
      </c>
      <c r="F267" s="107" t="s">
        <v>212</v>
      </c>
      <c r="G267" s="107" t="s">
        <v>36</v>
      </c>
      <c r="H267" s="105" t="str">
        <f>HYPERLINK("http://www.mediafire.com/?y62s3pk3971ul", "download link")</f>
        <v>download link</v>
      </c>
      <c r="I267" s="109"/>
      <c r="J267" s="109"/>
      <c r="K267" s="109"/>
      <c r="L267" s="109"/>
    </row>
    <row r="268">
      <c r="A268" s="110">
        <v>40088.0</v>
      </c>
      <c r="B268" s="111"/>
      <c r="C268" s="116" t="str">
        <f t="shared" si="23"/>
        <v>setlist</v>
      </c>
      <c r="D268" s="183" t="s">
        <v>3339</v>
      </c>
      <c r="E268" s="113" t="s">
        <v>1090</v>
      </c>
      <c r="F268" s="114" t="s">
        <v>1091</v>
      </c>
      <c r="G268" s="114" t="s">
        <v>36</v>
      </c>
      <c r="H268" s="135" t="str">
        <f>HYPERLINK("http://www.mediafire.com/file/vyw584qsyg244in/2009-10-02_-_The_Mod_Club_-_Toronto%2C_Ontario%2C_Canada.rar", "download link")</f>
        <v>download link</v>
      </c>
      <c r="I268" s="80"/>
      <c r="J268" s="80"/>
      <c r="K268" s="80"/>
      <c r="L268" s="80"/>
    </row>
    <row r="269">
      <c r="A269" s="103">
        <v>40089.0</v>
      </c>
      <c r="B269" s="104"/>
      <c r="C269" s="105" t="str">
        <f t="shared" si="23"/>
        <v>setlist</v>
      </c>
      <c r="D269" s="181" t="s">
        <v>3340</v>
      </c>
      <c r="E269" s="106" t="s">
        <v>715</v>
      </c>
      <c r="F269" s="107" t="s">
        <v>129</v>
      </c>
      <c r="G269" s="107" t="s">
        <v>36</v>
      </c>
      <c r="H269" s="105" t="str">
        <f>HYPERLINK("http://www.mediafire.com/?roiq3of5rmouc", "download link")</f>
        <v>download link</v>
      </c>
      <c r="I269" s="109"/>
      <c r="J269" s="109"/>
      <c r="K269" s="109"/>
      <c r="L269" s="109"/>
    </row>
    <row r="270">
      <c r="A270" s="110">
        <v>40090.0</v>
      </c>
      <c r="B270" s="111"/>
      <c r="C270" s="116" t="str">
        <f t="shared" si="23"/>
        <v>setlist</v>
      </c>
      <c r="D270" s="183" t="s">
        <v>2817</v>
      </c>
      <c r="E270" s="113" t="s">
        <v>2826</v>
      </c>
      <c r="F270" s="114" t="s">
        <v>35</v>
      </c>
      <c r="G270" s="114" t="s">
        <v>36</v>
      </c>
      <c r="H270" s="135" t="str">
        <f>HYPERLINK("http://www.mediafire.com/?obfo4sc540jdl", "download link")</f>
        <v>download link</v>
      </c>
      <c r="I270" s="113" t="s">
        <v>2812</v>
      </c>
      <c r="J270" s="113"/>
      <c r="K270" s="113"/>
      <c r="L270" s="113"/>
    </row>
    <row r="271">
      <c r="A271" s="350"/>
      <c r="B271" s="351"/>
      <c r="C271" s="362"/>
      <c r="D271" s="356" t="s">
        <v>3232</v>
      </c>
      <c r="E271" s="350"/>
      <c r="F271" s="351"/>
      <c r="G271" s="351"/>
      <c r="H271" s="351"/>
      <c r="I271" s="350"/>
      <c r="J271" s="350"/>
      <c r="K271" s="350"/>
      <c r="L271" s="350"/>
    </row>
    <row r="272">
      <c r="A272" s="110">
        <v>40242.0</v>
      </c>
      <c r="B272" s="111"/>
      <c r="C272" s="116" t="str">
        <f t="shared" ref="C272:C279" si="24">HYPERLINK("http://phish.net/sideshows/mike-gordon/?d="&amp;RIGHT(TEXT(A272,"mm/dd/yyyy"),4)&amp;"-"&amp;LEFT(TEXT(A272,"mm/dd/yyyy"),2)&amp;"-"&amp;MID(TEXT(A272,"mm/dd/yyyy"),4,2), "setlist")</f>
        <v>setlist</v>
      </c>
      <c r="D272" s="183" t="s">
        <v>3341</v>
      </c>
      <c r="E272" s="113" t="s">
        <v>2849</v>
      </c>
      <c r="F272" s="114" t="s">
        <v>129</v>
      </c>
      <c r="G272" s="114" t="s">
        <v>36</v>
      </c>
      <c r="H272" s="135" t="str">
        <f>HYPERLINK("http://www.mediafire.com/?2a78zbp866na6", "download link")</f>
        <v>download link</v>
      </c>
      <c r="I272" s="80"/>
      <c r="J272" s="80"/>
      <c r="K272" s="80"/>
      <c r="L272" s="80"/>
    </row>
    <row r="273">
      <c r="A273" s="103">
        <v>40243.0</v>
      </c>
      <c r="B273" s="104"/>
      <c r="C273" s="105" t="str">
        <f t="shared" si="24"/>
        <v>setlist</v>
      </c>
      <c r="D273" s="181" t="s">
        <v>458</v>
      </c>
      <c r="E273" s="106" t="s">
        <v>459</v>
      </c>
      <c r="F273" s="107" t="s">
        <v>171</v>
      </c>
      <c r="G273" s="104"/>
      <c r="H273" s="108"/>
      <c r="I273" s="109"/>
      <c r="J273" s="109"/>
      <c r="K273" s="109"/>
      <c r="L273" s="109"/>
    </row>
    <row r="274">
      <c r="A274" s="110">
        <v>40244.0</v>
      </c>
      <c r="B274" s="111"/>
      <c r="C274" s="116" t="str">
        <f t="shared" si="24"/>
        <v>setlist</v>
      </c>
      <c r="D274" s="183" t="s">
        <v>3057</v>
      </c>
      <c r="E274" s="113" t="s">
        <v>3342</v>
      </c>
      <c r="F274" s="114" t="s">
        <v>212</v>
      </c>
      <c r="G274" s="114" t="s">
        <v>36</v>
      </c>
      <c r="H274" s="135" t="str">
        <f>HYPERLINK("http://www.mediafire.com/?yfgzuv24vuli4", "download link")</f>
        <v>download link</v>
      </c>
      <c r="I274" s="80"/>
      <c r="J274" s="80"/>
      <c r="K274" s="80"/>
      <c r="L274" s="80"/>
    </row>
    <row r="275">
      <c r="A275" s="103">
        <v>40246.0</v>
      </c>
      <c r="B275" s="104"/>
      <c r="C275" s="105" t="str">
        <f t="shared" si="24"/>
        <v>setlist</v>
      </c>
      <c r="D275" s="181" t="s">
        <v>3043</v>
      </c>
      <c r="E275" s="106" t="s">
        <v>396</v>
      </c>
      <c r="F275" s="107" t="s">
        <v>397</v>
      </c>
      <c r="G275" s="107" t="s">
        <v>36</v>
      </c>
      <c r="H275" s="105" t="str">
        <f>HYPERLINK("http://www.mediafire.com/?qe68wr98f2b48", "download link")</f>
        <v>download link</v>
      </c>
      <c r="I275" s="109"/>
      <c r="J275" s="109"/>
      <c r="K275" s="109"/>
      <c r="L275" s="109"/>
    </row>
    <row r="276">
      <c r="A276" s="110">
        <v>40248.0</v>
      </c>
      <c r="B276" s="111"/>
      <c r="C276" s="116" t="str">
        <f t="shared" si="24"/>
        <v>setlist</v>
      </c>
      <c r="D276" s="183" t="s">
        <v>3024</v>
      </c>
      <c r="E276" s="113" t="s">
        <v>579</v>
      </c>
      <c r="F276" s="114" t="s">
        <v>446</v>
      </c>
      <c r="G276" s="114" t="s">
        <v>36</v>
      </c>
      <c r="H276" s="135" t="str">
        <f>HYPERLINK("http://www.mediafire.com/file/gq8fksxk4gpizp7/2010-03-11_-_Jefferson_Theatre_-_Charlottesville%2C_VA.rar", "download link")</f>
        <v>download link</v>
      </c>
      <c r="I276" s="80"/>
      <c r="J276" s="80"/>
      <c r="K276" s="80"/>
      <c r="L276" s="80"/>
    </row>
    <row r="277">
      <c r="A277" s="103">
        <v>40249.0</v>
      </c>
      <c r="B277" s="104"/>
      <c r="C277" s="105" t="str">
        <f t="shared" si="24"/>
        <v>setlist</v>
      </c>
      <c r="D277" s="181" t="s">
        <v>3224</v>
      </c>
      <c r="E277" s="106" t="s">
        <v>871</v>
      </c>
      <c r="F277" s="107" t="s">
        <v>212</v>
      </c>
      <c r="G277" s="107" t="s">
        <v>36</v>
      </c>
      <c r="H277" s="105" t="str">
        <f>HYPERLINK("http://www.mediafire.com/?b4e5375qqy418", "download link")</f>
        <v>download link</v>
      </c>
      <c r="I277" s="109"/>
      <c r="J277" s="109"/>
      <c r="K277" s="109"/>
      <c r="L277" s="109"/>
    </row>
    <row r="278">
      <c r="A278" s="110">
        <v>40250.0</v>
      </c>
      <c r="B278" s="111"/>
      <c r="C278" s="116" t="str">
        <f t="shared" si="24"/>
        <v>setlist</v>
      </c>
      <c r="D278" s="183" t="s">
        <v>301</v>
      </c>
      <c r="E278" s="113" t="s">
        <v>247</v>
      </c>
      <c r="F278" s="114" t="s">
        <v>95</v>
      </c>
      <c r="G278" s="114" t="s">
        <v>36</v>
      </c>
      <c r="H278" s="135" t="str">
        <f>HYPERLINK("http://www.mediafire.com/?qrvnovkqyugv8", "download link")</f>
        <v>download link</v>
      </c>
      <c r="I278" s="80"/>
      <c r="J278" s="80"/>
      <c r="K278" s="80"/>
      <c r="L278" s="80"/>
    </row>
    <row r="279">
      <c r="A279" s="103">
        <v>40251.0</v>
      </c>
      <c r="B279" s="104"/>
      <c r="C279" s="105" t="str">
        <f t="shared" si="24"/>
        <v>setlist</v>
      </c>
      <c r="D279" s="181" t="s">
        <v>3343</v>
      </c>
      <c r="E279" s="106" t="s">
        <v>3344</v>
      </c>
      <c r="F279" s="107" t="s">
        <v>182</v>
      </c>
      <c r="G279" s="107" t="s">
        <v>36</v>
      </c>
      <c r="H279" s="105" t="str">
        <f>HYPERLINK("http://www.mediafire.com/?l1ik5qi192hyd", "download link")</f>
        <v>download link</v>
      </c>
      <c r="I279" s="109"/>
      <c r="J279" s="109"/>
      <c r="K279" s="109"/>
      <c r="L279" s="109"/>
    </row>
    <row r="280">
      <c r="A280" s="350"/>
      <c r="B280" s="351"/>
      <c r="C280" s="362"/>
      <c r="D280" s="356" t="s">
        <v>3232</v>
      </c>
      <c r="E280" s="350"/>
      <c r="F280" s="351"/>
      <c r="G280" s="351"/>
      <c r="H280" s="351"/>
      <c r="I280" s="350"/>
      <c r="J280" s="350"/>
      <c r="K280" s="350"/>
      <c r="L280" s="350"/>
    </row>
    <row r="281">
      <c r="A281" s="110">
        <v>40426.0</v>
      </c>
      <c r="B281" s="111"/>
      <c r="C281" s="116" t="str">
        <f>HYPERLINK("http://phish.net/sideshows/mike-gordon/?d="&amp;RIGHT(TEXT(A281,"mm/dd/yyyy"),4)&amp;"-"&amp;LEFT(TEXT(A281,"mm/dd/yyyy"),2)&amp;"-"&amp;MID(TEXT(A281,"mm/dd/yyyy"),4,2), "setlist")</f>
        <v>setlist</v>
      </c>
      <c r="D281" s="183" t="s">
        <v>3345</v>
      </c>
      <c r="E281" s="113" t="s">
        <v>3346</v>
      </c>
      <c r="F281" s="114" t="s">
        <v>129</v>
      </c>
      <c r="G281" s="114" t="s">
        <v>36</v>
      </c>
      <c r="H281" s="135" t="str">
        <f>HYPERLINK("http://www.mediafire.com/?0xfvdpa0iw5kq", "download link")</f>
        <v>download link</v>
      </c>
      <c r="I281" s="80"/>
      <c r="J281" s="80"/>
      <c r="K281" s="80"/>
      <c r="L281" s="80"/>
    </row>
    <row r="282">
      <c r="A282" s="350"/>
      <c r="B282" s="351"/>
      <c r="C282" s="362"/>
      <c r="D282" s="356" t="s">
        <v>2819</v>
      </c>
      <c r="E282" s="350"/>
      <c r="F282" s="351"/>
      <c r="G282" s="351"/>
      <c r="H282" s="351"/>
      <c r="I282" s="350"/>
      <c r="J282" s="350"/>
      <c r="K282" s="350"/>
      <c r="L282" s="350"/>
    </row>
    <row r="283">
      <c r="A283" s="110">
        <v>40460.0</v>
      </c>
      <c r="B283" s="111"/>
      <c r="C283" s="116" t="str">
        <f>HYPERLINK("http://phish.net/sideshows/trey-anastasio-band/?showid=1319222810", "setlist")</f>
        <v>setlist</v>
      </c>
      <c r="D283" s="183" t="s">
        <v>2406</v>
      </c>
      <c r="E283" s="113" t="s">
        <v>2407</v>
      </c>
      <c r="F283" s="114" t="s">
        <v>203</v>
      </c>
      <c r="G283" s="151" t="s">
        <v>36</v>
      </c>
      <c r="H283" s="116" t="str">
        <f>HYPERLINK("http://www.mediafire.com/?2642zya28uyci", "download link")</f>
        <v>download link</v>
      </c>
      <c r="I283" s="80"/>
      <c r="J283" s="80"/>
      <c r="K283" s="80"/>
      <c r="L283" s="80"/>
    </row>
    <row r="284">
      <c r="A284" s="350"/>
      <c r="B284" s="351"/>
      <c r="C284" s="362"/>
      <c r="D284" s="356" t="s">
        <v>3347</v>
      </c>
      <c r="E284" s="350"/>
      <c r="F284" s="351"/>
      <c r="G284" s="351"/>
      <c r="H284" s="351"/>
      <c r="I284" s="350"/>
      <c r="J284" s="350"/>
      <c r="K284" s="350"/>
      <c r="L284" s="350"/>
    </row>
    <row r="285">
      <c r="A285" s="110">
        <v>40469.0</v>
      </c>
      <c r="B285" s="111"/>
      <c r="C285" s="116" t="str">
        <f>HYPERLINK("http://phish.net/sideshows/mike-gordon/?d="&amp;RIGHT(TEXT(A285,"mm/dd/yyyy"),4)&amp;"-"&amp;LEFT(TEXT(A285,"mm/dd/yyyy"),2)&amp;"-"&amp;MID(TEXT(A285,"mm/dd/yyyy"),4,2), "setlist")</f>
        <v>setlist</v>
      </c>
      <c r="D285" s="183" t="s">
        <v>161</v>
      </c>
      <c r="E285" s="113" t="s">
        <v>162</v>
      </c>
      <c r="F285" s="114" t="s">
        <v>129</v>
      </c>
      <c r="G285" s="114" t="s">
        <v>36</v>
      </c>
      <c r="H285" s="135" t="str">
        <f>HYPERLINK("http://www.mediafire.com/?3s6e0417z3b4l", "download link")</f>
        <v>download link</v>
      </c>
      <c r="I285" s="80"/>
      <c r="J285" s="80"/>
      <c r="K285" s="80"/>
      <c r="L285" s="80"/>
    </row>
    <row r="286">
      <c r="A286" s="350"/>
      <c r="B286" s="351"/>
      <c r="C286" s="362"/>
      <c r="D286" s="356" t="s">
        <v>3232</v>
      </c>
      <c r="E286" s="350"/>
      <c r="F286" s="351"/>
      <c r="G286" s="351"/>
      <c r="H286" s="351"/>
      <c r="I286" s="350"/>
      <c r="J286" s="350"/>
      <c r="K286" s="350"/>
      <c r="L286" s="350"/>
    </row>
    <row r="287">
      <c r="A287" s="142">
        <v>40488.0</v>
      </c>
      <c r="B287" s="144"/>
      <c r="C287" s="116" t="str">
        <f>HYPERLINK("http://phish.net/sideshows/mike-gordon/?d="&amp;RIGHT(TEXT(A287,"mm/dd/yyyy"),4)&amp;"-"&amp;LEFT(TEXT(A287,"mm/dd/yyyy"),2)&amp;"-"&amp;MID(TEXT(A287,"mm/dd/yyyy"),4,2), "setlist")</f>
        <v>setlist</v>
      </c>
      <c r="D287" s="272" t="s">
        <v>3348</v>
      </c>
      <c r="E287" s="118" t="s">
        <v>3257</v>
      </c>
      <c r="F287" s="115" t="s">
        <v>679</v>
      </c>
      <c r="G287" s="115" t="s">
        <v>36</v>
      </c>
      <c r="H287" s="116" t="str">
        <f>HYPERLINK("http://www.mediafire.com/?8ajf6sy6hl4a4", "download link")</f>
        <v>download link</v>
      </c>
      <c r="I287" s="146"/>
      <c r="J287" s="146"/>
      <c r="K287" s="146"/>
      <c r="L287" s="146"/>
    </row>
    <row r="288">
      <c r="A288" s="103">
        <v>40489.0</v>
      </c>
      <c r="B288" s="104"/>
      <c r="C288" s="105" t="str">
        <f>HYPERLINK("http://phish.net/sideshows/mike-gordon/?showid=1299038194", "setlist")</f>
        <v>setlist</v>
      </c>
      <c r="D288" s="181" t="s">
        <v>3349</v>
      </c>
      <c r="E288" s="106" t="s">
        <v>683</v>
      </c>
      <c r="F288" s="107" t="s">
        <v>679</v>
      </c>
      <c r="G288" s="104"/>
      <c r="H288" s="108"/>
      <c r="I288" s="109"/>
      <c r="J288" s="109"/>
      <c r="K288" s="109"/>
      <c r="L288" s="109"/>
    </row>
    <row r="289">
      <c r="A289" s="110">
        <v>40489.0</v>
      </c>
      <c r="B289" s="111"/>
      <c r="C289" s="116" t="str">
        <f>HYPERLINK("http://phish.net/sideshows/mike-gordon/?showid=1299038878", "setlist")</f>
        <v>setlist</v>
      </c>
      <c r="D289" s="183" t="s">
        <v>3350</v>
      </c>
      <c r="E289" s="113" t="s">
        <v>683</v>
      </c>
      <c r="F289" s="114" t="s">
        <v>679</v>
      </c>
      <c r="G289" s="111"/>
      <c r="H289" s="138"/>
      <c r="I289" s="80"/>
      <c r="J289" s="80"/>
      <c r="K289" s="80"/>
      <c r="L289" s="80"/>
    </row>
    <row r="290">
      <c r="A290" s="103">
        <v>40490.0</v>
      </c>
      <c r="B290" s="104"/>
      <c r="C290" s="105" t="str">
        <f t="shared" ref="C290:C297" si="25">HYPERLINK("http://phish.net/sideshows/mike-gordon/?d="&amp;RIGHT(TEXT(A290,"mm/dd/yyyy"),4)&amp;"-"&amp;LEFT(TEXT(A290,"mm/dd/yyyy"),2)&amp;"-"&amp;MID(TEXT(A290,"mm/dd/yyyy"),4,2), "setlist")</f>
        <v>setlist</v>
      </c>
      <c r="D290" s="181" t="s">
        <v>3318</v>
      </c>
      <c r="E290" s="106" t="s">
        <v>279</v>
      </c>
      <c r="F290" s="107" t="s">
        <v>692</v>
      </c>
      <c r="G290" s="107" t="s">
        <v>36</v>
      </c>
      <c r="H290" s="105" t="str">
        <f>HYPERLINK("http://www.mediafire.com/?3a6zzfty16l8h", "download link")</f>
        <v>download link</v>
      </c>
      <c r="I290" s="109"/>
      <c r="J290" s="109"/>
      <c r="K290" s="109"/>
      <c r="L290" s="109"/>
    </row>
    <row r="291">
      <c r="A291" s="142">
        <v>40492.0</v>
      </c>
      <c r="B291" s="144"/>
      <c r="C291" s="116" t="str">
        <f t="shared" si="25"/>
        <v>setlist</v>
      </c>
      <c r="D291" s="272" t="s">
        <v>3351</v>
      </c>
      <c r="E291" s="118" t="s">
        <v>791</v>
      </c>
      <c r="F291" s="115" t="s">
        <v>701</v>
      </c>
      <c r="G291" s="115" t="s">
        <v>36</v>
      </c>
      <c r="H291" s="116" t="str">
        <f>HYPERLINK("http://www.mediafire.com/?85cmdo9m8w42u", "download link")</f>
        <v>download link</v>
      </c>
      <c r="I291" s="146"/>
      <c r="J291" s="146"/>
      <c r="K291" s="146"/>
      <c r="L291" s="146"/>
    </row>
    <row r="292">
      <c r="A292" s="103">
        <v>40493.0</v>
      </c>
      <c r="B292" s="104"/>
      <c r="C292" s="105" t="str">
        <f t="shared" si="25"/>
        <v>setlist</v>
      </c>
      <c r="D292" s="181" t="s">
        <v>3352</v>
      </c>
      <c r="E292" s="106" t="s">
        <v>1605</v>
      </c>
      <c r="F292" s="107" t="s">
        <v>1523</v>
      </c>
      <c r="G292" s="107" t="s">
        <v>36</v>
      </c>
      <c r="H292" s="105" t="str">
        <f>HYPERLINK("http://www.mediafire.com/?bvdiidmkrb2yb", "download link")</f>
        <v>download link</v>
      </c>
      <c r="I292" s="109"/>
      <c r="J292" s="109"/>
      <c r="K292" s="109"/>
      <c r="L292" s="109"/>
    </row>
    <row r="293">
      <c r="A293" s="142">
        <v>40494.0</v>
      </c>
      <c r="B293" s="144"/>
      <c r="C293" s="116" t="str">
        <f t="shared" si="25"/>
        <v>setlist</v>
      </c>
      <c r="D293" s="272" t="s">
        <v>3353</v>
      </c>
      <c r="E293" s="118" t="s">
        <v>1301</v>
      </c>
      <c r="F293" s="115" t="s">
        <v>1302</v>
      </c>
      <c r="G293" s="115" t="s">
        <v>3354</v>
      </c>
      <c r="H293" s="116" t="str">
        <f>HYPERLINK("http://www.mediafire.com/?9boei338sxz01", "download link")</f>
        <v>download link</v>
      </c>
      <c r="I293" s="146"/>
      <c r="J293" s="146"/>
      <c r="K293" s="146"/>
      <c r="L293" s="146"/>
    </row>
    <row r="294">
      <c r="A294" s="103">
        <v>40495.0</v>
      </c>
      <c r="B294" s="104"/>
      <c r="C294" s="105" t="str">
        <f t="shared" si="25"/>
        <v>setlist</v>
      </c>
      <c r="D294" s="181" t="s">
        <v>897</v>
      </c>
      <c r="E294" s="106" t="s">
        <v>488</v>
      </c>
      <c r="F294" s="107" t="s">
        <v>203</v>
      </c>
      <c r="G294" s="107" t="s">
        <v>36</v>
      </c>
      <c r="H294" s="105" t="str">
        <f>HYPERLINK("http://www.mediafire.com/?82mqroa9jak99", "download link")</f>
        <v>download link</v>
      </c>
      <c r="I294" s="109"/>
      <c r="J294" s="109"/>
      <c r="K294" s="109"/>
      <c r="L294" s="109"/>
    </row>
    <row r="295">
      <c r="A295" s="142">
        <v>40496.0</v>
      </c>
      <c r="B295" s="144"/>
      <c r="C295" s="116" t="str">
        <f t="shared" si="25"/>
        <v>setlist</v>
      </c>
      <c r="D295" s="272" t="s">
        <v>3355</v>
      </c>
      <c r="E295" s="118" t="s">
        <v>1781</v>
      </c>
      <c r="F295" s="115" t="s">
        <v>1620</v>
      </c>
      <c r="G295" s="144"/>
      <c r="H295" s="145"/>
      <c r="I295" s="146"/>
      <c r="J295" s="146"/>
      <c r="K295" s="146"/>
      <c r="L295" s="146"/>
    </row>
    <row r="296">
      <c r="A296" s="103">
        <v>40498.0</v>
      </c>
      <c r="B296" s="104"/>
      <c r="C296" s="105" t="str">
        <f t="shared" si="25"/>
        <v>setlist</v>
      </c>
      <c r="D296" s="181" t="s">
        <v>3356</v>
      </c>
      <c r="E296" s="106" t="s">
        <v>485</v>
      </c>
      <c r="F296" s="107" t="s">
        <v>486</v>
      </c>
      <c r="G296" s="107" t="s">
        <v>36</v>
      </c>
      <c r="H296" s="105" t="str">
        <f>HYPERLINK("http://www.mediafire.com/?dve5v86h8ovxw", "download link")</f>
        <v>download link</v>
      </c>
      <c r="I296" s="109"/>
      <c r="J296" s="109"/>
      <c r="K296" s="109"/>
      <c r="L296" s="109"/>
    </row>
    <row r="297">
      <c r="A297" s="142">
        <v>40499.0</v>
      </c>
      <c r="B297" s="144"/>
      <c r="C297" s="116" t="str">
        <f t="shared" si="25"/>
        <v>setlist</v>
      </c>
      <c r="D297" s="272" t="s">
        <v>704</v>
      </c>
      <c r="E297" s="118" t="s">
        <v>482</v>
      </c>
      <c r="F297" s="115" t="s">
        <v>483</v>
      </c>
      <c r="G297" s="115" t="s">
        <v>36</v>
      </c>
      <c r="H297" s="116" t="str">
        <f>HYPERLINK("http://www.mediafire.com/?5hbczbjmjphwp", "download link")</f>
        <v>download link</v>
      </c>
      <c r="I297" s="146"/>
      <c r="J297" s="146"/>
      <c r="K297" s="146"/>
      <c r="L297" s="146"/>
    </row>
    <row r="298">
      <c r="A298" s="103">
        <v>40500.0</v>
      </c>
      <c r="B298" s="104"/>
      <c r="C298" s="105" t="str">
        <f>HYPERLINK("http://phish.net/sideshows/mike-gordon/?showid=1299013948", "setlist")</f>
        <v>setlist</v>
      </c>
      <c r="D298" s="181" t="s">
        <v>3357</v>
      </c>
      <c r="E298" s="106" t="s">
        <v>479</v>
      </c>
      <c r="F298" s="107" t="s">
        <v>480</v>
      </c>
      <c r="G298" s="107" t="s">
        <v>36</v>
      </c>
      <c r="H298" s="105" t="str">
        <f>HYPERLINK("http://www.mediafire.com/?d3t0t9wh8lwad", "download link")</f>
        <v>download link</v>
      </c>
      <c r="I298" s="109"/>
      <c r="J298" s="109"/>
      <c r="K298" s="109"/>
      <c r="L298" s="109"/>
    </row>
    <row r="299">
      <c r="A299" s="142">
        <v>40501.0</v>
      </c>
      <c r="B299" s="144"/>
      <c r="C299" s="116" t="str">
        <f t="shared" ref="C299:C304" si="26">HYPERLINK("http://phish.net/sideshows/mike-gordon/?d="&amp;RIGHT(TEXT(A299,"mm/dd/yyyy"),4)&amp;"-"&amp;LEFT(TEXT(A299,"mm/dd/yyyy"),2)&amp;"-"&amp;MID(TEXT(A299,"mm/dd/yyyy"),4,2), "setlist")</f>
        <v>setlist</v>
      </c>
      <c r="D299" s="272" t="s">
        <v>3358</v>
      </c>
      <c r="E299" s="118" t="s">
        <v>1511</v>
      </c>
      <c r="F299" s="115" t="s">
        <v>508</v>
      </c>
      <c r="G299" s="115" t="s">
        <v>36</v>
      </c>
      <c r="H299" s="116" t="str">
        <f>HYPERLINK("http://www.mediafire.com/?gf8jd37w4inzf", "download link")</f>
        <v>download link</v>
      </c>
      <c r="I299" s="118" t="s">
        <v>361</v>
      </c>
      <c r="J299" s="118"/>
      <c r="K299" s="118"/>
      <c r="L299" s="118"/>
    </row>
    <row r="300">
      <c r="A300" s="103">
        <v>40502.0</v>
      </c>
      <c r="B300" s="104"/>
      <c r="C300" s="105" t="str">
        <f t="shared" si="26"/>
        <v>setlist</v>
      </c>
      <c r="D300" s="181" t="s">
        <v>3359</v>
      </c>
      <c r="E300" s="106" t="s">
        <v>3360</v>
      </c>
      <c r="F300" s="107" t="s">
        <v>1210</v>
      </c>
      <c r="G300" s="104"/>
      <c r="H300" s="108"/>
      <c r="I300" s="109"/>
      <c r="J300" s="109"/>
      <c r="K300" s="109"/>
      <c r="L300" s="109"/>
    </row>
    <row r="301">
      <c r="A301" s="142">
        <v>40504.0</v>
      </c>
      <c r="B301" s="144"/>
      <c r="C301" s="116" t="str">
        <f t="shared" si="26"/>
        <v>setlist</v>
      </c>
      <c r="D301" s="272" t="s">
        <v>3325</v>
      </c>
      <c r="E301" s="118" t="s">
        <v>773</v>
      </c>
      <c r="F301" s="115" t="s">
        <v>472</v>
      </c>
      <c r="G301" s="115" t="s">
        <v>36</v>
      </c>
      <c r="H301" s="116" t="str">
        <f>HYPERLINK("http://www.mediafire.com/?9v4pijjad1w3l", "download link")</f>
        <v>download link</v>
      </c>
      <c r="I301" s="146"/>
      <c r="J301" s="146"/>
      <c r="K301" s="146"/>
      <c r="L301" s="146"/>
    </row>
    <row r="302">
      <c r="A302" s="103">
        <v>40505.0</v>
      </c>
      <c r="B302" s="104"/>
      <c r="C302" s="105" t="str">
        <f t="shared" si="26"/>
        <v>setlist</v>
      </c>
      <c r="D302" s="181" t="s">
        <v>3361</v>
      </c>
      <c r="E302" s="106" t="s">
        <v>311</v>
      </c>
      <c r="F302" s="107" t="s">
        <v>129</v>
      </c>
      <c r="G302" s="107" t="s">
        <v>36</v>
      </c>
      <c r="H302" s="105" t="str">
        <f>HYPERLINK("http://www.mediafire.com/?tfpj6n3p94rre", "download link")</f>
        <v>download link</v>
      </c>
      <c r="I302" s="109"/>
      <c r="J302" s="109"/>
      <c r="K302" s="109"/>
      <c r="L302" s="109"/>
    </row>
    <row r="303">
      <c r="A303" s="142">
        <v>40508.0</v>
      </c>
      <c r="B303" s="144"/>
      <c r="C303" s="116" t="str">
        <f t="shared" si="26"/>
        <v>setlist</v>
      </c>
      <c r="D303" s="272" t="s">
        <v>3329</v>
      </c>
      <c r="E303" s="118" t="s">
        <v>279</v>
      </c>
      <c r="F303" s="115" t="s">
        <v>257</v>
      </c>
      <c r="G303" s="115" t="s">
        <v>36</v>
      </c>
      <c r="H303" s="116" t="str">
        <f>HYPERLINK("http://www.mediafire.com/?e4dvwu0p2no9w", "download link")</f>
        <v>download link</v>
      </c>
      <c r="I303" s="118" t="s">
        <v>3362</v>
      </c>
      <c r="J303" s="118"/>
      <c r="K303" s="118"/>
      <c r="L303" s="118"/>
    </row>
    <row r="304">
      <c r="A304" s="103">
        <v>40509.0</v>
      </c>
      <c r="B304" s="104"/>
      <c r="C304" s="105" t="str">
        <f t="shared" si="26"/>
        <v>setlist</v>
      </c>
      <c r="D304" s="181" t="s">
        <v>260</v>
      </c>
      <c r="E304" s="106" t="s">
        <v>94</v>
      </c>
      <c r="F304" s="107" t="s">
        <v>95</v>
      </c>
      <c r="G304" s="107" t="s">
        <v>36</v>
      </c>
      <c r="H304" s="105" t="str">
        <f>HYPERLINK("http://www.mediafire.com/?oey75o662q2tx", "download link")</f>
        <v>download link</v>
      </c>
      <c r="I304" s="109"/>
      <c r="J304" s="109"/>
      <c r="K304" s="109"/>
      <c r="L304" s="109"/>
    </row>
    <row r="305">
      <c r="A305" s="380"/>
      <c r="B305" s="381"/>
      <c r="C305" s="362"/>
      <c r="D305" s="356" t="s">
        <v>3363</v>
      </c>
      <c r="E305" s="382"/>
      <c r="F305" s="381"/>
      <c r="G305" s="381"/>
      <c r="H305" s="358"/>
      <c r="I305" s="382"/>
      <c r="J305" s="382"/>
      <c r="K305" s="382"/>
      <c r="L305" s="382"/>
    </row>
    <row r="306">
      <c r="A306" s="110">
        <v>40585.0</v>
      </c>
      <c r="B306" s="111"/>
      <c r="C306" s="116" t="str">
        <f>HYPERLINK("http://phish.net/sideshows/mike-gordon/?d=2011-02-11", "setlist")</f>
        <v>setlist</v>
      </c>
      <c r="D306" s="183" t="s">
        <v>2377</v>
      </c>
      <c r="E306" s="113" t="s">
        <v>162</v>
      </c>
      <c r="F306" s="114" t="s">
        <v>129</v>
      </c>
      <c r="G306" s="111"/>
      <c r="H306" s="138"/>
      <c r="I306" s="80"/>
      <c r="J306" s="80"/>
      <c r="K306" s="80"/>
      <c r="L306" s="80"/>
    </row>
    <row r="307">
      <c r="A307" s="380"/>
      <c r="B307" s="381"/>
      <c r="C307" s="362"/>
      <c r="D307" s="356" t="s">
        <v>3364</v>
      </c>
      <c r="E307" s="382"/>
      <c r="F307" s="381"/>
      <c r="G307" s="381"/>
      <c r="H307" s="358"/>
      <c r="I307" s="382"/>
      <c r="J307" s="382"/>
      <c r="K307" s="382"/>
      <c r="L307" s="382"/>
    </row>
    <row r="308">
      <c r="A308" s="150">
        <v>40607.0</v>
      </c>
      <c r="B308" s="144"/>
      <c r="C308" s="116" t="str">
        <f>HYPERLINK("http://phish.net/sideshows/mike-gordon/?showid=1299418153", "setlist")</f>
        <v>setlist</v>
      </c>
      <c r="D308" s="149" t="s">
        <v>3365</v>
      </c>
      <c r="E308" s="149" t="s">
        <v>695</v>
      </c>
      <c r="F308" s="148" t="s">
        <v>692</v>
      </c>
      <c r="G308" s="115" t="s">
        <v>36</v>
      </c>
      <c r="H308" s="116" t="str">
        <f>HYPERLINK("http://www.mediafire.com/?8k98q5n8aq3m4", "download link")</f>
        <v>download link</v>
      </c>
      <c r="I308" s="146"/>
      <c r="J308" s="146"/>
      <c r="K308" s="146"/>
      <c r="L308" s="146"/>
    </row>
    <row r="309">
      <c r="A309" s="130">
        <v>40608.0</v>
      </c>
      <c r="B309" s="104"/>
      <c r="C309" s="105" t="str">
        <f t="shared" ref="C309:C326" si="27">HYPERLINK("http://phish.net/sideshows/mike-gordon/?d="&amp;RIGHT(TEXT(A309,"mm/dd/yyyy"),4)&amp;"-"&amp;LEFT(TEXT(A309,"mm/dd/yyyy"),2)&amp;"-"&amp;MID(TEXT(A309,"mm/dd/yyyy"),4,2), "setlist")</f>
        <v>setlist</v>
      </c>
      <c r="D309" s="132" t="s">
        <v>3366</v>
      </c>
      <c r="E309" s="132" t="s">
        <v>689</v>
      </c>
      <c r="F309" s="133" t="s">
        <v>679</v>
      </c>
      <c r="G309" s="107" t="s">
        <v>36</v>
      </c>
      <c r="H309" s="105" t="str">
        <f>HYPERLINK("http://www.mediafire.com/?32b4mfbno4jr4", "download link")</f>
        <v>download link</v>
      </c>
      <c r="I309" s="109"/>
      <c r="J309" s="109"/>
      <c r="K309" s="109"/>
      <c r="L309" s="109"/>
    </row>
    <row r="310">
      <c r="A310" s="150">
        <v>40609.0</v>
      </c>
      <c r="B310" s="144"/>
      <c r="C310" s="116" t="str">
        <f t="shared" si="27"/>
        <v>setlist</v>
      </c>
      <c r="D310" s="149" t="s">
        <v>3367</v>
      </c>
      <c r="E310" s="149" t="s">
        <v>3368</v>
      </c>
      <c r="F310" s="148" t="s">
        <v>1805</v>
      </c>
      <c r="G310" s="144"/>
      <c r="H310" s="145"/>
      <c r="I310" s="146"/>
      <c r="J310" s="146"/>
      <c r="K310" s="146"/>
      <c r="L310" s="146"/>
    </row>
    <row r="311">
      <c r="A311" s="130">
        <v>40610.0</v>
      </c>
      <c r="B311" s="104"/>
      <c r="C311" s="105" t="str">
        <f t="shared" si="27"/>
        <v>setlist</v>
      </c>
      <c r="D311" s="132" t="s">
        <v>3369</v>
      </c>
      <c r="E311" s="132" t="s">
        <v>678</v>
      </c>
      <c r="F311" s="133" t="s">
        <v>679</v>
      </c>
      <c r="G311" s="107" t="s">
        <v>36</v>
      </c>
      <c r="H311" s="105" t="str">
        <f>HYPERLINK("http://www.mediafire.com/?ymn6jrn38643i", "download link")</f>
        <v>download link</v>
      </c>
      <c r="I311" s="109"/>
      <c r="J311" s="109"/>
      <c r="K311" s="109"/>
      <c r="L311" s="109"/>
    </row>
    <row r="312">
      <c r="A312" s="150">
        <v>40611.0</v>
      </c>
      <c r="B312" s="144"/>
      <c r="C312" s="116" t="str">
        <f t="shared" si="27"/>
        <v>setlist</v>
      </c>
      <c r="D312" s="149" t="s">
        <v>2990</v>
      </c>
      <c r="E312" s="149" t="s">
        <v>1381</v>
      </c>
      <c r="F312" s="148" t="s">
        <v>679</v>
      </c>
      <c r="G312" s="144"/>
      <c r="H312" s="145"/>
      <c r="I312" s="146"/>
      <c r="J312" s="146"/>
      <c r="K312" s="146"/>
      <c r="L312" s="146"/>
    </row>
    <row r="313">
      <c r="A313" s="130">
        <v>40613.0</v>
      </c>
      <c r="B313" s="104"/>
      <c r="C313" s="105" t="str">
        <f t="shared" si="27"/>
        <v>setlist</v>
      </c>
      <c r="D313" s="132" t="s">
        <v>3370</v>
      </c>
      <c r="E313" s="132" t="s">
        <v>3371</v>
      </c>
      <c r="F313" s="133" t="s">
        <v>805</v>
      </c>
      <c r="G313" s="107" t="s">
        <v>36</v>
      </c>
      <c r="H313" s="105" t="str">
        <f>HYPERLINK("http://www.mediafire.com/?e01c1lkriyzp7", "download link")</f>
        <v>download link</v>
      </c>
      <c r="I313" s="109"/>
      <c r="J313" s="109"/>
      <c r="K313" s="109"/>
      <c r="L313" s="109"/>
    </row>
    <row r="314">
      <c r="A314" s="150">
        <v>40614.0</v>
      </c>
      <c r="B314" s="144"/>
      <c r="C314" s="116" t="str">
        <f t="shared" si="27"/>
        <v>setlist</v>
      </c>
      <c r="D314" s="149" t="s">
        <v>3372</v>
      </c>
      <c r="E314" s="149" t="s">
        <v>202</v>
      </c>
      <c r="F314" s="148" t="s">
        <v>203</v>
      </c>
      <c r="G314" s="115" t="s">
        <v>36</v>
      </c>
      <c r="H314" s="116" t="str">
        <f>HYPERLINK("http://www.mediafire.com/?2li1y26877l5m", "download link")</f>
        <v>download link</v>
      </c>
      <c r="I314" s="146"/>
      <c r="J314" s="146"/>
      <c r="K314" s="146"/>
      <c r="L314" s="146"/>
    </row>
    <row r="315">
      <c r="A315" s="130">
        <v>40615.0</v>
      </c>
      <c r="B315" s="104"/>
      <c r="C315" s="105" t="str">
        <f t="shared" si="27"/>
        <v>setlist</v>
      </c>
      <c r="D315" s="132" t="s">
        <v>3373</v>
      </c>
      <c r="E315" s="132" t="s">
        <v>208</v>
      </c>
      <c r="F315" s="133" t="s">
        <v>203</v>
      </c>
      <c r="G315" s="104"/>
      <c r="H315" s="108"/>
      <c r="I315" s="109"/>
      <c r="J315" s="109"/>
      <c r="K315" s="109"/>
      <c r="L315" s="109"/>
    </row>
    <row r="316">
      <c r="A316" s="150">
        <v>40616.0</v>
      </c>
      <c r="B316" s="144"/>
      <c r="C316" s="116" t="str">
        <f t="shared" si="27"/>
        <v>setlist</v>
      </c>
      <c r="D316" s="149" t="s">
        <v>3040</v>
      </c>
      <c r="E316" s="149" t="s">
        <v>499</v>
      </c>
      <c r="F316" s="148" t="s">
        <v>203</v>
      </c>
      <c r="G316" s="115" t="s">
        <v>36</v>
      </c>
      <c r="H316" s="116" t="str">
        <f>HYPERLINK("http://www.mediafire.com/?m81wjhl4l8235", "download link")</f>
        <v>download link</v>
      </c>
      <c r="I316" s="146"/>
      <c r="J316" s="146"/>
      <c r="K316" s="146"/>
      <c r="L316" s="146"/>
    </row>
    <row r="317">
      <c r="A317" s="130">
        <v>40617.0</v>
      </c>
      <c r="B317" s="104"/>
      <c r="C317" s="105" t="str">
        <f t="shared" si="27"/>
        <v>setlist</v>
      </c>
      <c r="D317" s="132" t="s">
        <v>3374</v>
      </c>
      <c r="E317" s="132" t="s">
        <v>891</v>
      </c>
      <c r="F317" s="133" t="s">
        <v>892</v>
      </c>
      <c r="G317" s="107" t="s">
        <v>36</v>
      </c>
      <c r="H317" s="105" t="str">
        <f>HYPERLINK("http://www.mediafire.com/?bmj82bvjrncit", "download link")</f>
        <v>download link</v>
      </c>
      <c r="I317" s="109"/>
      <c r="J317" s="109"/>
      <c r="K317" s="109"/>
      <c r="L317" s="109"/>
    </row>
    <row r="318">
      <c r="A318" s="150">
        <v>40619.0</v>
      </c>
      <c r="B318" s="144"/>
      <c r="C318" s="116" t="str">
        <f t="shared" si="27"/>
        <v>setlist</v>
      </c>
      <c r="D318" s="149" t="s">
        <v>3031</v>
      </c>
      <c r="E318" s="149" t="s">
        <v>885</v>
      </c>
      <c r="F318" s="148" t="s">
        <v>886</v>
      </c>
      <c r="G318" s="115" t="s">
        <v>36</v>
      </c>
      <c r="H318" s="116" t="str">
        <f>HYPERLINK("http://www.mediafire.com/?xbc5nnr2no7cv", "download link")</f>
        <v>download link</v>
      </c>
      <c r="I318" s="146"/>
      <c r="J318" s="146"/>
      <c r="K318" s="146"/>
      <c r="L318" s="146"/>
    </row>
    <row r="319">
      <c r="A319" s="130">
        <v>40620.0</v>
      </c>
      <c r="B319" s="104"/>
      <c r="C319" s="105" t="str">
        <f t="shared" si="27"/>
        <v>setlist</v>
      </c>
      <c r="D319" s="132" t="s">
        <v>3334</v>
      </c>
      <c r="E319" s="132" t="s">
        <v>652</v>
      </c>
      <c r="F319" s="133" t="s">
        <v>650</v>
      </c>
      <c r="G319" s="107" t="s">
        <v>36</v>
      </c>
      <c r="H319" s="105" t="str">
        <f>HYPERLINK("http://www.mediafire.com/?518c41p0ctb92", "download link")</f>
        <v>download link</v>
      </c>
      <c r="I319" s="109"/>
      <c r="J319" s="109"/>
      <c r="K319" s="109"/>
      <c r="L319" s="109"/>
    </row>
    <row r="320">
      <c r="A320" s="150">
        <v>40621.0</v>
      </c>
      <c r="B320" s="144"/>
      <c r="C320" s="116" t="str">
        <f t="shared" si="27"/>
        <v>setlist</v>
      </c>
      <c r="D320" s="149" t="s">
        <v>3375</v>
      </c>
      <c r="E320" s="149" t="s">
        <v>437</v>
      </c>
      <c r="F320" s="148" t="s">
        <v>433</v>
      </c>
      <c r="G320" s="115" t="s">
        <v>36</v>
      </c>
      <c r="H320" s="116" t="str">
        <f>HYPERLINK("http://www.mediafire.com/file/by4naiadh96wxn3/2011-03-19_-_Center_Stage_Theater_-_Atlanta%2C_GA.rar", "download link")</f>
        <v>download link</v>
      </c>
      <c r="I320" s="146"/>
      <c r="J320" s="146"/>
      <c r="K320" s="146"/>
      <c r="L320" s="146"/>
    </row>
    <row r="321">
      <c r="A321" s="130">
        <v>40622.0</v>
      </c>
      <c r="B321" s="104"/>
      <c r="C321" s="105" t="str">
        <f t="shared" si="27"/>
        <v>setlist</v>
      </c>
      <c r="D321" s="132" t="s">
        <v>2953</v>
      </c>
      <c r="E321" s="132" t="s">
        <v>2327</v>
      </c>
      <c r="F321" s="133" t="s">
        <v>443</v>
      </c>
      <c r="G321" s="107" t="s">
        <v>36</v>
      </c>
      <c r="H321" s="105" t="str">
        <f>HYPERLINK("http://www.mediafire.com/?pe8rbjzwaybf5", "download link")</f>
        <v>download link</v>
      </c>
      <c r="I321" s="109"/>
      <c r="J321" s="109"/>
      <c r="K321" s="109"/>
      <c r="L321" s="109"/>
    </row>
    <row r="322">
      <c r="A322" s="150">
        <v>40624.0</v>
      </c>
      <c r="B322" s="144"/>
      <c r="C322" s="116" t="str">
        <f t="shared" si="27"/>
        <v>setlist</v>
      </c>
      <c r="D322" s="149" t="s">
        <v>3078</v>
      </c>
      <c r="E322" s="149" t="s">
        <v>2294</v>
      </c>
      <c r="F322" s="148" t="s">
        <v>129</v>
      </c>
      <c r="G322" s="115" t="s">
        <v>36</v>
      </c>
      <c r="H322" s="116" t="str">
        <f>HYPERLINK("http://www.mediafire.com/?n5q1qxcx8spr1", "download link")</f>
        <v>download link</v>
      </c>
      <c r="I322" s="146"/>
      <c r="J322" s="146"/>
      <c r="K322" s="146"/>
      <c r="L322" s="146"/>
    </row>
    <row r="323">
      <c r="A323" s="130">
        <v>40625.0</v>
      </c>
      <c r="B323" s="104"/>
      <c r="C323" s="105" t="str">
        <f t="shared" si="27"/>
        <v>setlist</v>
      </c>
      <c r="D323" s="132" t="s">
        <v>3078</v>
      </c>
      <c r="E323" s="132" t="s">
        <v>2294</v>
      </c>
      <c r="F323" s="133" t="s">
        <v>129</v>
      </c>
      <c r="G323" s="107" t="s">
        <v>36</v>
      </c>
      <c r="H323" s="105" t="str">
        <f>HYPERLINK("http://www.mediafire.com/?jmd9c52fzj2qe", "download link")</f>
        <v>download link</v>
      </c>
      <c r="I323" s="109"/>
      <c r="J323" s="109"/>
      <c r="K323" s="109"/>
      <c r="L323" s="109"/>
    </row>
    <row r="324">
      <c r="A324" s="150">
        <v>40627.0</v>
      </c>
      <c r="B324" s="144"/>
      <c r="C324" s="116" t="str">
        <f t="shared" si="27"/>
        <v>setlist</v>
      </c>
      <c r="D324" s="149" t="s">
        <v>1193</v>
      </c>
      <c r="E324" s="149" t="s">
        <v>3263</v>
      </c>
      <c r="F324" s="148" t="s">
        <v>446</v>
      </c>
      <c r="G324" s="115" t="s">
        <v>36</v>
      </c>
      <c r="H324" s="116" t="str">
        <f>HYPERLINK("http://www.mediafire.com/?o9ayxd6xxzlw5", "download link")</f>
        <v>download link</v>
      </c>
      <c r="I324" s="146"/>
      <c r="J324" s="146"/>
      <c r="K324" s="146"/>
      <c r="L324" s="146"/>
    </row>
    <row r="325">
      <c r="A325" s="130">
        <v>40628.0</v>
      </c>
      <c r="B325" s="104"/>
      <c r="C325" s="105" t="str">
        <f t="shared" si="27"/>
        <v>setlist</v>
      </c>
      <c r="D325" s="132" t="s">
        <v>2817</v>
      </c>
      <c r="E325" s="132" t="s">
        <v>2826</v>
      </c>
      <c r="F325" s="133" t="s">
        <v>35</v>
      </c>
      <c r="G325" s="107" t="s">
        <v>36</v>
      </c>
      <c r="H325" s="105" t="str">
        <f>HYPERLINK("http://www.mediafire.com/?g98dnb05613rt", "download link")</f>
        <v>download link</v>
      </c>
      <c r="I325" s="109"/>
      <c r="J325" s="109"/>
      <c r="K325" s="109"/>
      <c r="L325" s="109"/>
    </row>
    <row r="326">
      <c r="A326" s="150">
        <v>40649.0</v>
      </c>
      <c r="B326" s="144"/>
      <c r="C326" s="116" t="str">
        <f t="shared" si="27"/>
        <v>setlist</v>
      </c>
      <c r="D326" s="153" t="s">
        <v>3049</v>
      </c>
      <c r="E326" s="153" t="s">
        <v>3050</v>
      </c>
      <c r="F326" s="151" t="s">
        <v>1133</v>
      </c>
      <c r="G326" s="115" t="s">
        <v>36</v>
      </c>
      <c r="H326" s="116" t="str">
        <f>HYPERLINK("http://www.mediafire.com/file/k6daaaw8b7udap3/2011-04-16_-_Spirit_of_the_Suwannee_Music_Park_-_Live_Oak%2C_FL.rar", "download link")</f>
        <v>download link</v>
      </c>
      <c r="I326" s="146"/>
      <c r="J326" s="146"/>
      <c r="K326" s="146"/>
      <c r="L326" s="146"/>
    </row>
    <row r="327">
      <c r="A327" s="380"/>
      <c r="B327" s="381"/>
      <c r="C327" s="362"/>
      <c r="D327" s="356" t="s">
        <v>3376</v>
      </c>
      <c r="E327" s="382"/>
      <c r="F327" s="381"/>
      <c r="G327" s="381"/>
      <c r="H327" s="358"/>
      <c r="I327" s="382"/>
      <c r="J327" s="382"/>
      <c r="K327" s="382"/>
      <c r="L327" s="382"/>
    </row>
    <row r="328">
      <c r="A328" s="150">
        <v>40859.0</v>
      </c>
      <c r="B328" s="144"/>
      <c r="C328" s="116" t="str">
        <f>HYPERLINK("http://phish.net/sideshows/mike-gordon/?showid=1317225051", "setlist")</f>
        <v>setlist</v>
      </c>
      <c r="D328" s="153" t="s">
        <v>633</v>
      </c>
      <c r="E328" s="153" t="s">
        <v>634</v>
      </c>
      <c r="F328" s="151" t="s">
        <v>182</v>
      </c>
      <c r="G328" s="115" t="s">
        <v>36</v>
      </c>
      <c r="H328" s="116" t="str">
        <f>HYPERLINK("http://www.mediafire.com/?qd1rp620jm5vp", "download link")</f>
        <v>download link</v>
      </c>
      <c r="I328" s="146"/>
      <c r="J328" s="146"/>
      <c r="K328" s="146"/>
      <c r="L328" s="146"/>
    </row>
    <row r="329">
      <c r="A329" s="130">
        <v>40860.0</v>
      </c>
      <c r="B329" s="104"/>
      <c r="C329" s="105" t="str">
        <f t="shared" ref="C329:C332" si="28">HYPERLINK("http://phish.net/sideshows/mike-gordon/?d="&amp;RIGHT(TEXT(A329,"mm/dd/yyyy"),4)&amp;"-"&amp;LEFT(TEXT(A329,"mm/dd/yyyy"),2)&amp;"-"&amp;MID(TEXT(A329,"mm/dd/yyyy"),4,2), "setlist")</f>
        <v>setlist</v>
      </c>
      <c r="D329" s="132" t="s">
        <v>3343</v>
      </c>
      <c r="E329" s="132" t="s">
        <v>3344</v>
      </c>
      <c r="F329" s="133" t="s">
        <v>182</v>
      </c>
      <c r="G329" s="107" t="s">
        <v>36</v>
      </c>
      <c r="H329" s="105" t="str">
        <f>HYPERLINK("http://www.mediafire.com/?ec1rsu7qld0gd", "download link")</f>
        <v>download link</v>
      </c>
      <c r="I329" s="109"/>
      <c r="J329" s="109"/>
      <c r="K329" s="109"/>
      <c r="L329" s="109"/>
    </row>
    <row r="330">
      <c r="A330" s="150">
        <v>40886.0</v>
      </c>
      <c r="B330" s="144"/>
      <c r="C330" s="116" t="str">
        <f t="shared" si="28"/>
        <v>setlist</v>
      </c>
      <c r="D330" s="153" t="s">
        <v>3377</v>
      </c>
      <c r="E330" s="153" t="s">
        <v>3378</v>
      </c>
      <c r="F330" s="151" t="s">
        <v>298</v>
      </c>
      <c r="G330" s="115" t="s">
        <v>36</v>
      </c>
      <c r="H330" s="116" t="str">
        <f>HYPERLINK("http://www.mediafire.com/?xi9wu413w4og9", "download link")</f>
        <v>download link</v>
      </c>
      <c r="I330" s="146"/>
      <c r="J330" s="146"/>
      <c r="K330" s="146"/>
      <c r="L330" s="146"/>
    </row>
    <row r="331">
      <c r="A331" s="130">
        <v>40887.0</v>
      </c>
      <c r="B331" s="104"/>
      <c r="C331" s="105" t="str">
        <f t="shared" si="28"/>
        <v>setlist</v>
      </c>
      <c r="D331" s="132" t="s">
        <v>3379</v>
      </c>
      <c r="E331" s="132" t="s">
        <v>247</v>
      </c>
      <c r="F331" s="133" t="s">
        <v>95</v>
      </c>
      <c r="G331" s="104"/>
      <c r="H331" s="108"/>
      <c r="I331" s="109"/>
      <c r="J331" s="109"/>
      <c r="K331" s="109"/>
      <c r="L331" s="109"/>
    </row>
    <row r="332">
      <c r="A332" s="150">
        <v>40888.0</v>
      </c>
      <c r="B332" s="144"/>
      <c r="C332" s="116" t="str">
        <f t="shared" si="28"/>
        <v>setlist</v>
      </c>
      <c r="D332" s="153" t="s">
        <v>3380</v>
      </c>
      <c r="E332" s="153" t="s">
        <v>309</v>
      </c>
      <c r="F332" s="151" t="s">
        <v>129</v>
      </c>
      <c r="G332" s="115" t="s">
        <v>36</v>
      </c>
      <c r="H332" s="116" t="str">
        <f>HYPERLINK("http://www.mediafire.com/?18bkxg4uwsw8e", "download link")</f>
        <v>download link</v>
      </c>
      <c r="I332" s="146"/>
      <c r="J332" s="146"/>
      <c r="K332" s="146"/>
      <c r="L332" s="146"/>
    </row>
    <row r="333">
      <c r="A333" s="380"/>
      <c r="B333" s="381"/>
      <c r="C333" s="362"/>
      <c r="D333" s="356" t="s">
        <v>3381</v>
      </c>
      <c r="E333" s="382"/>
      <c r="F333" s="381"/>
      <c r="G333" s="381"/>
      <c r="H333" s="358"/>
      <c r="I333" s="382"/>
      <c r="J333" s="382"/>
      <c r="K333" s="382"/>
      <c r="L333" s="382"/>
    </row>
    <row r="334">
      <c r="A334" s="110">
        <v>40913.0</v>
      </c>
      <c r="B334" s="114" t="s">
        <v>32</v>
      </c>
      <c r="C334" s="116" t="str">
        <f t="shared" ref="C334:C335" si="29">HYPERLINK("http://phish.net/sideshows/mike-gordon/?d="&amp;RIGHT(TEXT(A334,"mm/dd/yyyy"),4)&amp;"-"&amp;LEFT(TEXT(A334,"mm/dd/yyyy"),2)&amp;"-"&amp;MID(TEXT(A334,"mm/dd/yyyy"),4,2), "setlist")</f>
        <v>setlist</v>
      </c>
      <c r="D334" s="183" t="s">
        <v>3382</v>
      </c>
      <c r="E334" s="183" t="s">
        <v>162</v>
      </c>
      <c r="F334" s="114" t="s">
        <v>129</v>
      </c>
      <c r="G334" s="114">
        <v>128.0</v>
      </c>
      <c r="H334" s="116" t="str">
        <f>HYPERLINK("http://www.mediafire.com/?x13wwfck7afqx", "download link")</f>
        <v>download link</v>
      </c>
      <c r="I334" s="80"/>
      <c r="J334" s="80"/>
      <c r="K334" s="80"/>
      <c r="L334" s="80"/>
    </row>
    <row r="335">
      <c r="A335" s="103">
        <v>40914.0</v>
      </c>
      <c r="B335" s="107" t="s">
        <v>32</v>
      </c>
      <c r="C335" s="105" t="str">
        <f t="shared" si="29"/>
        <v>setlist</v>
      </c>
      <c r="D335" s="181" t="s">
        <v>3383</v>
      </c>
      <c r="E335" s="181" t="s">
        <v>162</v>
      </c>
      <c r="F335" s="107" t="s">
        <v>129</v>
      </c>
      <c r="G335" s="107">
        <v>192.0</v>
      </c>
      <c r="H335" s="105" t="str">
        <f>HYPERLINK("http://www.mediafire.com/?rp3koii6a5pyk", "download link")</f>
        <v>download link</v>
      </c>
      <c r="I335" s="109"/>
      <c r="J335" s="109"/>
      <c r="K335" s="109"/>
      <c r="L335" s="109"/>
    </row>
    <row r="336">
      <c r="A336" s="380"/>
      <c r="B336" s="381"/>
      <c r="C336" s="362"/>
      <c r="D336" s="356" t="s">
        <v>3384</v>
      </c>
      <c r="E336" s="382"/>
      <c r="F336" s="381"/>
      <c r="G336" s="381"/>
      <c r="H336" s="358"/>
      <c r="I336" s="382"/>
      <c r="J336" s="382"/>
      <c r="K336" s="382"/>
      <c r="L336" s="382"/>
    </row>
    <row r="337">
      <c r="A337" s="150">
        <v>40982.0</v>
      </c>
      <c r="B337" s="144"/>
      <c r="C337" s="116" t="str">
        <f t="shared" ref="C337:C340" si="30">HYPERLINK("http://phish.net/sideshows/mike-gordon/?d="&amp;RIGHT(TEXT(A337,"mm/dd/yyyy"),4)&amp;"-"&amp;LEFT(TEXT(A337,"mm/dd/yyyy"),2)&amp;"-"&amp;MID(TEXT(A337,"mm/dd/yyyy"),4,2), "setlist")</f>
        <v>setlist</v>
      </c>
      <c r="D337" s="153" t="s">
        <v>1707</v>
      </c>
      <c r="E337" s="153" t="s">
        <v>1708</v>
      </c>
      <c r="F337" s="151" t="s">
        <v>1709</v>
      </c>
      <c r="G337" s="115" t="s">
        <v>36</v>
      </c>
      <c r="H337" s="116" t="str">
        <f>HYPERLINK("http://www.mediafire.com/?lt724v30899la", "download link")</f>
        <v>download link</v>
      </c>
      <c r="I337" s="146"/>
      <c r="J337" s="146"/>
      <c r="K337" s="146"/>
      <c r="L337" s="146"/>
    </row>
    <row r="338">
      <c r="A338" s="130">
        <v>40983.0</v>
      </c>
      <c r="B338" s="104"/>
      <c r="C338" s="105" t="str">
        <f t="shared" si="30"/>
        <v>setlist</v>
      </c>
      <c r="D338" s="132" t="s">
        <v>1707</v>
      </c>
      <c r="E338" s="132" t="s">
        <v>1708</v>
      </c>
      <c r="F338" s="133" t="s">
        <v>1709</v>
      </c>
      <c r="G338" s="107" t="s">
        <v>36</v>
      </c>
      <c r="H338" s="105" t="str">
        <f>HYPERLINK("http://www.mediafire.com/?b468pxq69r683", "download link")</f>
        <v>download link</v>
      </c>
      <c r="I338" s="109"/>
      <c r="J338" s="109"/>
      <c r="K338" s="109"/>
      <c r="L338" s="109"/>
    </row>
    <row r="339">
      <c r="A339" s="150">
        <v>40984.0</v>
      </c>
      <c r="B339" s="144"/>
      <c r="C339" s="116" t="str">
        <f t="shared" si="30"/>
        <v>setlist</v>
      </c>
      <c r="D339" s="153" t="s">
        <v>1707</v>
      </c>
      <c r="E339" s="153" t="s">
        <v>1708</v>
      </c>
      <c r="F339" s="151" t="s">
        <v>1709</v>
      </c>
      <c r="G339" s="115" t="s">
        <v>36</v>
      </c>
      <c r="H339" s="116" t="str">
        <f>HYPERLINK("http://www.mediafire.com/file/5b69tpkyped4cch/2012-03-16_-_Melkweg_-_Amsterdam%2C_Netherlands.rar", "download link")</f>
        <v>download link</v>
      </c>
      <c r="I339" s="146"/>
      <c r="J339" s="146"/>
      <c r="K339" s="146"/>
      <c r="L339" s="146"/>
    </row>
    <row r="340">
      <c r="A340" s="130">
        <v>40986.0</v>
      </c>
      <c r="B340" s="104"/>
      <c r="C340" s="105" t="str">
        <f t="shared" si="30"/>
        <v>setlist</v>
      </c>
      <c r="D340" s="132" t="s">
        <v>3385</v>
      </c>
      <c r="E340" s="132" t="s">
        <v>985</v>
      </c>
      <c r="F340" s="133" t="s">
        <v>986</v>
      </c>
      <c r="G340" s="107" t="s">
        <v>36</v>
      </c>
      <c r="H340" s="105" t="str">
        <f>HYPERLINK("http://www.mediafire.com/?95y12sd7bx73k", "download link")</f>
        <v>download link</v>
      </c>
      <c r="I340" s="109"/>
      <c r="J340" s="109"/>
      <c r="K340" s="109"/>
      <c r="L340" s="109"/>
    </row>
    <row r="341">
      <c r="A341" s="380"/>
      <c r="B341" s="381"/>
      <c r="C341" s="362"/>
      <c r="D341" s="356" t="s">
        <v>3364</v>
      </c>
      <c r="E341" s="382"/>
      <c r="F341" s="381"/>
      <c r="G341" s="381"/>
      <c r="H341" s="358"/>
      <c r="I341" s="382"/>
      <c r="J341" s="382"/>
      <c r="K341" s="382"/>
      <c r="L341" s="382"/>
    </row>
    <row r="342">
      <c r="A342" s="150">
        <v>41695.0</v>
      </c>
      <c r="B342" s="111"/>
      <c r="C342" s="116" t="str">
        <f t="shared" ref="C342:C343" si="31">HYPERLINK("http://phish.net/sideshows/mike-gordon/?d="&amp;RIGHT(TEXT(A342,"mm/dd/yyyy"),4)&amp;"-"&amp;LEFT(TEXT(A342,"mm/dd/yyyy"),2)&amp;"-"&amp;MID(TEXT(A342,"mm/dd/yyyy"),4,2), "setlist")</f>
        <v>setlist</v>
      </c>
      <c r="D342" s="183" t="s">
        <v>3386</v>
      </c>
      <c r="E342" s="183" t="s">
        <v>94</v>
      </c>
      <c r="F342" s="114" t="s">
        <v>95</v>
      </c>
      <c r="G342" s="114" t="s">
        <v>36</v>
      </c>
      <c r="H342" s="116" t="str">
        <f>HYPERLINK("http://www.mediafire.com/download/0b9rz4camqfoaip/2014-02-25_-_Newbury_Comics_-_Boston%2C_MA.rar", "download link")</f>
        <v>download link</v>
      </c>
      <c r="I342" s="80"/>
      <c r="J342" s="80"/>
      <c r="K342" s="80"/>
      <c r="L342" s="80"/>
    </row>
    <row r="343">
      <c r="A343" s="130">
        <v>41698.0</v>
      </c>
      <c r="B343" s="104"/>
      <c r="C343" s="105" t="str">
        <f t="shared" si="31"/>
        <v>setlist</v>
      </c>
      <c r="D343" s="132" t="s">
        <v>3361</v>
      </c>
      <c r="E343" s="132" t="s">
        <v>311</v>
      </c>
      <c r="F343" s="133" t="s">
        <v>129</v>
      </c>
      <c r="G343" s="107" t="s">
        <v>36</v>
      </c>
      <c r="H343" s="105" t="str">
        <f>HYPERLINK("http://www.mediafire.com/download/4riqnstkq05qg1c/2014-02-28_-_Westcott_Theater_-_Syracuse%2C_NY.rar", "download link")</f>
        <v>download link</v>
      </c>
      <c r="I343" s="109"/>
      <c r="J343" s="109"/>
      <c r="K343" s="109"/>
      <c r="L343" s="109"/>
    </row>
    <row r="344">
      <c r="A344" s="147">
        <v>41699.0</v>
      </c>
      <c r="B344" s="111"/>
      <c r="C344" s="116" t="str">
        <f>HYPERLINK("http://phish.net/sideshows/mike-gordon/?showid=1394248104", "setlist")</f>
        <v>setlist</v>
      </c>
      <c r="D344" s="149" t="s">
        <v>3387</v>
      </c>
      <c r="E344" s="149" t="s">
        <v>162</v>
      </c>
      <c r="F344" s="148" t="s">
        <v>129</v>
      </c>
      <c r="G344" s="114" t="s">
        <v>36</v>
      </c>
      <c r="H344" s="116" t="str">
        <f>HYPERLINK("http://www.mediafire.com/download/yuwo10yp5k55ooa/2014-03-01_-_CBS_Broadcast_Center_-_New_York%2C_NY.rar", "download link")</f>
        <v>download link</v>
      </c>
      <c r="I344" s="80"/>
      <c r="J344" s="80"/>
      <c r="K344" s="80"/>
      <c r="L344" s="80"/>
    </row>
    <row r="345">
      <c r="A345" s="130">
        <v>41699.0</v>
      </c>
      <c r="B345" s="104"/>
      <c r="C345" s="105" t="str">
        <f>HYPERLINK("http://phish.net/sideshows/mike-gordon/?showid=1386704691", "setlist")</f>
        <v>setlist</v>
      </c>
      <c r="D345" s="132" t="s">
        <v>2987</v>
      </c>
      <c r="E345" s="132" t="s">
        <v>162</v>
      </c>
      <c r="F345" s="133" t="s">
        <v>129</v>
      </c>
      <c r="G345" s="107" t="s">
        <v>36</v>
      </c>
      <c r="H345" s="105" t="str">
        <f>HYPERLINK("http://www.mediafire.com/download/r8au0dpacjbafz4/2014-03-01_-_Webster_Hall_-_New_York%2C_NY.rar", "download link")</f>
        <v>download link</v>
      </c>
      <c r="I345" s="109"/>
      <c r="J345" s="109"/>
      <c r="K345" s="109"/>
      <c r="L345" s="109"/>
    </row>
    <row r="346">
      <c r="A346" s="150">
        <v>41700.0</v>
      </c>
      <c r="B346" s="144"/>
      <c r="C346" s="116" t="str">
        <f t="shared" ref="C346:C367" si="32">HYPERLINK("http://phish.net/sideshows/mike-gordon/?d="&amp;RIGHT(TEXT(A346,"mm/dd/yyyy"),4)&amp;"-"&amp;LEFT(TEXT(A346,"mm/dd/yyyy"),2)&amp;"-"&amp;MID(TEXT(A346,"mm/dd/yyyy"),4,2), "setlist")</f>
        <v>setlist</v>
      </c>
      <c r="D346" s="153" t="s">
        <v>3388</v>
      </c>
      <c r="E346" s="153" t="s">
        <v>871</v>
      </c>
      <c r="F346" s="151" t="s">
        <v>212</v>
      </c>
      <c r="G346" s="144"/>
      <c r="H346" s="145"/>
      <c r="I346" s="146"/>
      <c r="J346" s="146"/>
      <c r="K346" s="146"/>
      <c r="L346" s="146"/>
    </row>
    <row r="347">
      <c r="A347" s="130">
        <v>41702.0</v>
      </c>
      <c r="B347" s="104"/>
      <c r="C347" s="105" t="str">
        <f t="shared" si="32"/>
        <v>setlist</v>
      </c>
      <c r="D347" s="132" t="s">
        <v>2838</v>
      </c>
      <c r="E347" s="132" t="s">
        <v>393</v>
      </c>
      <c r="F347" s="133" t="s">
        <v>394</v>
      </c>
      <c r="G347" s="107" t="s">
        <v>36</v>
      </c>
      <c r="H347" s="105" t="str">
        <f>HYPERLINK("http://www.mediafire.com/download/gg89p4g4b1sj88g/2014-03-04_-_930_Club_-_Washington%2C_DC.rar", "download link")</f>
        <v>download link</v>
      </c>
      <c r="I347" s="109"/>
      <c r="J347" s="109"/>
      <c r="K347" s="109"/>
      <c r="L347" s="109"/>
    </row>
    <row r="348">
      <c r="A348" s="150">
        <v>41704.0</v>
      </c>
      <c r="B348" s="144"/>
      <c r="C348" s="116" t="str">
        <f t="shared" si="32"/>
        <v>setlist</v>
      </c>
      <c r="D348" s="153" t="s">
        <v>2953</v>
      </c>
      <c r="E348" s="153" t="s">
        <v>2327</v>
      </c>
      <c r="F348" s="151" t="s">
        <v>443</v>
      </c>
      <c r="G348" s="115" t="s">
        <v>36</v>
      </c>
      <c r="H348" s="116" t="str">
        <f>HYPERLINK("http://www.mediafire.com/download/hz6v7dy9j3dh5mh/2014-03-06_-_The_Orange_Peel_-_Asheville%2C_NC.rar", "download link")</f>
        <v>download link</v>
      </c>
      <c r="I348" s="146"/>
      <c r="J348" s="146"/>
      <c r="K348" s="146"/>
      <c r="L348" s="146"/>
    </row>
    <row r="349">
      <c r="A349" s="130">
        <v>41705.0</v>
      </c>
      <c r="B349" s="104"/>
      <c r="C349" s="105" t="str">
        <f t="shared" si="32"/>
        <v>setlist</v>
      </c>
      <c r="D349" s="132" t="s">
        <v>3038</v>
      </c>
      <c r="E349" s="132" t="s">
        <v>1073</v>
      </c>
      <c r="F349" s="133" t="s">
        <v>212</v>
      </c>
      <c r="G349" s="107" t="s">
        <v>36</v>
      </c>
      <c r="H349" s="105" t="str">
        <f>HYPERLINK("http://www.mediafire.com/download/hw32jt3y3b3jd5r/2014-03-07_-_Stage_AE_-_Pittsburgh%2C_PA.rar", "download link")</f>
        <v>download link</v>
      </c>
      <c r="I349" s="109"/>
      <c r="J349" s="109"/>
      <c r="K349" s="109"/>
      <c r="L349" s="109"/>
    </row>
    <row r="350">
      <c r="A350" s="150">
        <v>41706.0</v>
      </c>
      <c r="B350" s="144"/>
      <c r="C350" s="116" t="str">
        <f t="shared" si="32"/>
        <v>setlist</v>
      </c>
      <c r="D350" s="153" t="s">
        <v>3226</v>
      </c>
      <c r="E350" s="153" t="s">
        <v>479</v>
      </c>
      <c r="F350" s="151" t="s">
        <v>480</v>
      </c>
      <c r="G350" s="115" t="s">
        <v>36</v>
      </c>
      <c r="H350" s="116" t="str">
        <f>HYPERLINK("http://www.mediafire.com/download/z2p6038lnovzulk/2014-03-08_-_Park_West_-_Chicago%2C_IL.rar", "download link")</f>
        <v>download link</v>
      </c>
      <c r="I350" s="146"/>
      <c r="J350" s="146"/>
      <c r="K350" s="146"/>
      <c r="L350" s="146"/>
    </row>
    <row r="351">
      <c r="A351" s="130">
        <v>41707.0</v>
      </c>
      <c r="B351" s="104"/>
      <c r="C351" s="105" t="str">
        <f t="shared" si="32"/>
        <v>setlist</v>
      </c>
      <c r="D351" s="132" t="s">
        <v>704</v>
      </c>
      <c r="E351" s="132" t="s">
        <v>482</v>
      </c>
      <c r="F351" s="133" t="s">
        <v>483</v>
      </c>
      <c r="G351" s="104"/>
      <c r="H351" s="108"/>
      <c r="I351" s="109"/>
      <c r="J351" s="109"/>
      <c r="K351" s="109"/>
      <c r="L351" s="109"/>
    </row>
    <row r="352">
      <c r="A352" s="150">
        <v>41709.0</v>
      </c>
      <c r="B352" s="144"/>
      <c r="C352" s="116" t="str">
        <f t="shared" si="32"/>
        <v>setlist</v>
      </c>
      <c r="D352" s="153" t="s">
        <v>3389</v>
      </c>
      <c r="E352" s="153" t="s">
        <v>485</v>
      </c>
      <c r="F352" s="151" t="s">
        <v>486</v>
      </c>
      <c r="G352" s="144"/>
      <c r="H352" s="145"/>
      <c r="I352" s="146"/>
      <c r="J352" s="146"/>
      <c r="K352" s="146"/>
      <c r="L352" s="146"/>
    </row>
    <row r="353">
      <c r="A353" s="130">
        <v>41710.0</v>
      </c>
      <c r="B353" s="104"/>
      <c r="C353" s="105" t="str">
        <f t="shared" si="32"/>
        <v>setlist</v>
      </c>
      <c r="D353" s="132" t="s">
        <v>890</v>
      </c>
      <c r="E353" s="132" t="s">
        <v>891</v>
      </c>
      <c r="F353" s="133" t="s">
        <v>892</v>
      </c>
      <c r="G353" s="107" t="s">
        <v>36</v>
      </c>
      <c r="H353" s="105" t="str">
        <f>HYPERLINK("http://www.mediafire.com/download/g7c704tq58b1cd9/2014-03-12_-_Liberty_Hall_-_Lawrence%2C_KS.rar", "download link")</f>
        <v>download link</v>
      </c>
      <c r="I353" s="109"/>
      <c r="J353" s="109"/>
      <c r="K353" s="109"/>
      <c r="L353" s="109"/>
    </row>
    <row r="354">
      <c r="A354" s="147">
        <v>41711.0</v>
      </c>
      <c r="B354" s="114" t="s">
        <v>32</v>
      </c>
      <c r="C354" s="116" t="str">
        <f t="shared" si="32"/>
        <v>setlist</v>
      </c>
      <c r="D354" s="149" t="s">
        <v>2029</v>
      </c>
      <c r="E354" s="149" t="s">
        <v>488</v>
      </c>
      <c r="F354" s="148" t="s">
        <v>203</v>
      </c>
      <c r="G354" s="114" t="s">
        <v>36</v>
      </c>
      <c r="H354" s="116" t="str">
        <f>HYPERLINK("http://www.mediafire.com/download/swpbo4vycawq8dj/2014-03-13_-_KBCO_Studios_-_Boulder,_CO.rar", "download link")</f>
        <v>download link</v>
      </c>
      <c r="I354" s="80"/>
      <c r="J354" s="80"/>
      <c r="K354" s="80"/>
      <c r="L354" s="80"/>
    </row>
    <row r="355">
      <c r="A355" s="130">
        <v>41712.0</v>
      </c>
      <c r="B355" s="104"/>
      <c r="C355" s="105" t="str">
        <f t="shared" si="32"/>
        <v>setlist</v>
      </c>
      <c r="D355" s="132" t="s">
        <v>500</v>
      </c>
      <c r="E355" s="132" t="s">
        <v>488</v>
      </c>
      <c r="F355" s="133" t="s">
        <v>203</v>
      </c>
      <c r="G355" s="107" t="s">
        <v>36</v>
      </c>
      <c r="H355" s="105" t="str">
        <f>HYPERLINK("http://www.mediafire.com/download/4vidkmanoqmqe18/2014-03-14_-_Boulder_Theater_-_Boulder%2C_CO.rar", "download link")</f>
        <v>download link</v>
      </c>
      <c r="I355" s="109"/>
      <c r="J355" s="109"/>
      <c r="K355" s="109"/>
      <c r="L355" s="109"/>
    </row>
    <row r="356">
      <c r="A356" s="150">
        <v>41713.0</v>
      </c>
      <c r="B356" s="144"/>
      <c r="C356" s="116" t="str">
        <f t="shared" si="32"/>
        <v>setlist</v>
      </c>
      <c r="D356" s="153" t="s">
        <v>3390</v>
      </c>
      <c r="E356" s="153" t="s">
        <v>1734</v>
      </c>
      <c r="F356" s="151" t="s">
        <v>1302</v>
      </c>
      <c r="G356" s="144"/>
      <c r="H356" s="145"/>
      <c r="I356" s="146"/>
      <c r="J356" s="146"/>
      <c r="K356" s="146"/>
      <c r="L356" s="146"/>
    </row>
    <row r="357">
      <c r="A357" s="130">
        <v>41715.0</v>
      </c>
      <c r="B357" s="104"/>
      <c r="C357" s="105" t="str">
        <f t="shared" si="32"/>
        <v>setlist</v>
      </c>
      <c r="D357" s="132" t="s">
        <v>3391</v>
      </c>
      <c r="E357" s="132" t="s">
        <v>911</v>
      </c>
      <c r="F357" s="133" t="s">
        <v>679</v>
      </c>
      <c r="G357" s="104"/>
      <c r="H357" s="108"/>
      <c r="I357" s="109"/>
      <c r="J357" s="109"/>
      <c r="K357" s="109"/>
      <c r="L357" s="109"/>
    </row>
    <row r="358">
      <c r="A358" s="150">
        <v>41716.0</v>
      </c>
      <c r="B358" s="144"/>
      <c r="C358" s="116" t="str">
        <f t="shared" si="32"/>
        <v>setlist</v>
      </c>
      <c r="D358" s="153" t="s">
        <v>2020</v>
      </c>
      <c r="E358" s="153" t="s">
        <v>683</v>
      </c>
      <c r="F358" s="151" t="s">
        <v>679</v>
      </c>
      <c r="G358" s="144"/>
      <c r="H358" s="145"/>
      <c r="I358" s="146"/>
      <c r="J358" s="146"/>
      <c r="K358" s="146"/>
      <c r="L358" s="146"/>
    </row>
    <row r="359">
      <c r="A359" s="130">
        <v>41717.0</v>
      </c>
      <c r="B359" s="104"/>
      <c r="C359" s="105" t="str">
        <f t="shared" si="32"/>
        <v>setlist</v>
      </c>
      <c r="D359" s="132" t="s">
        <v>3392</v>
      </c>
      <c r="E359" s="132" t="s">
        <v>279</v>
      </c>
      <c r="F359" s="133" t="s">
        <v>692</v>
      </c>
      <c r="G359" s="107" t="s">
        <v>36</v>
      </c>
      <c r="H359" s="105" t="str">
        <f>HYPERLINK("http://www.mediafire.com/download/lbraosmaz2o63x2/2014-03-19_-_Wonder_Ballroom_-__Portland%2C_OR.rar", "download link")</f>
        <v>download link</v>
      </c>
      <c r="I359" s="109"/>
      <c r="J359" s="109"/>
      <c r="K359" s="109"/>
      <c r="L359" s="109"/>
    </row>
    <row r="360">
      <c r="A360" s="150">
        <v>41719.0</v>
      </c>
      <c r="B360" s="144"/>
      <c r="C360" s="116" t="str">
        <f t="shared" si="32"/>
        <v>setlist</v>
      </c>
      <c r="D360" s="153" t="s">
        <v>3393</v>
      </c>
      <c r="E360" s="153" t="s">
        <v>791</v>
      </c>
      <c r="F360" s="151" t="s">
        <v>701</v>
      </c>
      <c r="G360" s="115" t="s">
        <v>36</v>
      </c>
      <c r="H360" s="116" t="str">
        <f>HYPERLINK("http://www.mediafire.com/download/7bcv8k9x08wd6or/2014-03-21_-_Neptune_Theatre_-_Seattle%2C_WA.rar", "download link")</f>
        <v>download link</v>
      </c>
      <c r="I360" s="146"/>
      <c r="J360" s="146"/>
      <c r="K360" s="146"/>
      <c r="L360" s="146"/>
    </row>
    <row r="361">
      <c r="A361" s="130">
        <v>41720.0</v>
      </c>
      <c r="B361" s="104"/>
      <c r="C361" s="105" t="str">
        <f t="shared" si="32"/>
        <v>setlist</v>
      </c>
      <c r="D361" s="132" t="s">
        <v>3394</v>
      </c>
      <c r="E361" s="132" t="s">
        <v>1188</v>
      </c>
      <c r="F361" s="133" t="s">
        <v>1189</v>
      </c>
      <c r="G361" s="104"/>
      <c r="H361" s="108"/>
      <c r="I361" s="109"/>
      <c r="J361" s="109"/>
      <c r="K361" s="109"/>
      <c r="L361" s="109"/>
    </row>
    <row r="362">
      <c r="A362" s="150">
        <v>41726.0</v>
      </c>
      <c r="B362" s="144"/>
      <c r="C362" s="116" t="str">
        <f t="shared" si="32"/>
        <v>setlist</v>
      </c>
      <c r="D362" s="153" t="s">
        <v>2990</v>
      </c>
      <c r="E362" s="153" t="s">
        <v>94</v>
      </c>
      <c r="F362" s="151" t="s">
        <v>95</v>
      </c>
      <c r="G362" s="115" t="s">
        <v>36</v>
      </c>
      <c r="H362" s="116" t="str">
        <f>HYPERLINK("http://www.mediafire.com/download/192igj0ujcij6na/2014-03-28_-_House_of_Blues_-_Boston%2C_MA.rar", "download link")</f>
        <v>download link</v>
      </c>
      <c r="I362" s="146"/>
      <c r="J362" s="146"/>
      <c r="K362" s="146"/>
      <c r="L362" s="146"/>
    </row>
    <row r="363">
      <c r="A363" s="130">
        <v>41727.0</v>
      </c>
      <c r="B363" s="104"/>
      <c r="C363" s="105" t="str">
        <f t="shared" si="32"/>
        <v>setlist</v>
      </c>
      <c r="D363" s="132" t="s">
        <v>3395</v>
      </c>
      <c r="E363" s="132" t="s">
        <v>725</v>
      </c>
      <c r="F363" s="133" t="s">
        <v>182</v>
      </c>
      <c r="G363" s="107" t="s">
        <v>36</v>
      </c>
      <c r="H363" s="105" t="str">
        <f>HYPERLINK("http://www.mediafire.com/download/8lr1nb9ne2nb96i/2014-03-29_-_The_Flying_Monkey_-_Plymouth%2C_NH.rar", "download link")</f>
        <v>download link</v>
      </c>
      <c r="I363" s="109"/>
      <c r="J363" s="109"/>
      <c r="K363" s="109"/>
      <c r="L363" s="109"/>
    </row>
    <row r="364">
      <c r="A364" s="150">
        <v>41728.0</v>
      </c>
      <c r="B364" s="144"/>
      <c r="C364" s="116" t="str">
        <f t="shared" si="32"/>
        <v>setlist</v>
      </c>
      <c r="D364" s="153" t="s">
        <v>3330</v>
      </c>
      <c r="E364" s="153" t="s">
        <v>1689</v>
      </c>
      <c r="F364" s="151" t="s">
        <v>129</v>
      </c>
      <c r="G364" s="115" t="s">
        <v>36</v>
      </c>
      <c r="H364" s="116" t="str">
        <f>HYPERLINK("http://www.mediafire.com/download/2u47box95lrl44x/2014-03-30_-_Bearsville_Theater_-_Woodstock%2C_NY.rar", "download link")</f>
        <v>download link</v>
      </c>
      <c r="I364" s="146"/>
      <c r="J364" s="146"/>
      <c r="K364" s="146"/>
      <c r="L364" s="146"/>
    </row>
    <row r="365">
      <c r="A365" s="130">
        <v>41733.0</v>
      </c>
      <c r="B365" s="104"/>
      <c r="C365" s="105" t="str">
        <f t="shared" si="32"/>
        <v>setlist</v>
      </c>
      <c r="D365" s="132" t="s">
        <v>3396</v>
      </c>
      <c r="E365" s="132" t="s">
        <v>3397</v>
      </c>
      <c r="F365" s="133" t="s">
        <v>129</v>
      </c>
      <c r="G365" s="107" t="s">
        <v>36</v>
      </c>
      <c r="H365" s="105" t="str">
        <f>HYPERLINK("http://www.mediafire.com/download/4kcn9cn8r78gcik/2014-04-04_-_Tarrytown_Music_Hall_-_Tarrytown,_NY.rar", "download link")</f>
        <v>download link</v>
      </c>
      <c r="I365" s="109"/>
      <c r="J365" s="109"/>
      <c r="K365" s="109"/>
      <c r="L365" s="109"/>
    </row>
    <row r="366">
      <c r="A366" s="150">
        <v>41734.0</v>
      </c>
      <c r="B366" s="144"/>
      <c r="C366" s="116" t="str">
        <f t="shared" si="32"/>
        <v>setlist</v>
      </c>
      <c r="D366" s="153" t="s">
        <v>3398</v>
      </c>
      <c r="E366" s="153" t="s">
        <v>3399</v>
      </c>
      <c r="F366" s="151" t="s">
        <v>95</v>
      </c>
      <c r="G366" s="115" t="s">
        <v>36</v>
      </c>
      <c r="H366" s="116" t="str">
        <f>HYPERLINK("http://www.mediafire.com/download/lp4kbdg3fg7bq3k/2014-04-05_-_MASS_MoCA_-_North_Adams%2C_MA.rar", "download link")</f>
        <v>download link</v>
      </c>
      <c r="I366" s="146"/>
      <c r="J366" s="146"/>
      <c r="K366" s="146"/>
      <c r="L366" s="146"/>
    </row>
    <row r="367">
      <c r="A367" s="130">
        <v>41735.0</v>
      </c>
      <c r="B367" s="104"/>
      <c r="C367" s="105" t="str">
        <f t="shared" si="32"/>
        <v>setlist</v>
      </c>
      <c r="D367" s="132" t="s">
        <v>2817</v>
      </c>
      <c r="E367" s="132" t="s">
        <v>2826</v>
      </c>
      <c r="F367" s="133" t="s">
        <v>35</v>
      </c>
      <c r="G367" s="107" t="s">
        <v>36</v>
      </c>
      <c r="H367" s="105" t="str">
        <f>HYPERLINK("http://www.mediafire.com/download/xespd90ojooddwr/2014-04-06_-_Higher_Ground_-_South_Burlington%2C_VT.rar", "download link")</f>
        <v>download link</v>
      </c>
      <c r="I367" s="109"/>
      <c r="J367" s="109"/>
      <c r="K367" s="109"/>
      <c r="L367" s="109"/>
    </row>
    <row r="368">
      <c r="A368" s="380"/>
      <c r="B368" s="381"/>
      <c r="C368" s="362"/>
      <c r="D368" s="356" t="s">
        <v>3302</v>
      </c>
      <c r="E368" s="382"/>
      <c r="F368" s="381"/>
      <c r="G368" s="381"/>
      <c r="H368" s="358"/>
      <c r="I368" s="382"/>
      <c r="J368" s="382"/>
      <c r="K368" s="382"/>
      <c r="L368" s="382"/>
    </row>
    <row r="369">
      <c r="A369" s="150">
        <v>42160.0</v>
      </c>
      <c r="B369" s="144"/>
      <c r="C369" s="116" t="str">
        <f t="shared" ref="C369:C384" si="33">HYPERLINK("http://phish.net/sideshows/mike-gordon/?d="&amp;RIGHT(TEXT(A369,"mm/dd/yyyy"),4)&amp;"-"&amp;LEFT(TEXT(A369,"mm/dd/yyyy"),2)&amp;"-"&amp;MID(TEXT(A369,"mm/dd/yyyy"),4,2), "setlist")</f>
        <v>setlist</v>
      </c>
      <c r="D369" s="153" t="s">
        <v>3400</v>
      </c>
      <c r="E369" s="153" t="s">
        <v>429</v>
      </c>
      <c r="F369" s="151" t="s">
        <v>430</v>
      </c>
      <c r="G369" s="115" t="s">
        <v>36</v>
      </c>
      <c r="H369" s="116" t="str">
        <f>HYPERLINK("http://www.mediafire.com/download/ibm2qcn48ha8q74/2015-06-05_-_Charleston_Music_Hall_-_Charleston,_SC.rar", "download link")</f>
        <v>download link</v>
      </c>
      <c r="I369" s="146"/>
      <c r="J369" s="146"/>
      <c r="K369" s="146"/>
      <c r="L369" s="146"/>
    </row>
    <row r="370">
      <c r="A370" s="130">
        <v>42161.0</v>
      </c>
      <c r="B370" s="104"/>
      <c r="C370" s="105" t="str">
        <f t="shared" si="33"/>
        <v>setlist</v>
      </c>
      <c r="D370" s="132" t="s">
        <v>3375</v>
      </c>
      <c r="E370" s="132" t="s">
        <v>437</v>
      </c>
      <c r="F370" s="133" t="s">
        <v>433</v>
      </c>
      <c r="G370" s="104"/>
      <c r="H370" s="108"/>
      <c r="I370" s="109"/>
      <c r="J370" s="109"/>
      <c r="K370" s="109"/>
      <c r="L370" s="109"/>
    </row>
    <row r="371">
      <c r="A371" s="150">
        <v>42162.0</v>
      </c>
      <c r="B371" s="144"/>
      <c r="C371" s="116" t="str">
        <f t="shared" si="33"/>
        <v>setlist</v>
      </c>
      <c r="D371" s="153" t="s">
        <v>3401</v>
      </c>
      <c r="E371" s="153" t="s">
        <v>1209</v>
      </c>
      <c r="F371" s="151" t="s">
        <v>1210</v>
      </c>
      <c r="G371" s="115" t="s">
        <v>36</v>
      </c>
      <c r="H371" s="116" t="str">
        <f>HYPERLINK("http://www.mediafire.com/download/m9mxqxs9ka27izc/2015-06-07_-_Mercury_Ballroom_-_Louisville,_KY.rar", "download link")</f>
        <v>download link</v>
      </c>
      <c r="I371" s="146"/>
      <c r="J371" s="146"/>
      <c r="K371" s="146"/>
      <c r="L371" s="146"/>
    </row>
    <row r="372">
      <c r="A372" s="130">
        <v>42164.0</v>
      </c>
      <c r="B372" s="104"/>
      <c r="C372" s="105" t="str">
        <f t="shared" si="33"/>
        <v>setlist</v>
      </c>
      <c r="D372" s="132" t="s">
        <v>3031</v>
      </c>
      <c r="E372" s="132" t="s">
        <v>885</v>
      </c>
      <c r="F372" s="133" t="s">
        <v>886</v>
      </c>
      <c r="G372" s="104"/>
      <c r="H372" s="108"/>
      <c r="I372" s="109"/>
      <c r="J372" s="109"/>
      <c r="K372" s="109"/>
      <c r="L372" s="109"/>
    </row>
    <row r="373">
      <c r="A373" s="150">
        <v>42166.0</v>
      </c>
      <c r="B373" s="144"/>
      <c r="C373" s="116" t="str">
        <f t="shared" si="33"/>
        <v>setlist</v>
      </c>
      <c r="D373" s="153" t="s">
        <v>1076</v>
      </c>
      <c r="E373" s="153" t="s">
        <v>471</v>
      </c>
      <c r="F373" s="151" t="s">
        <v>472</v>
      </c>
      <c r="G373" s="165" t="s">
        <v>36</v>
      </c>
      <c r="H373" s="116" t="str">
        <f>HYPERLINK("http://www.mediafire.com/file/m4hk3jog1uzrl4b/2015-06-11_-_Newport_Music_Hall_-_Columbus%2C_OH.rar", "download link")</f>
        <v>download link</v>
      </c>
      <c r="I373" s="146"/>
      <c r="J373" s="146"/>
      <c r="K373" s="146"/>
      <c r="L373" s="146"/>
    </row>
    <row r="374">
      <c r="A374" s="130">
        <v>42167.0</v>
      </c>
      <c r="B374" s="104"/>
      <c r="C374" s="105" t="str">
        <f t="shared" si="33"/>
        <v>setlist</v>
      </c>
      <c r="D374" s="132" t="s">
        <v>3402</v>
      </c>
      <c r="E374" s="132" t="s">
        <v>1289</v>
      </c>
      <c r="F374" s="133" t="s">
        <v>508</v>
      </c>
      <c r="G374" s="104"/>
      <c r="H374" s="108"/>
      <c r="I374" s="109"/>
      <c r="J374" s="109"/>
      <c r="K374" s="109"/>
      <c r="L374" s="109"/>
    </row>
    <row r="375">
      <c r="A375" s="150">
        <v>42168.0</v>
      </c>
      <c r="B375" s="144"/>
      <c r="C375" s="116" t="str">
        <f t="shared" si="33"/>
        <v>setlist</v>
      </c>
      <c r="D375" s="153" t="s">
        <v>1080</v>
      </c>
      <c r="E375" s="153" t="s">
        <v>479</v>
      </c>
      <c r="F375" s="151" t="s">
        <v>480</v>
      </c>
      <c r="G375" s="144"/>
      <c r="H375" s="145"/>
      <c r="I375" s="146"/>
      <c r="J375" s="146"/>
      <c r="K375" s="146"/>
      <c r="L375" s="146"/>
    </row>
    <row r="376">
      <c r="A376" s="130">
        <v>42169.0</v>
      </c>
      <c r="B376" s="104"/>
      <c r="C376" s="105" t="str">
        <f t="shared" si="33"/>
        <v>setlist</v>
      </c>
      <c r="D376" s="132" t="s">
        <v>2990</v>
      </c>
      <c r="E376" s="132" t="s">
        <v>773</v>
      </c>
      <c r="F376" s="133" t="s">
        <v>472</v>
      </c>
      <c r="G376" s="104"/>
      <c r="H376" s="108"/>
      <c r="I376" s="109"/>
      <c r="J376" s="109"/>
      <c r="K376" s="109"/>
      <c r="L376" s="109"/>
    </row>
    <row r="377">
      <c r="A377" s="150">
        <v>42171.0</v>
      </c>
      <c r="B377" s="144"/>
      <c r="C377" s="116" t="str">
        <f t="shared" si="33"/>
        <v>setlist</v>
      </c>
      <c r="D377" s="153" t="s">
        <v>3340</v>
      </c>
      <c r="E377" s="153" t="s">
        <v>715</v>
      </c>
      <c r="F377" s="151" t="s">
        <v>129</v>
      </c>
      <c r="G377" s="165" t="s">
        <v>36</v>
      </c>
      <c r="H377" s="116" t="str">
        <f>HYPERLINK("http://www.mediafire.com/download/808wuf7eijszt5j/2015-06-16_-_Town_Ballroom_-_Buffalo,_NY.rar", "download link")</f>
        <v>download link</v>
      </c>
      <c r="I377" s="146"/>
      <c r="J377" s="146"/>
      <c r="K377" s="146"/>
      <c r="L377" s="146"/>
    </row>
    <row r="378">
      <c r="A378" s="130">
        <v>42173.0</v>
      </c>
      <c r="B378" s="104"/>
      <c r="C378" s="105" t="str">
        <f t="shared" si="33"/>
        <v>setlist</v>
      </c>
      <c r="D378" s="132" t="s">
        <v>3403</v>
      </c>
      <c r="E378" s="132" t="s">
        <v>3404</v>
      </c>
      <c r="F378" s="133" t="s">
        <v>129</v>
      </c>
      <c r="G378" s="104"/>
      <c r="H378" s="108"/>
      <c r="I378" s="109"/>
      <c r="J378" s="109"/>
      <c r="K378" s="109"/>
      <c r="L378" s="109"/>
    </row>
    <row r="379">
      <c r="A379" s="150">
        <v>42174.0</v>
      </c>
      <c r="B379" s="144"/>
      <c r="C379" s="116" t="str">
        <f t="shared" si="33"/>
        <v>setlist</v>
      </c>
      <c r="D379" s="153" t="s">
        <v>3380</v>
      </c>
      <c r="E379" s="153" t="s">
        <v>309</v>
      </c>
      <c r="F379" s="151" t="s">
        <v>129</v>
      </c>
      <c r="G379" s="115" t="s">
        <v>36</v>
      </c>
      <c r="H379" s="116" t="str">
        <f>HYPERLINK("http://www.mediafire.com/download/lu0u3wg12l9074s/2015-06-19_-_The_Egg_-_Albany,_NY.rar", "download link")</f>
        <v>download link</v>
      </c>
      <c r="I379" s="146"/>
      <c r="J379" s="146"/>
      <c r="K379" s="146"/>
      <c r="L379" s="146"/>
    </row>
    <row r="380">
      <c r="A380" s="130">
        <v>42175.0</v>
      </c>
      <c r="B380" s="104"/>
      <c r="C380" s="105" t="str">
        <f t="shared" si="33"/>
        <v>setlist</v>
      </c>
      <c r="D380" s="132" t="s">
        <v>3152</v>
      </c>
      <c r="E380" s="132" t="s">
        <v>459</v>
      </c>
      <c r="F380" s="133" t="s">
        <v>171</v>
      </c>
      <c r="G380" s="104"/>
      <c r="H380" s="108"/>
      <c r="I380" s="109"/>
      <c r="J380" s="109"/>
      <c r="K380" s="109"/>
      <c r="L380" s="109"/>
    </row>
    <row r="381">
      <c r="A381" s="150">
        <v>42176.0</v>
      </c>
      <c r="B381" s="144"/>
      <c r="C381" s="116" t="str">
        <f t="shared" si="33"/>
        <v>setlist</v>
      </c>
      <c r="D381" s="153" t="s">
        <v>3405</v>
      </c>
      <c r="E381" s="153" t="s">
        <v>247</v>
      </c>
      <c r="F381" s="151" t="s">
        <v>95</v>
      </c>
      <c r="G381" s="115" t="s">
        <v>36</v>
      </c>
      <c r="H381" s="116" t="str">
        <f>HYPERLINK("http://www.mediafire.com/download/wd191s4w80j4elu/2015-06-21_-_Academy_of_Music_-_Northampton,_MA.rar", "download link")</f>
        <v>download link</v>
      </c>
      <c r="I381" s="146"/>
      <c r="J381" s="146"/>
      <c r="K381" s="146"/>
      <c r="L381" s="146"/>
    </row>
    <row r="382">
      <c r="A382" s="130">
        <v>42181.0</v>
      </c>
      <c r="B382" s="104"/>
      <c r="C382" s="105" t="str">
        <f t="shared" si="33"/>
        <v>setlist</v>
      </c>
      <c r="D382" s="132" t="s">
        <v>3406</v>
      </c>
      <c r="E382" s="132" t="s">
        <v>1559</v>
      </c>
      <c r="F382" s="133" t="s">
        <v>95</v>
      </c>
      <c r="G382" s="141" t="s">
        <v>36</v>
      </c>
      <c r="H382" s="105" t="str">
        <f>HYPERLINK("http://www.mediafire.com/download/yde8kxk8bfp9se8/2015-06-26_-_Boarding_House_Park_-_Lowell,_MA.rar", "download link")</f>
        <v>download link</v>
      </c>
      <c r="I382" s="109"/>
      <c r="J382" s="109"/>
      <c r="K382" s="109"/>
      <c r="L382" s="109"/>
    </row>
    <row r="383">
      <c r="A383" s="150">
        <v>42182.0</v>
      </c>
      <c r="B383" s="144"/>
      <c r="C383" s="116" t="str">
        <f t="shared" si="33"/>
        <v>setlist</v>
      </c>
      <c r="D383" s="153" t="s">
        <v>570</v>
      </c>
      <c r="E383" s="153" t="s">
        <v>571</v>
      </c>
      <c r="F383" s="151" t="s">
        <v>129</v>
      </c>
      <c r="G383" s="165" t="s">
        <v>36</v>
      </c>
      <c r="H383" s="116" t="str">
        <f>HYPERLINK("http://www.mediafire.com/download/0kvd5va3jmqwfpv/2015-06-27_-_The_Capitol_Theatre_-_Port_Chester%2C_NY.rar", "download link")</f>
        <v>download link</v>
      </c>
      <c r="I383" s="146"/>
      <c r="J383" s="146"/>
      <c r="K383" s="146"/>
      <c r="L383" s="146"/>
    </row>
    <row r="384">
      <c r="A384" s="130">
        <v>42183.0</v>
      </c>
      <c r="B384" s="104"/>
      <c r="C384" s="105" t="str">
        <f t="shared" si="33"/>
        <v>setlist</v>
      </c>
      <c r="D384" s="132" t="s">
        <v>3388</v>
      </c>
      <c r="E384" s="132" t="s">
        <v>871</v>
      </c>
      <c r="F384" s="133" t="s">
        <v>212</v>
      </c>
      <c r="G384" s="104"/>
      <c r="H384" s="108"/>
      <c r="I384" s="109"/>
      <c r="J384" s="109"/>
      <c r="K384" s="109"/>
      <c r="L384" s="109"/>
    </row>
    <row r="385">
      <c r="A385" s="380"/>
      <c r="B385" s="381"/>
      <c r="C385" s="362"/>
      <c r="D385" s="356" t="s">
        <v>3407</v>
      </c>
      <c r="E385" s="382"/>
      <c r="F385" s="381"/>
      <c r="G385" s="381"/>
      <c r="H385" s="358"/>
      <c r="I385" s="382"/>
      <c r="J385" s="382"/>
      <c r="K385" s="382"/>
      <c r="L385" s="382"/>
    </row>
    <row r="386">
      <c r="A386" s="150">
        <v>42259.0</v>
      </c>
      <c r="B386" s="144"/>
      <c r="C386" s="116" t="str">
        <f>HYPERLINK("http://phish.net/sideshows/mike-gordon/?d="&amp;RIGHT(TEXT(A386,"mm/dd/yyyy"),4)&amp;"-"&amp;LEFT(TEXT(A386,"mm/dd/yyyy"),2)&amp;"-"&amp;MID(TEXT(A386,"mm/dd/yyyy"),4,2), "setlist")</f>
        <v>setlist</v>
      </c>
      <c r="D386" s="152" t="s">
        <v>3408</v>
      </c>
      <c r="E386" s="152" t="s">
        <v>34</v>
      </c>
      <c r="F386" s="196" t="s">
        <v>35</v>
      </c>
      <c r="G386" s="144"/>
      <c r="H386" s="145"/>
      <c r="I386" s="146"/>
      <c r="J386" s="146"/>
      <c r="K386" s="146"/>
      <c r="L386" s="146"/>
    </row>
    <row r="387">
      <c r="A387" s="380"/>
      <c r="B387" s="381"/>
      <c r="C387" s="362"/>
      <c r="D387" s="383" t="s">
        <v>3364</v>
      </c>
      <c r="E387" s="382"/>
      <c r="F387" s="381"/>
      <c r="G387" s="381"/>
      <c r="H387" s="358"/>
      <c r="I387" s="382"/>
      <c r="J387" s="382"/>
      <c r="K387" s="382"/>
      <c r="L387" s="382"/>
    </row>
    <row r="388">
      <c r="A388" s="150">
        <v>42391.0</v>
      </c>
      <c r="B388" s="144"/>
      <c r="C388" s="116" t="str">
        <f t="shared" ref="C388:C399" si="34">HYPERLINK("http://phish.net/sideshows/mike-gordon/?d="&amp;RIGHT(TEXT(A388,"mm/dd/yyyy"),4)&amp;"-"&amp;LEFT(TEXT(A388,"mm/dd/yyyy"),2)&amp;"-"&amp;MID(TEXT(A388,"mm/dd/yyyy"),4,2), "setlist")</f>
        <v>setlist</v>
      </c>
      <c r="D388" s="152" t="s">
        <v>3409</v>
      </c>
      <c r="E388" s="152" t="s">
        <v>591</v>
      </c>
      <c r="F388" s="196" t="s">
        <v>589</v>
      </c>
      <c r="G388" s="144"/>
      <c r="H388" s="145"/>
      <c r="I388" s="146"/>
      <c r="J388" s="146"/>
      <c r="K388" s="146"/>
      <c r="L388" s="146"/>
    </row>
    <row r="389">
      <c r="A389" s="130">
        <v>42392.0</v>
      </c>
      <c r="B389" s="104"/>
      <c r="C389" s="105" t="str">
        <f t="shared" si="34"/>
        <v>setlist</v>
      </c>
      <c r="D389" s="140" t="s">
        <v>3410</v>
      </c>
      <c r="E389" s="140" t="s">
        <v>588</v>
      </c>
      <c r="F389" s="195" t="s">
        <v>589</v>
      </c>
      <c r="G389" s="104"/>
      <c r="H389" s="108"/>
      <c r="I389" s="109"/>
      <c r="J389" s="109"/>
      <c r="K389" s="109"/>
      <c r="L389" s="109"/>
    </row>
    <row r="390">
      <c r="A390" s="150">
        <v>42393.0</v>
      </c>
      <c r="B390" s="144"/>
      <c r="C390" s="116" t="str">
        <f t="shared" si="34"/>
        <v>setlist</v>
      </c>
      <c r="D390" s="152" t="s">
        <v>3411</v>
      </c>
      <c r="E390" s="152" t="s">
        <v>593</v>
      </c>
      <c r="F390" s="196" t="s">
        <v>589</v>
      </c>
      <c r="G390" s="165" t="s">
        <v>36</v>
      </c>
      <c r="H390" s="116" t="str">
        <f>HYPERLINK("http://www.mediafire.com/download/435ga4jckwzcr0l/2016-01-24_-_Granada_Theater_-_Dallas%2C_TX.rar", "download link")</f>
        <v>download link</v>
      </c>
      <c r="I390" s="146"/>
      <c r="J390" s="146"/>
      <c r="K390" s="146"/>
      <c r="L390" s="146"/>
    </row>
    <row r="391">
      <c r="A391" s="130">
        <v>42395.0</v>
      </c>
      <c r="B391" s="104"/>
      <c r="C391" s="105" t="str">
        <f t="shared" si="34"/>
        <v>setlist</v>
      </c>
      <c r="D391" s="140" t="s">
        <v>3251</v>
      </c>
      <c r="E391" s="140" t="s">
        <v>3252</v>
      </c>
      <c r="F391" s="195" t="s">
        <v>805</v>
      </c>
      <c r="G391" s="141" t="s">
        <v>36</v>
      </c>
      <c r="H391" s="105" t="str">
        <f>HYPERLINK("http://www.mediafire.com/download/8r8cyr7jjdt2wtr/2016-01-26_-_Rialto_Theatre_-_Tuscon%2C_AZ.rar", "download link")</f>
        <v>download link</v>
      </c>
      <c r="I391" s="109"/>
      <c r="J391" s="109"/>
      <c r="K391" s="109"/>
      <c r="L391" s="109"/>
    </row>
    <row r="392">
      <c r="A392" s="150">
        <v>42396.0</v>
      </c>
      <c r="B392" s="144"/>
      <c r="C392" s="116" t="str">
        <f t="shared" si="34"/>
        <v>setlist</v>
      </c>
      <c r="D392" s="152" t="s">
        <v>3370</v>
      </c>
      <c r="E392" s="152" t="s">
        <v>3371</v>
      </c>
      <c r="F392" s="196" t="s">
        <v>805</v>
      </c>
      <c r="G392" s="144"/>
      <c r="H392" s="145"/>
      <c r="I392" s="146"/>
      <c r="J392" s="146"/>
      <c r="K392" s="146"/>
      <c r="L392" s="146"/>
    </row>
    <row r="393">
      <c r="A393" s="130">
        <v>42398.0</v>
      </c>
      <c r="B393" s="104"/>
      <c r="C393" s="105" t="str">
        <f t="shared" si="34"/>
        <v>setlist</v>
      </c>
      <c r="D393" s="140" t="s">
        <v>3412</v>
      </c>
      <c r="E393" s="140" t="s">
        <v>911</v>
      </c>
      <c r="F393" s="195" t="s">
        <v>679</v>
      </c>
      <c r="G393" s="104"/>
      <c r="H393" s="108"/>
      <c r="I393" s="109"/>
      <c r="J393" s="109"/>
      <c r="K393" s="109"/>
      <c r="L393" s="109"/>
    </row>
    <row r="394">
      <c r="A394" s="150">
        <v>42399.0</v>
      </c>
      <c r="B394" s="144"/>
      <c r="C394" s="116" t="str">
        <f t="shared" si="34"/>
        <v>setlist</v>
      </c>
      <c r="D394" s="152" t="s">
        <v>3168</v>
      </c>
      <c r="E394" s="152" t="s">
        <v>1381</v>
      </c>
      <c r="F394" s="196" t="s">
        <v>679</v>
      </c>
      <c r="G394" s="144"/>
      <c r="H394" s="145"/>
      <c r="I394" s="146"/>
      <c r="J394" s="146"/>
      <c r="K394" s="146"/>
      <c r="L394" s="146"/>
    </row>
    <row r="395">
      <c r="A395" s="130">
        <v>42400.0</v>
      </c>
      <c r="B395" s="104"/>
      <c r="C395" s="105" t="str">
        <f t="shared" si="34"/>
        <v>setlist</v>
      </c>
      <c r="D395" s="140" t="s">
        <v>2020</v>
      </c>
      <c r="E395" s="140" t="s">
        <v>683</v>
      </c>
      <c r="F395" s="195" t="s">
        <v>679</v>
      </c>
      <c r="G395" s="104"/>
      <c r="H395" s="108"/>
      <c r="I395" s="109"/>
      <c r="J395" s="109"/>
      <c r="K395" s="109"/>
      <c r="L395" s="109"/>
    </row>
    <row r="396">
      <c r="A396" s="150">
        <v>42402.0</v>
      </c>
      <c r="B396" s="144"/>
      <c r="C396" s="116" t="str">
        <f t="shared" si="34"/>
        <v>setlist</v>
      </c>
      <c r="D396" s="152" t="s">
        <v>3413</v>
      </c>
      <c r="E396" s="152" t="s">
        <v>279</v>
      </c>
      <c r="F396" s="196" t="s">
        <v>692</v>
      </c>
      <c r="G396" s="144"/>
      <c r="H396" s="145"/>
      <c r="I396" s="146"/>
      <c r="J396" s="146"/>
      <c r="K396" s="146"/>
      <c r="L396" s="146"/>
    </row>
    <row r="397">
      <c r="A397" s="130">
        <v>42403.0</v>
      </c>
      <c r="B397" s="104"/>
      <c r="C397" s="105" t="str">
        <f t="shared" si="34"/>
        <v>setlist</v>
      </c>
      <c r="D397" s="140" t="s">
        <v>3393</v>
      </c>
      <c r="E397" s="140" t="s">
        <v>791</v>
      </c>
      <c r="F397" s="195" t="s">
        <v>701</v>
      </c>
      <c r="G397" s="104"/>
      <c r="H397" s="108"/>
      <c r="I397" s="109"/>
      <c r="J397" s="109"/>
      <c r="K397" s="109"/>
      <c r="L397" s="109"/>
    </row>
    <row r="398">
      <c r="A398" s="150">
        <v>42405.0</v>
      </c>
      <c r="B398" s="144"/>
      <c r="C398" s="116" t="str">
        <f t="shared" si="34"/>
        <v>setlist</v>
      </c>
      <c r="D398" s="152" t="s">
        <v>3390</v>
      </c>
      <c r="E398" s="152" t="s">
        <v>1734</v>
      </c>
      <c r="F398" s="196" t="s">
        <v>1302</v>
      </c>
      <c r="G398" s="165" t="s">
        <v>36</v>
      </c>
      <c r="H398" s="116" t="str">
        <f>HYPERLINK("http://www.mediafire.com/download/9cx45hsapb5hm1a/2016-02-05_-_Park_City_Live_-_Park_City%2C_UT.rar", "download link")</f>
        <v>download link</v>
      </c>
      <c r="I398" s="146"/>
      <c r="J398" s="146"/>
      <c r="K398" s="146"/>
      <c r="L398" s="146"/>
    </row>
    <row r="399">
      <c r="A399" s="130">
        <v>42406.0</v>
      </c>
      <c r="B399" s="104"/>
      <c r="C399" s="105" t="str">
        <f t="shared" si="34"/>
        <v>setlist</v>
      </c>
      <c r="D399" s="140" t="s">
        <v>664</v>
      </c>
      <c r="E399" s="140" t="s">
        <v>665</v>
      </c>
      <c r="F399" s="195" t="s">
        <v>679</v>
      </c>
      <c r="G399" s="141" t="s">
        <v>36</v>
      </c>
      <c r="H399" s="105" t="str">
        <f>HYPERLINK("http://www.mediafire.com/download/jchz5w7xbn97nww/2016-02-06_-_Gothic_Theatre_-_Englewood%2C_CO.rar", "download link")</f>
        <v>download link</v>
      </c>
      <c r="I399" s="109"/>
      <c r="J399" s="109"/>
      <c r="K399" s="109"/>
      <c r="L399" s="109"/>
    </row>
    <row r="400">
      <c r="A400" s="380"/>
      <c r="B400" s="381"/>
      <c r="C400" s="381"/>
      <c r="D400" s="383" t="s">
        <v>3414</v>
      </c>
      <c r="E400" s="382"/>
      <c r="F400" s="381"/>
      <c r="G400" s="381"/>
      <c r="H400" s="358"/>
      <c r="I400" s="382"/>
      <c r="J400" s="382"/>
      <c r="K400" s="382"/>
      <c r="L400" s="382"/>
    </row>
    <row r="401">
      <c r="A401" s="150">
        <v>42636.0</v>
      </c>
      <c r="B401" s="144"/>
      <c r="C401" s="116" t="str">
        <f t="shared" ref="C401:C417" si="35">HYPERLINK("http://phish.net/sideshows/mike-gordon/?d="&amp;RIGHT(TEXT(A401,"mm/dd/yyyy"),4)&amp;"-"&amp;LEFT(TEXT(A401,"mm/dd/yyyy"),2)&amp;"-"&amp;MID(TEXT(A401,"mm/dd/yyyy"),4,2), "setlist")</f>
        <v>setlist</v>
      </c>
      <c r="D401" s="152" t="s">
        <v>3415</v>
      </c>
      <c r="E401" s="152" t="s">
        <v>3416</v>
      </c>
      <c r="F401" s="196" t="s">
        <v>212</v>
      </c>
      <c r="G401" s="165"/>
      <c r="H401" s="197"/>
      <c r="I401" s="146"/>
      <c r="J401" s="146"/>
      <c r="K401" s="146"/>
      <c r="L401" s="146"/>
    </row>
    <row r="402">
      <c r="A402" s="130">
        <v>42692.0</v>
      </c>
      <c r="B402" s="104"/>
      <c r="C402" s="105" t="str">
        <f t="shared" si="35"/>
        <v>setlist</v>
      </c>
      <c r="D402" s="140" t="s">
        <v>3417</v>
      </c>
      <c r="E402" s="140" t="s">
        <v>885</v>
      </c>
      <c r="F402" s="195" t="s">
        <v>886</v>
      </c>
      <c r="G402" s="141"/>
      <c r="H402" s="143"/>
      <c r="I402" s="109"/>
      <c r="J402" s="109"/>
      <c r="K402" s="109"/>
      <c r="L402" s="109"/>
    </row>
    <row r="403">
      <c r="A403" s="150">
        <v>42693.0</v>
      </c>
      <c r="B403" s="144"/>
      <c r="C403" s="116" t="str">
        <f t="shared" si="35"/>
        <v>setlist</v>
      </c>
      <c r="D403" s="152" t="s">
        <v>3323</v>
      </c>
      <c r="E403" s="152" t="s">
        <v>482</v>
      </c>
      <c r="F403" s="196" t="s">
        <v>483</v>
      </c>
      <c r="G403" s="165"/>
      <c r="H403" s="197"/>
      <c r="I403" s="146"/>
      <c r="J403" s="146"/>
      <c r="K403" s="146"/>
      <c r="L403" s="146"/>
    </row>
    <row r="404">
      <c r="A404" s="130">
        <v>42694.0</v>
      </c>
      <c r="B404" s="104"/>
      <c r="C404" s="105" t="str">
        <f t="shared" si="35"/>
        <v>setlist</v>
      </c>
      <c r="D404" s="140" t="s">
        <v>3226</v>
      </c>
      <c r="E404" s="140" t="s">
        <v>479</v>
      </c>
      <c r="F404" s="195" t="s">
        <v>480</v>
      </c>
      <c r="G404" s="141"/>
      <c r="H404" s="143"/>
      <c r="I404" s="109"/>
      <c r="J404" s="109"/>
      <c r="K404" s="109"/>
      <c r="L404" s="109"/>
    </row>
    <row r="405">
      <c r="A405" s="150">
        <v>42696.0</v>
      </c>
      <c r="B405" s="144"/>
      <c r="C405" s="116" t="str">
        <f t="shared" si="35"/>
        <v>setlist</v>
      </c>
      <c r="D405" s="152" t="s">
        <v>3338</v>
      </c>
      <c r="E405" s="152" t="s">
        <v>1073</v>
      </c>
      <c r="F405" s="196" t="s">
        <v>212</v>
      </c>
      <c r="G405" s="165"/>
      <c r="H405" s="197"/>
      <c r="I405" s="146"/>
      <c r="J405" s="146"/>
      <c r="K405" s="146"/>
      <c r="L405" s="146"/>
    </row>
    <row r="406">
      <c r="A406" s="130">
        <v>42697.0</v>
      </c>
      <c r="B406" s="104"/>
      <c r="C406" s="105" t="str">
        <f t="shared" si="35"/>
        <v>setlist</v>
      </c>
      <c r="D406" s="140" t="s">
        <v>3340</v>
      </c>
      <c r="E406" s="140" t="s">
        <v>715</v>
      </c>
      <c r="F406" s="195" t="s">
        <v>129</v>
      </c>
      <c r="G406" s="141" t="s">
        <v>36</v>
      </c>
      <c r="H406" s="105" t="str">
        <f>HYPERLINK("http://www.mediafire.com/file/5e2f7wb33t744kb/2016-11-23_-_Town_Ballroom_-_Buffalo%2C_NY.rar", "download link")</f>
        <v>download link</v>
      </c>
      <c r="I406" s="109"/>
      <c r="J406" s="109"/>
      <c r="K406" s="109"/>
      <c r="L406" s="109"/>
    </row>
    <row r="407">
      <c r="A407" s="150">
        <v>42697.0</v>
      </c>
      <c r="B407" s="144"/>
      <c r="C407" s="116" t="str">
        <f t="shared" si="35"/>
        <v>setlist</v>
      </c>
      <c r="D407" s="152" t="s">
        <v>3418</v>
      </c>
      <c r="E407" s="152" t="s">
        <v>715</v>
      </c>
      <c r="F407" s="196" t="s">
        <v>129</v>
      </c>
      <c r="G407" s="165"/>
      <c r="H407" s="197"/>
      <c r="I407" s="146"/>
      <c r="J407" s="146"/>
      <c r="K407" s="146"/>
      <c r="L407" s="146"/>
    </row>
    <row r="408">
      <c r="A408" s="130">
        <v>42699.0</v>
      </c>
      <c r="B408" s="104"/>
      <c r="C408" s="105" t="str">
        <f t="shared" si="35"/>
        <v>setlist</v>
      </c>
      <c r="D408" s="140" t="s">
        <v>2817</v>
      </c>
      <c r="E408" s="140" t="s">
        <v>2826</v>
      </c>
      <c r="F408" s="195" t="s">
        <v>35</v>
      </c>
      <c r="G408" s="141"/>
      <c r="H408" s="143"/>
      <c r="I408" s="109"/>
      <c r="J408" s="109"/>
      <c r="K408" s="109"/>
      <c r="L408" s="109"/>
    </row>
    <row r="409">
      <c r="A409" s="150">
        <v>42700.0</v>
      </c>
      <c r="B409" s="144"/>
      <c r="C409" s="116" t="str">
        <f t="shared" si="35"/>
        <v>setlist</v>
      </c>
      <c r="D409" s="152" t="s">
        <v>3380</v>
      </c>
      <c r="E409" s="152" t="s">
        <v>309</v>
      </c>
      <c r="F409" s="196" t="s">
        <v>129</v>
      </c>
      <c r="G409" s="165" t="s">
        <v>36</v>
      </c>
      <c r="H409" s="116" t="str">
        <f>HYPERLINK("http://www.mediafire.com/file/hr0p15ftukegyy4/2016-11-26_-_The_Egg_-_Albany%2C_NY.rar", "download link")</f>
        <v>download link</v>
      </c>
      <c r="I409" s="117"/>
      <c r="J409" s="117"/>
      <c r="K409" s="117"/>
      <c r="L409" s="117"/>
    </row>
    <row r="410">
      <c r="A410" s="130">
        <v>42702.0</v>
      </c>
      <c r="B410" s="104"/>
      <c r="C410" s="105" t="str">
        <f t="shared" si="35"/>
        <v>setlist</v>
      </c>
      <c r="D410" s="140" t="s">
        <v>3388</v>
      </c>
      <c r="E410" s="140" t="s">
        <v>871</v>
      </c>
      <c r="F410" s="195" t="s">
        <v>212</v>
      </c>
      <c r="G410" s="141"/>
      <c r="H410" s="143"/>
      <c r="I410" s="109"/>
      <c r="J410" s="109"/>
      <c r="K410" s="109"/>
      <c r="L410" s="109"/>
    </row>
    <row r="411">
      <c r="A411" s="150">
        <v>42703.0</v>
      </c>
      <c r="B411" s="144"/>
      <c r="C411" s="116" t="str">
        <f t="shared" si="35"/>
        <v>setlist</v>
      </c>
      <c r="D411" s="152" t="s">
        <v>3331</v>
      </c>
      <c r="E411" s="152" t="s">
        <v>393</v>
      </c>
      <c r="F411" s="196" t="s">
        <v>394</v>
      </c>
      <c r="G411" s="165" t="s">
        <v>36</v>
      </c>
      <c r="H411" s="116" t="str">
        <f>HYPERLINK("http://www.mediafire.com/file/l268dtxlmd95goa/2016-11-29_-_Lincoln_Theatre_-_Washington%2C_DC.rar", "download link")</f>
        <v>download link</v>
      </c>
      <c r="I411" s="146"/>
      <c r="J411" s="146"/>
      <c r="K411" s="146"/>
      <c r="L411" s="146"/>
    </row>
    <row r="412">
      <c r="A412" s="130">
        <v>42705.0</v>
      </c>
      <c r="B412" s="104"/>
      <c r="C412" s="105" t="str">
        <f t="shared" si="35"/>
        <v>setlist</v>
      </c>
      <c r="D412" s="140" t="s">
        <v>2953</v>
      </c>
      <c r="E412" s="140" t="s">
        <v>2327</v>
      </c>
      <c r="F412" s="195" t="s">
        <v>443</v>
      </c>
      <c r="G412" s="141"/>
      <c r="H412" s="143"/>
      <c r="I412" s="109"/>
      <c r="J412" s="109"/>
      <c r="K412" s="109"/>
      <c r="L412" s="109"/>
    </row>
    <row r="413">
      <c r="A413" s="150">
        <v>42706.0</v>
      </c>
      <c r="B413" s="144"/>
      <c r="C413" s="116" t="str">
        <f t="shared" si="35"/>
        <v>setlist</v>
      </c>
      <c r="D413" s="152" t="s">
        <v>3419</v>
      </c>
      <c r="E413" s="152" t="s">
        <v>652</v>
      </c>
      <c r="F413" s="196" t="s">
        <v>650</v>
      </c>
      <c r="G413" s="165"/>
      <c r="H413" s="197"/>
      <c r="I413" s="146"/>
      <c r="J413" s="146"/>
      <c r="K413" s="146"/>
      <c r="L413" s="146"/>
    </row>
    <row r="414">
      <c r="A414" s="130">
        <v>42707.0</v>
      </c>
      <c r="B414" s="104"/>
      <c r="C414" s="105" t="str">
        <f t="shared" si="35"/>
        <v>setlist</v>
      </c>
      <c r="D414" s="140" t="s">
        <v>761</v>
      </c>
      <c r="E414" s="140" t="s">
        <v>437</v>
      </c>
      <c r="F414" s="195" t="s">
        <v>433</v>
      </c>
      <c r="G414" s="141" t="s">
        <v>36</v>
      </c>
      <c r="H414" s="105" t="str">
        <f>HYPERLINK("http://www.mediafire.com/file/n5vj9gj9q77sfqx/2016-12-03_-_Variety_Playhouse_-_Atlanta%2C_GA.rar", "download link")</f>
        <v>download link</v>
      </c>
      <c r="I414" s="109"/>
      <c r="J414" s="109"/>
      <c r="K414" s="109"/>
      <c r="L414" s="109"/>
    </row>
    <row r="415">
      <c r="A415" s="150">
        <v>42713.0</v>
      </c>
      <c r="B415" s="144"/>
      <c r="C415" s="116" t="str">
        <f t="shared" si="35"/>
        <v>setlist</v>
      </c>
      <c r="D415" s="152" t="s">
        <v>3420</v>
      </c>
      <c r="E415" s="152" t="s">
        <v>3129</v>
      </c>
      <c r="F415" s="196" t="s">
        <v>95</v>
      </c>
      <c r="G415" s="165"/>
      <c r="H415" s="197"/>
      <c r="I415" s="146"/>
      <c r="J415" s="146"/>
      <c r="K415" s="146"/>
      <c r="L415" s="146"/>
    </row>
    <row r="416">
      <c r="A416" s="130">
        <v>42714.0</v>
      </c>
      <c r="B416" s="104"/>
      <c r="C416" s="105" t="str">
        <f t="shared" si="35"/>
        <v>setlist</v>
      </c>
      <c r="D416" s="140" t="s">
        <v>3420</v>
      </c>
      <c r="E416" s="140" t="s">
        <v>3129</v>
      </c>
      <c r="F416" s="195" t="s">
        <v>95</v>
      </c>
      <c r="G416" s="141"/>
      <c r="H416" s="143"/>
      <c r="I416" s="109"/>
      <c r="J416" s="109"/>
      <c r="K416" s="109"/>
      <c r="L416" s="109"/>
    </row>
    <row r="417">
      <c r="A417" s="150">
        <v>42715.0</v>
      </c>
      <c r="B417" s="144"/>
      <c r="C417" s="116" t="str">
        <f t="shared" si="35"/>
        <v>setlist</v>
      </c>
      <c r="D417" s="152" t="s">
        <v>3420</v>
      </c>
      <c r="E417" s="152" t="s">
        <v>3129</v>
      </c>
      <c r="F417" s="196" t="s">
        <v>95</v>
      </c>
      <c r="G417" s="165" t="s">
        <v>36</v>
      </c>
      <c r="H417" s="116" t="str">
        <f>HYPERLINK("http://www.mediafire.com/file/4ti8686852eq07x/2016-12-11_-_The_Sinclair_-_Cambridge%2C_MA.rar", "download link")</f>
        <v>download link</v>
      </c>
      <c r="I417" s="117"/>
      <c r="J417" s="117"/>
      <c r="K417" s="117"/>
      <c r="L417" s="117"/>
    </row>
    <row r="418">
      <c r="A418" s="380"/>
      <c r="B418" s="381"/>
      <c r="C418" s="381"/>
      <c r="D418" s="383" t="s">
        <v>3421</v>
      </c>
      <c r="E418" s="382"/>
      <c r="F418" s="381"/>
      <c r="G418" s="381"/>
      <c r="H418" s="358"/>
      <c r="I418" s="382"/>
      <c r="J418" s="382"/>
      <c r="K418" s="382"/>
      <c r="L418" s="382"/>
    </row>
    <row r="419">
      <c r="A419" s="150">
        <v>42769.0</v>
      </c>
      <c r="B419" s="144"/>
      <c r="C419" s="116" t="str">
        <f t="shared" ref="C419:C421" si="36">HYPERLINK("http://phish.net/sideshows/mike-gordon/?d="&amp;RIGHT(TEXT(A419,"mm/dd/yyyy"),4)&amp;"-"&amp;LEFT(TEXT(A419,"mm/dd/yyyy"),2)&amp;"-"&amp;MID(TEXT(A419,"mm/dd/yyyy"),4,2), "setlist")</f>
        <v>setlist</v>
      </c>
      <c r="D419" s="152" t="s">
        <v>1037</v>
      </c>
      <c r="E419" s="152" t="s">
        <v>906</v>
      </c>
      <c r="F419" s="196" t="s">
        <v>805</v>
      </c>
      <c r="G419" s="165"/>
      <c r="H419" s="197"/>
      <c r="I419" s="146"/>
      <c r="J419" s="146"/>
      <c r="K419" s="146"/>
      <c r="L419" s="146"/>
    </row>
    <row r="420">
      <c r="A420" s="130">
        <v>42881.0</v>
      </c>
      <c r="B420" s="104"/>
      <c r="C420" s="105" t="str">
        <f t="shared" si="36"/>
        <v>setlist</v>
      </c>
      <c r="D420" s="140" t="s">
        <v>3071</v>
      </c>
      <c r="E420" s="140" t="s">
        <v>3072</v>
      </c>
      <c r="F420" s="195" t="s">
        <v>480</v>
      </c>
      <c r="G420" s="141"/>
      <c r="H420" s="143"/>
      <c r="I420" s="109"/>
      <c r="J420" s="109"/>
      <c r="K420" s="109"/>
      <c r="L420" s="109"/>
    </row>
    <row r="421">
      <c r="A421" s="150">
        <v>42916.0</v>
      </c>
      <c r="B421" s="144"/>
      <c r="C421" s="116" t="str">
        <f t="shared" si="36"/>
        <v>setlist</v>
      </c>
      <c r="D421" s="152" t="s">
        <v>3110</v>
      </c>
      <c r="E421" s="152" t="s">
        <v>3111</v>
      </c>
      <c r="F421" s="196" t="s">
        <v>679</v>
      </c>
      <c r="G421" s="165"/>
      <c r="H421" s="197"/>
      <c r="I421" s="146"/>
      <c r="J421" s="146"/>
      <c r="K421" s="146"/>
      <c r="L421" s="146"/>
    </row>
    <row r="422">
      <c r="A422" s="130">
        <v>42960.0</v>
      </c>
      <c r="B422" s="104"/>
      <c r="C422" s="105" t="str">
        <f>HYPERLINK("http://phish.net/sideshows/mike-gordon/?d="&amp;RIGHT(TEXT(A421,"mm/dd/yyyy"),4)&amp;"-"&amp;LEFT(TEXT(A421,"mm/dd/yyyy"),2)&amp;"-"&amp;MID(TEXT(A421,"mm/dd/yyyy"),4,2), "setlist")</f>
        <v>setlist</v>
      </c>
      <c r="D422" s="140" t="s">
        <v>3077</v>
      </c>
      <c r="E422" s="140" t="s">
        <v>2976</v>
      </c>
      <c r="F422" s="195" t="s">
        <v>212</v>
      </c>
      <c r="G422" s="141"/>
      <c r="H422" s="105" t="str">
        <f>HYPERLINK("http://www.mediafire.com/file/dd1618kxd0zp45q/2017-08-13_-_The_Pavilion_at_Montage_Mountain_-_Scranton%2C_PA.rar", "download link")</f>
        <v>download link</v>
      </c>
      <c r="I422" s="109"/>
      <c r="J422" s="109"/>
      <c r="K422" s="109"/>
      <c r="L422" s="109"/>
    </row>
    <row r="423">
      <c r="A423" s="380"/>
      <c r="B423" s="381"/>
      <c r="C423" s="381"/>
      <c r="D423" s="383" t="s">
        <v>3414</v>
      </c>
      <c r="E423" s="382"/>
      <c r="F423" s="381"/>
      <c r="G423" s="381"/>
      <c r="H423" s="358"/>
      <c r="I423" s="382"/>
      <c r="J423" s="382"/>
      <c r="K423" s="382"/>
      <c r="L423" s="382"/>
    </row>
    <row r="424">
      <c r="A424" s="150">
        <v>43000.0</v>
      </c>
      <c r="B424" s="144"/>
      <c r="C424" s="116" t="str">
        <f t="shared" ref="C424:C440" si="37">HYPERLINK("http://phish.net/sideshows/mike-gordon/?d="&amp;RIGHT(TEXT(A424,"mm/dd/yyyy"),4)&amp;"-"&amp;LEFT(TEXT(A424,"mm/dd/yyyy"),2)&amp;"-"&amp;MID(TEXT(A424,"mm/dd/yyyy"),4,2), "setlist")</f>
        <v>setlist</v>
      </c>
      <c r="D424" s="152" t="s">
        <v>431</v>
      </c>
      <c r="E424" s="152" t="s">
        <v>432</v>
      </c>
      <c r="F424" s="196" t="s">
        <v>433</v>
      </c>
      <c r="G424" s="165" t="s">
        <v>36</v>
      </c>
      <c r="H424" s="116" t="str">
        <f>HYPERLINK("http://www.mediafire.com/file/wpsvjmxxb4e8pix/2017-09-22_-_The_Georgia_Theatre_-_Athens%2C_GA.rar", "download link")</f>
        <v>download link</v>
      </c>
      <c r="I424" s="146"/>
      <c r="J424" s="146"/>
      <c r="K424" s="146"/>
      <c r="L424" s="146"/>
    </row>
    <row r="425">
      <c r="A425" s="130">
        <v>43001.0</v>
      </c>
      <c r="B425" s="104"/>
      <c r="C425" s="105" t="str">
        <f t="shared" si="37"/>
        <v>setlist</v>
      </c>
      <c r="D425" s="140" t="s">
        <v>3312</v>
      </c>
      <c r="E425" s="140" t="s">
        <v>541</v>
      </c>
      <c r="F425" s="195" t="s">
        <v>443</v>
      </c>
      <c r="G425" s="141" t="s">
        <v>36</v>
      </c>
      <c r="H425" s="105" t="str">
        <f>HYPERLINK("http://www.mediafire.com/file/g7r1ww6h6ovs7fm/2017-09-23_-_Neighborhood_Theatre_-_Charlotte%2C_NC.rar", "download link")</f>
        <v>download link</v>
      </c>
      <c r="I425" s="109"/>
      <c r="J425" s="109"/>
      <c r="K425" s="109"/>
      <c r="L425" s="109"/>
    </row>
    <row r="426">
      <c r="A426" s="150">
        <v>43002.0</v>
      </c>
      <c r="B426" s="144"/>
      <c r="C426" s="116" t="str">
        <f t="shared" si="37"/>
        <v>setlist</v>
      </c>
      <c r="D426" s="152" t="s">
        <v>3331</v>
      </c>
      <c r="E426" s="152" t="s">
        <v>536</v>
      </c>
      <c r="F426" s="196" t="s">
        <v>443</v>
      </c>
      <c r="G426" s="165"/>
      <c r="H426" s="197"/>
      <c r="I426" s="146"/>
      <c r="J426" s="146"/>
      <c r="K426" s="146"/>
      <c r="L426" s="146"/>
    </row>
    <row r="427">
      <c r="A427" s="130">
        <v>43004.0</v>
      </c>
      <c r="B427" s="104"/>
      <c r="C427" s="105" t="str">
        <f t="shared" si="37"/>
        <v>setlist</v>
      </c>
      <c r="D427" s="140" t="s">
        <v>3019</v>
      </c>
      <c r="E427" s="140" t="s">
        <v>445</v>
      </c>
      <c r="F427" s="195" t="s">
        <v>446</v>
      </c>
      <c r="G427" s="141" t="s">
        <v>36</v>
      </c>
      <c r="H427" s="105" t="str">
        <f>HYPERLINK("http://www.mediafire.com/file/k4cseglb3k0yf6e/2017-09-26_-_The_National_-_Richmond%2C_VA.rar", "download link")</f>
        <v>download link</v>
      </c>
      <c r="I427" s="109"/>
      <c r="J427" s="109"/>
      <c r="K427" s="109"/>
      <c r="L427" s="109"/>
    </row>
    <row r="428">
      <c r="A428" s="150">
        <v>43005.0</v>
      </c>
      <c r="B428" s="144"/>
      <c r="C428" s="116" t="str">
        <f t="shared" si="37"/>
        <v>setlist</v>
      </c>
      <c r="D428" s="152" t="s">
        <v>3152</v>
      </c>
      <c r="E428" s="152" t="s">
        <v>459</v>
      </c>
      <c r="F428" s="196" t="s">
        <v>171</v>
      </c>
      <c r="G428" s="165"/>
      <c r="H428" s="197"/>
      <c r="I428" s="146"/>
      <c r="J428" s="146"/>
      <c r="K428" s="146"/>
      <c r="L428" s="146"/>
    </row>
    <row r="429">
      <c r="A429" s="130">
        <v>43006.0</v>
      </c>
      <c r="B429" s="104"/>
      <c r="C429" s="105" t="str">
        <f t="shared" si="37"/>
        <v>setlist</v>
      </c>
      <c r="D429" s="140" t="s">
        <v>3422</v>
      </c>
      <c r="E429" s="140" t="s">
        <v>311</v>
      </c>
      <c r="F429" s="195" t="s">
        <v>129</v>
      </c>
      <c r="G429" s="141" t="s">
        <v>36</v>
      </c>
      <c r="H429" s="105" t="str">
        <f>HYPERLINK("http://www.mediafire.com/file/x6vr1c94t89bcsz/2017-09-28_-_The_Sound_Garden_-_Syracuse%2C_NY.rar", "download link")</f>
        <v>download link</v>
      </c>
      <c r="I429" s="109"/>
      <c r="J429" s="109"/>
      <c r="K429" s="109"/>
      <c r="L429" s="109"/>
    </row>
    <row r="430">
      <c r="A430" s="150">
        <v>43007.0</v>
      </c>
      <c r="B430" s="144"/>
      <c r="C430" s="116" t="str">
        <f t="shared" si="37"/>
        <v>setlist</v>
      </c>
      <c r="D430" s="152" t="s">
        <v>3361</v>
      </c>
      <c r="E430" s="152" t="s">
        <v>311</v>
      </c>
      <c r="F430" s="196" t="s">
        <v>129</v>
      </c>
      <c r="G430" s="165"/>
      <c r="H430" s="197"/>
      <c r="I430" s="146"/>
      <c r="J430" s="146"/>
      <c r="K430" s="146"/>
      <c r="L430" s="146"/>
    </row>
    <row r="431">
      <c r="A431" s="130">
        <v>43008.0</v>
      </c>
      <c r="B431" s="104"/>
      <c r="C431" s="105" t="str">
        <f t="shared" si="37"/>
        <v>setlist</v>
      </c>
      <c r="D431" s="140" t="s">
        <v>3423</v>
      </c>
      <c r="E431" s="140" t="s">
        <v>1090</v>
      </c>
      <c r="F431" s="195" t="s">
        <v>1091</v>
      </c>
      <c r="G431" s="141"/>
      <c r="H431" s="143"/>
      <c r="I431" s="109"/>
      <c r="J431" s="109"/>
      <c r="K431" s="109"/>
      <c r="L431" s="109"/>
    </row>
    <row r="432">
      <c r="A432" s="150">
        <v>43009.0</v>
      </c>
      <c r="B432" s="144"/>
      <c r="C432" s="116" t="str">
        <f t="shared" si="37"/>
        <v>setlist</v>
      </c>
      <c r="D432" s="152" t="s">
        <v>945</v>
      </c>
      <c r="E432" s="152" t="s">
        <v>946</v>
      </c>
      <c r="F432" s="196" t="s">
        <v>712</v>
      </c>
      <c r="G432" s="165"/>
      <c r="H432" s="197"/>
      <c r="I432" s="146"/>
      <c r="J432" s="146"/>
      <c r="K432" s="146"/>
      <c r="L432" s="146"/>
    </row>
    <row r="433">
      <c r="A433" s="130">
        <v>43011.0</v>
      </c>
      <c r="B433" s="104"/>
      <c r="C433" s="105" t="str">
        <f t="shared" si="37"/>
        <v>setlist</v>
      </c>
      <c r="D433" s="140" t="s">
        <v>3424</v>
      </c>
      <c r="E433" s="140" t="s">
        <v>1083</v>
      </c>
      <c r="F433" s="195" t="s">
        <v>712</v>
      </c>
      <c r="G433" s="141"/>
      <c r="H433" s="143"/>
      <c r="I433" s="109"/>
      <c r="J433" s="109"/>
      <c r="K433" s="109"/>
      <c r="L433" s="109"/>
    </row>
    <row r="434">
      <c r="A434" s="150">
        <v>43012.0</v>
      </c>
      <c r="B434" s="144"/>
      <c r="C434" s="116" t="str">
        <f t="shared" si="37"/>
        <v>setlist</v>
      </c>
      <c r="D434" s="152" t="s">
        <v>3336</v>
      </c>
      <c r="E434" s="152" t="s">
        <v>943</v>
      </c>
      <c r="F434" s="196" t="s">
        <v>472</v>
      </c>
      <c r="G434" s="165"/>
      <c r="H434" s="197"/>
      <c r="I434" s="146"/>
      <c r="J434" s="146"/>
      <c r="K434" s="146"/>
      <c r="L434" s="146"/>
    </row>
    <row r="435">
      <c r="A435" s="130">
        <v>43013.0</v>
      </c>
      <c r="B435" s="104"/>
      <c r="C435" s="105" t="str">
        <f t="shared" si="37"/>
        <v>setlist</v>
      </c>
      <c r="D435" s="140" t="s">
        <v>3335</v>
      </c>
      <c r="E435" s="140" t="s">
        <v>1289</v>
      </c>
      <c r="F435" s="195" t="s">
        <v>508</v>
      </c>
      <c r="G435" s="141"/>
      <c r="H435" s="143"/>
      <c r="I435" s="109"/>
      <c r="J435" s="109"/>
      <c r="K435" s="109"/>
      <c r="L435" s="109"/>
    </row>
    <row r="436">
      <c r="A436" s="150">
        <v>43014.0</v>
      </c>
      <c r="B436" s="144"/>
      <c r="C436" s="116" t="str">
        <f t="shared" si="37"/>
        <v>setlist</v>
      </c>
      <c r="D436" s="152" t="s">
        <v>3425</v>
      </c>
      <c r="E436" s="152" t="s">
        <v>479</v>
      </c>
      <c r="F436" s="196" t="s">
        <v>480</v>
      </c>
      <c r="G436" s="165"/>
      <c r="H436" s="197"/>
      <c r="I436" s="146"/>
      <c r="J436" s="146"/>
      <c r="K436" s="146"/>
      <c r="L436" s="146"/>
    </row>
    <row r="437">
      <c r="A437" s="130">
        <v>43016.0</v>
      </c>
      <c r="B437" s="104"/>
      <c r="C437" s="105" t="str">
        <f t="shared" si="37"/>
        <v>setlist</v>
      </c>
      <c r="D437" s="140" t="s">
        <v>3029</v>
      </c>
      <c r="E437" s="140" t="s">
        <v>936</v>
      </c>
      <c r="F437" s="195" t="s">
        <v>483</v>
      </c>
      <c r="G437" s="141"/>
      <c r="H437" s="143"/>
      <c r="I437" s="109"/>
      <c r="J437" s="109"/>
      <c r="K437" s="109"/>
      <c r="L437" s="109"/>
    </row>
    <row r="438">
      <c r="A438" s="150">
        <v>43018.0</v>
      </c>
      <c r="B438" s="144"/>
      <c r="C438" s="116" t="str">
        <f t="shared" si="37"/>
        <v>setlist</v>
      </c>
      <c r="D438" s="152" t="s">
        <v>3321</v>
      </c>
      <c r="E438" s="152" t="s">
        <v>1781</v>
      </c>
      <c r="F438" s="196" t="s">
        <v>1620</v>
      </c>
      <c r="G438" s="165" t="s">
        <v>36</v>
      </c>
      <c r="H438" s="116" t="str">
        <f>HYPERLINK("http://www.mediafire.com/file/js9d23ee2eu66vd/2017-10-10_-_Slowdown_-_Omaha%2C_NE.rar", "download link")</f>
        <v>download link</v>
      </c>
      <c r="I438" s="146"/>
      <c r="J438" s="146"/>
      <c r="K438" s="146"/>
      <c r="L438" s="146"/>
    </row>
    <row r="439">
      <c r="A439" s="130">
        <v>43019.0</v>
      </c>
      <c r="B439" s="104"/>
      <c r="C439" s="105" t="str">
        <f t="shared" si="37"/>
        <v>setlist</v>
      </c>
      <c r="D439" s="140" t="s">
        <v>3426</v>
      </c>
      <c r="E439" s="140" t="s">
        <v>1204</v>
      </c>
      <c r="F439" s="195" t="s">
        <v>886</v>
      </c>
      <c r="G439" s="141" t="s">
        <v>36</v>
      </c>
      <c r="H439" s="105" t="str">
        <f>HYPERLINK("http://www.mediafire.com/file/gpladhe2xvjl4qi/2017-10-11_-_Madrid_Theatre_-_Kansas_City%2C_MO.rar", "download link")</f>
        <v>download link</v>
      </c>
      <c r="I439" s="109"/>
      <c r="J439" s="109"/>
      <c r="K439" s="109"/>
      <c r="L439" s="109"/>
    </row>
    <row r="440">
      <c r="A440" s="150">
        <v>43021.0</v>
      </c>
      <c r="B440" s="144"/>
      <c r="C440" s="116" t="str">
        <f t="shared" si="37"/>
        <v>setlist</v>
      </c>
      <c r="D440" s="152" t="s">
        <v>500</v>
      </c>
      <c r="E440" s="152" t="s">
        <v>488</v>
      </c>
      <c r="F440" s="196" t="s">
        <v>203</v>
      </c>
      <c r="G440" s="165" t="s">
        <v>36</v>
      </c>
      <c r="H440" s="116" t="str">
        <f>HYPERLINK("http://www.mediafire.com/file/vu17etg1fvj1utb/2017-10-13_-_Boulder_Theater_-_Boulder%2C_CO.rar", "download link")</f>
        <v>download link</v>
      </c>
      <c r="I440" s="146"/>
      <c r="J440" s="146"/>
      <c r="K440" s="146"/>
      <c r="L440" s="146"/>
    </row>
    <row r="441">
      <c r="A441" s="130">
        <v>43022.0</v>
      </c>
      <c r="B441" s="104"/>
      <c r="C441" s="105" t="str">
        <f>HYPERLINK("http://phish.net/sideshows/mike-gordon/?d="&amp;RIGHT(TEXT(A440,"mm/dd/yyyy"),4)&amp;"-"&amp;LEFT(TEXT(A440,"mm/dd/yyyy"),2)&amp;"-"&amp;MID(TEXT(A440,"mm/dd/yyyy"),4,2), "setlist")</f>
        <v>setlist</v>
      </c>
      <c r="D441" s="140" t="s">
        <v>2994</v>
      </c>
      <c r="E441" s="140" t="s">
        <v>499</v>
      </c>
      <c r="F441" s="195" t="s">
        <v>203</v>
      </c>
      <c r="G441" s="141" t="s">
        <v>36</v>
      </c>
      <c r="H441" s="105" t="str">
        <f>HYPERLINK("http://www.mediafire.com/file/wnbf27v2t4ly40g/2017-10-14_-_Twist_%26_Shout_-_Denver%2C_CO.rar", "download link")</f>
        <v>download link</v>
      </c>
      <c r="I441" s="109"/>
      <c r="J441" s="109"/>
      <c r="K441" s="109"/>
      <c r="L441" s="109"/>
    </row>
    <row r="442">
      <c r="A442" s="150">
        <v>43022.0</v>
      </c>
      <c r="B442" s="144"/>
      <c r="C442" s="116" t="str">
        <f t="shared" ref="C442:C443" si="38">HYPERLINK("http://phish.net/sideshows/mike-gordon/?d="&amp;RIGHT(TEXT(A442,"mm/dd/yyyy"),4)&amp;"-"&amp;LEFT(TEXT(A442,"mm/dd/yyyy"),2)&amp;"-"&amp;MID(TEXT(A442,"mm/dd/yyyy"),4,2), "setlist")</f>
        <v>setlist</v>
      </c>
      <c r="D442" s="152" t="s">
        <v>500</v>
      </c>
      <c r="E442" s="152" t="s">
        <v>488</v>
      </c>
      <c r="F442" s="196" t="s">
        <v>203</v>
      </c>
      <c r="G442" s="165" t="s">
        <v>36</v>
      </c>
      <c r="H442" s="116" t="str">
        <f>HYPERLINK("http://www.mediafire.com/file/0v4tunud7517rms/2017-10-14_-_Boulder_Theater_-_Boulder%2C_CO.rar", "download link")</f>
        <v>download link</v>
      </c>
      <c r="I442" s="146"/>
      <c r="J442" s="146"/>
      <c r="K442" s="146"/>
      <c r="L442" s="146"/>
    </row>
    <row r="443">
      <c r="A443" s="130">
        <v>43035.0</v>
      </c>
      <c r="B443" s="104"/>
      <c r="C443" s="105" t="str">
        <f t="shared" si="38"/>
        <v>setlist</v>
      </c>
      <c r="D443" s="140" t="s">
        <v>3427</v>
      </c>
      <c r="E443" s="140" t="s">
        <v>3050</v>
      </c>
      <c r="F443" s="195" t="s">
        <v>1133</v>
      </c>
      <c r="G443" s="141"/>
      <c r="H443" s="143"/>
      <c r="I443" s="109"/>
      <c r="J443" s="109"/>
      <c r="K443" s="109"/>
      <c r="L443" s="109"/>
    </row>
    <row r="444">
      <c r="A444" s="380"/>
      <c r="B444" s="381"/>
      <c r="C444" s="381"/>
      <c r="D444" s="383" t="s">
        <v>3364</v>
      </c>
      <c r="E444" s="382"/>
      <c r="F444" s="381"/>
      <c r="G444" s="381"/>
      <c r="H444" s="358"/>
      <c r="I444" s="382"/>
      <c r="J444" s="382"/>
      <c r="K444" s="382"/>
      <c r="L444" s="382"/>
    </row>
    <row r="445">
      <c r="A445" s="150">
        <v>43113.0</v>
      </c>
      <c r="B445" s="144"/>
      <c r="C445" s="116" t="str">
        <f>HYPERLINK("http://phish.net/sideshows/mike-gordon/?d="&amp;RIGHT(TEXT(A442,"mm/dd/yyyy"),4)&amp;"-"&amp;LEFT(TEXT(A442,"mm/dd/yyyy"),2)&amp;"-"&amp;MID(TEXT(A442,"mm/dd/yyyy"),4,2), "setlist")</f>
        <v>setlist</v>
      </c>
      <c r="D445" s="152" t="s">
        <v>3428</v>
      </c>
      <c r="E445" s="152" t="s">
        <v>3154</v>
      </c>
      <c r="F445" s="196" t="s">
        <v>1133</v>
      </c>
      <c r="G445" s="165" t="s">
        <v>36</v>
      </c>
      <c r="H445" s="116" t="str">
        <f>HYPERLINK("http://www.mediafire.com/file/3gnmmjtzsktpzpn/2018-01-13_-_Vinoy_Park_-_St._Petersburg%2C_FL.rar", "download link")</f>
        <v>download link</v>
      </c>
      <c r="I445" s="146"/>
      <c r="J445" s="146"/>
      <c r="K445" s="146"/>
      <c r="L445" s="146"/>
    </row>
    <row r="446">
      <c r="A446" s="130">
        <v>43114.0</v>
      </c>
      <c r="B446" s="104"/>
      <c r="C446" s="105" t="str">
        <f>HYPERLINK("http://phish.net/sideshows/mike-gordon/?d="&amp;RIGHT(TEXT(A442,"mm/dd/yyyy"),4)&amp;"-"&amp;LEFT(TEXT(A442,"mm/dd/yyyy"),2)&amp;"-"&amp;MID(TEXT(A442,"mm/dd/yyyy"),4,2), "setlist")</f>
        <v>setlist</v>
      </c>
      <c r="D446" s="140" t="s">
        <v>3429</v>
      </c>
      <c r="E446" s="140" t="s">
        <v>3430</v>
      </c>
      <c r="F446" s="195" t="s">
        <v>1133</v>
      </c>
      <c r="G446" s="141" t="s">
        <v>36</v>
      </c>
      <c r="H446" s="105" t="str">
        <f>HYPERLINK("http://www.mediafire.com/file/ehqzx8j84qdo8yo/2018-01-14_-_Mizner_Park_Amphitheater_-_Boca_Raton%2C_FL.rar", "download link")</f>
        <v>download link</v>
      </c>
      <c r="I446" s="109"/>
      <c r="J446" s="109"/>
      <c r="K446" s="109"/>
      <c r="L446" s="109"/>
    </row>
    <row r="447">
      <c r="A447" s="150">
        <v>43140.0</v>
      </c>
      <c r="B447" s="144"/>
      <c r="C447" s="116" t="str">
        <f>HYPERLINK("http://phish.net/sideshows/mike-gordon/?d="&amp;RIGHT(TEXT(A442,"mm/dd/yyyy"),4)&amp;"-"&amp;LEFT(TEXT(A442,"mm/dd/yyyy"),2)&amp;"-"&amp;MID(TEXT(A442,"mm/dd/yyyy"),4,2), "setlist")</f>
        <v>setlist</v>
      </c>
      <c r="D447" s="152" t="s">
        <v>3393</v>
      </c>
      <c r="E447" s="152" t="s">
        <v>791</v>
      </c>
      <c r="F447" s="196" t="s">
        <v>701</v>
      </c>
      <c r="G447" s="165" t="s">
        <v>36</v>
      </c>
      <c r="H447" s="116" t="str">
        <f>HYPERLINK("http://www.mediafire.com/file/h5a5j4gqrd30f1b/2018-02-09_-_Neptune_Theatre_-_Seattle%2C_WA.rar", "download link")</f>
        <v>download link</v>
      </c>
      <c r="I447" s="146"/>
      <c r="J447" s="146"/>
      <c r="K447" s="146"/>
      <c r="L447" s="146"/>
    </row>
    <row r="448">
      <c r="A448" s="130">
        <v>43141.0</v>
      </c>
      <c r="B448" s="104"/>
      <c r="C448" s="105" t="str">
        <f>HYPERLINK("http://phish.net/sideshows/mike-gordon/?d="&amp;RIGHT(TEXT(A442,"mm/dd/yyyy"),4)&amp;"-"&amp;LEFT(TEXT(A442,"mm/dd/yyyy"),2)&amp;"-"&amp;MID(TEXT(A442,"mm/dd/yyyy"),4,2), "setlist")</f>
        <v>setlist</v>
      </c>
      <c r="D448" s="140" t="s">
        <v>3392</v>
      </c>
      <c r="E448" s="140" t="s">
        <v>279</v>
      </c>
      <c r="F448" s="195" t="s">
        <v>692</v>
      </c>
      <c r="G448" s="141" t="s">
        <v>36</v>
      </c>
      <c r="H448" s="105" t="str">
        <f>HYPERLINK("http://www.mediafire.com/file/ocuhceo6np5092d/2018-02-10_-_Wonder_Ballroom_-_Portland%2C_OR.rar", "download link")</f>
        <v>download link</v>
      </c>
      <c r="I448" s="109"/>
      <c r="J448" s="109"/>
      <c r="K448" s="109"/>
      <c r="L448" s="109"/>
    </row>
    <row r="449">
      <c r="A449" s="150">
        <v>43142.0</v>
      </c>
      <c r="B449" s="144"/>
      <c r="C449" s="116" t="str">
        <f>HYPERLINK("http://phish.net/sideshows/mike-gordon/?d="&amp;RIGHT(TEXT(A442,"mm/dd/yyyy"),4)&amp;"-"&amp;LEFT(TEXT(A442,"mm/dd/yyyy"),2)&amp;"-"&amp;MID(TEXT(A442,"mm/dd/yyyy"),4,2), "setlist")</f>
        <v>setlist</v>
      </c>
      <c r="D449" s="152" t="s">
        <v>3431</v>
      </c>
      <c r="E449" s="152" t="s">
        <v>2452</v>
      </c>
      <c r="F449" s="196" t="s">
        <v>1805</v>
      </c>
      <c r="G449" s="165"/>
      <c r="H449" s="197"/>
      <c r="I449" s="146"/>
      <c r="J449" s="146"/>
      <c r="K449" s="146"/>
      <c r="L449" s="146"/>
    </row>
    <row r="450">
      <c r="A450" s="130">
        <v>43143.0</v>
      </c>
      <c r="B450" s="104"/>
      <c r="C450" s="105" t="str">
        <f>HYPERLINK("http://phish.net/sideshows/mike-gordon/?d="&amp;RIGHT(TEXT(A442,"mm/dd/yyyy"),4)&amp;"-"&amp;LEFT(TEXT(A442,"mm/dd/yyyy"),2)&amp;"-"&amp;MID(TEXT(A442,"mm/dd/yyyy"),4,2), "setlist")</f>
        <v>setlist</v>
      </c>
      <c r="D450" s="140" t="s">
        <v>677</v>
      </c>
      <c r="E450" s="140" t="s">
        <v>678</v>
      </c>
      <c r="F450" s="195" t="s">
        <v>679</v>
      </c>
      <c r="G450" s="141" t="s">
        <v>36</v>
      </c>
      <c r="H450" s="105" t="str">
        <f>HYPERLINK("http://www.mediafire.com/file/azds7lcj03f7262/2018-02-12_-_The_Catalyst_-_Santa_Cruz%2C_CA.rar", "download link")</f>
        <v>download link</v>
      </c>
      <c r="I450" s="109"/>
      <c r="J450" s="109"/>
      <c r="K450" s="109"/>
      <c r="L450" s="109"/>
    </row>
    <row r="451">
      <c r="A451" s="150">
        <v>43145.0</v>
      </c>
      <c r="B451" s="144"/>
      <c r="C451" s="116" t="str">
        <f>HYPERLINK("http://phish.net/sideshows/mike-gordon/?d="&amp;RIGHT(TEXT(A442,"mm/dd/yyyy"),4)&amp;"-"&amp;LEFT(TEXT(A442,"mm/dd/yyyy"),2)&amp;"-"&amp;MID(TEXT(A442,"mm/dd/yyyy"),4,2), "setlist")</f>
        <v>setlist</v>
      </c>
      <c r="D451" s="152" t="s">
        <v>3349</v>
      </c>
      <c r="E451" s="152" t="s">
        <v>683</v>
      </c>
      <c r="F451" s="196" t="s">
        <v>679</v>
      </c>
      <c r="G451" s="165" t="s">
        <v>36</v>
      </c>
      <c r="H451" s="116" t="str">
        <f>HYPERLINK("http://www.mediafire.com/file/1r27fzhzqczyuzc/2018-02-14_-_The_Independent_-_San_Francisco%2C_CA.rar", "download link")</f>
        <v>download link</v>
      </c>
      <c r="I451" s="146"/>
      <c r="J451" s="146"/>
      <c r="K451" s="146"/>
      <c r="L451" s="146"/>
    </row>
    <row r="452">
      <c r="A452" s="130">
        <v>43146.0</v>
      </c>
      <c r="B452" s="104"/>
      <c r="C452" s="105" t="str">
        <f>HYPERLINK("http://phish.net/sideshows/mike-gordon/?d="&amp;RIGHT(TEXT(A442,"mm/dd/yyyy"),4)&amp;"-"&amp;LEFT(TEXT(A442,"mm/dd/yyyy"),2)&amp;"-"&amp;MID(TEXT(A442,"mm/dd/yyyy"),4,2), "setlist")</f>
        <v>setlist</v>
      </c>
      <c r="D452" s="140" t="s">
        <v>3349</v>
      </c>
      <c r="E452" s="140" t="s">
        <v>683</v>
      </c>
      <c r="F452" s="195" t="s">
        <v>679</v>
      </c>
      <c r="G452" s="141" t="s">
        <v>36</v>
      </c>
      <c r="H452" s="105" t="str">
        <f>HYPERLINK("http://www.mediafire.com/file/11jmvnfa8g6i7ry/2018-02-15_-_The_Independent_-_San_Francisco%2C_CA.rar", "download link")</f>
        <v>download link</v>
      </c>
      <c r="I452" s="109"/>
      <c r="J452" s="109"/>
      <c r="K452" s="109"/>
      <c r="L452" s="109"/>
    </row>
    <row r="453">
      <c r="A453" s="150">
        <v>43147.0</v>
      </c>
      <c r="B453" s="144"/>
      <c r="C453" s="116" t="str">
        <f>HYPERLINK("http://phish.net/sideshows/mike-gordon/?d="&amp;RIGHT(TEXT(A442,"mm/dd/yyyy"),4)&amp;"-"&amp;LEFT(TEXT(A442,"mm/dd/yyyy"),2)&amp;"-"&amp;MID(TEXT(A442,"mm/dd/yyyy"),4,2), "setlist")</f>
        <v>setlist</v>
      </c>
      <c r="D453" s="152" t="s">
        <v>3432</v>
      </c>
      <c r="E453" s="152" t="s">
        <v>911</v>
      </c>
      <c r="F453" s="196" t="s">
        <v>679</v>
      </c>
      <c r="G453" s="165"/>
      <c r="H453" s="197"/>
      <c r="I453" s="146"/>
      <c r="J453" s="146"/>
      <c r="K453" s="146"/>
      <c r="L453" s="146"/>
    </row>
    <row r="454">
      <c r="A454" s="130">
        <v>43148.0</v>
      </c>
      <c r="B454" s="104"/>
      <c r="C454" s="105" t="str">
        <f>HYPERLINK("http://phish.net/sideshows/mike-gordon/?d="&amp;RIGHT(TEXT(A442,"mm/dd/yyyy"),4)&amp;"-"&amp;LEFT(TEXT(A442,"mm/dd/yyyy"),2)&amp;"-"&amp;MID(TEXT(A442,"mm/dd/yyyy"),4,2), "setlist")</f>
        <v>setlist</v>
      </c>
      <c r="D454" s="140" t="s">
        <v>3432</v>
      </c>
      <c r="E454" s="140" t="s">
        <v>911</v>
      </c>
      <c r="F454" s="195" t="s">
        <v>679</v>
      </c>
      <c r="G454" s="141"/>
      <c r="H454" s="143"/>
      <c r="I454" s="109"/>
      <c r="J454" s="109"/>
      <c r="K454" s="109"/>
      <c r="L454" s="109"/>
    </row>
    <row r="455">
      <c r="A455" s="150">
        <v>43150.0</v>
      </c>
      <c r="B455" s="144"/>
      <c r="C455" s="116" t="str">
        <f>HYPERLINK("http://phish.net/sideshows/mike-gordon/?d="&amp;RIGHT(TEXT(A442,"mm/dd/yyyy"),4)&amp;"-"&amp;LEFT(TEXT(A442,"mm/dd/yyyy"),2)&amp;"-"&amp;MID(TEXT(A442,"mm/dd/yyyy"),4,2), "setlist")</f>
        <v>setlist</v>
      </c>
      <c r="D455" s="152" t="s">
        <v>3433</v>
      </c>
      <c r="E455" s="152" t="s">
        <v>3434</v>
      </c>
      <c r="F455" s="196" t="s">
        <v>679</v>
      </c>
      <c r="G455" s="165"/>
      <c r="H455" s="197"/>
      <c r="I455" s="146"/>
      <c r="J455" s="146"/>
      <c r="K455" s="146"/>
      <c r="L455" s="146"/>
    </row>
    <row r="456">
      <c r="A456" s="130">
        <v>43151.0</v>
      </c>
      <c r="B456" s="104"/>
      <c r="C456" s="105" t="str">
        <f>HYPERLINK("http://phish.net/sideshows/mike-gordon/?d="&amp;RIGHT(TEXT(A442,"mm/dd/yyyy"),4)&amp;"-"&amp;LEFT(TEXT(A442,"mm/dd/yyyy"),2)&amp;"-"&amp;MID(TEXT(A442,"mm/dd/yyyy"),4,2), "setlist")</f>
        <v>setlist</v>
      </c>
      <c r="D456" s="140" t="s">
        <v>3435</v>
      </c>
      <c r="E456" s="140" t="s">
        <v>906</v>
      </c>
      <c r="F456" s="195" t="s">
        <v>805</v>
      </c>
      <c r="G456" s="141" t="s">
        <v>36</v>
      </c>
      <c r="H456" s="105" t="str">
        <f>HYPERLINK("http://www.mediafire.com/file/3dq18a33fwqj4fp/2018-02-20_-_191_Toole_-_Tucson%2C_AZ.rar", "download link")</f>
        <v>download link</v>
      </c>
      <c r="I456" s="109"/>
      <c r="J456" s="109"/>
      <c r="K456" s="109"/>
      <c r="L456" s="109"/>
    </row>
    <row r="457">
      <c r="A457" s="150">
        <v>43152.0</v>
      </c>
      <c r="B457" s="144"/>
      <c r="C457" s="116" t="str">
        <f>HYPERLINK("http://phish.net/sideshows/mike-gordon/?d="&amp;RIGHT(TEXT(A442,"mm/dd/yyyy"),4)&amp;"-"&amp;LEFT(TEXT(A442,"mm/dd/yyyy"),2)&amp;"-"&amp;MID(TEXT(A442,"mm/dd/yyyy"),4,2), "setlist")</f>
        <v>setlist</v>
      </c>
      <c r="D457" s="152" t="s">
        <v>3436</v>
      </c>
      <c r="E457" s="152" t="s">
        <v>1160</v>
      </c>
      <c r="F457" s="196" t="s">
        <v>805</v>
      </c>
      <c r="G457" s="165"/>
      <c r="H457" s="197"/>
      <c r="I457" s="146"/>
      <c r="J457" s="146"/>
      <c r="K457" s="146"/>
      <c r="L457" s="146"/>
    </row>
    <row r="458">
      <c r="A458" s="130">
        <v>43154.0</v>
      </c>
      <c r="B458" s="104"/>
      <c r="C458" s="105" t="str">
        <f>HYPERLINK("http://phish.net/sideshows/mike-gordon/?d="&amp;RIGHT(TEXT(A442,"mm/dd/yyyy"),4)&amp;"-"&amp;LEFT(TEXT(A442,"mm/dd/yyyy"),2)&amp;"-"&amp;MID(TEXT(A442,"mm/dd/yyyy"),4,2), "setlist")</f>
        <v>setlist</v>
      </c>
      <c r="D458" s="140" t="s">
        <v>3409</v>
      </c>
      <c r="E458" s="140" t="s">
        <v>591</v>
      </c>
      <c r="F458" s="195" t="s">
        <v>589</v>
      </c>
      <c r="G458" s="141"/>
      <c r="H458" s="143"/>
      <c r="I458" s="109"/>
      <c r="J458" s="109"/>
      <c r="K458" s="109"/>
      <c r="L458" s="109"/>
    </row>
    <row r="459">
      <c r="A459" s="150">
        <v>43155.0</v>
      </c>
      <c r="B459" s="144"/>
      <c r="C459" s="116" t="str">
        <f>HYPERLINK("http://phish.net/sideshows/mike-gordon/?d="&amp;RIGHT(TEXT(A442,"mm/dd/yyyy"),4)&amp;"-"&amp;LEFT(TEXT(A442,"mm/dd/yyyy"),2)&amp;"-"&amp;MID(TEXT(A442,"mm/dd/yyyy"),4,2), "setlist")</f>
        <v>setlist</v>
      </c>
      <c r="D459" s="152" t="s">
        <v>2990</v>
      </c>
      <c r="E459" s="152" t="s">
        <v>593</v>
      </c>
      <c r="F459" s="196" t="s">
        <v>589</v>
      </c>
      <c r="G459" s="165" t="s">
        <v>36</v>
      </c>
      <c r="H459" s="116" t="str">
        <f>HYPERLINK("http://www.mediafire.com/file/kda6dgjnt3dckbu/2018-02-24_-_House_of_Blues_-_Dallas%2C_TX.rar", "download link")</f>
        <v>download link</v>
      </c>
      <c r="I459" s="146"/>
      <c r="J459" s="146"/>
      <c r="K459" s="146"/>
      <c r="L459" s="146"/>
    </row>
    <row r="460">
      <c r="A460" s="130">
        <v>43168.0</v>
      </c>
      <c r="B460" s="104"/>
      <c r="C460" s="105" t="str">
        <f>HYPERLINK("http://phish.net/sideshows/mike-gordon/?d="&amp;RIGHT(TEXT(A442,"mm/dd/yyyy"),4)&amp;"-"&amp;LEFT(TEXT(A442,"mm/dd/yyyy"),2)&amp;"-"&amp;MID(TEXT(A442,"mm/dd/yyyy"),4,2), "setlist")</f>
        <v>setlist</v>
      </c>
      <c r="D460" s="140" t="s">
        <v>3388</v>
      </c>
      <c r="E460" s="140" t="s">
        <v>871</v>
      </c>
      <c r="F460" s="195" t="s">
        <v>212</v>
      </c>
      <c r="G460" s="141" t="s">
        <v>36</v>
      </c>
      <c r="H460" s="105" t="str">
        <f>HYPERLINK("http://www.mediafire.com/file/diqxcd558x0ucis/2018-03-09_-_Union_Transfer_-_Philadelphia%2C_PA.rar", "download link")</f>
        <v>download link</v>
      </c>
      <c r="I460" s="109"/>
      <c r="J460" s="109"/>
      <c r="K460" s="109"/>
      <c r="L460" s="109"/>
    </row>
    <row r="461">
      <c r="A461" s="150">
        <v>43169.0</v>
      </c>
      <c r="B461" s="144"/>
      <c r="C461" s="116" t="str">
        <f>HYPERLINK("http://phish.net/sideshows/mike-gordon/?d="&amp;RIGHT(TEXT(A442,"mm/dd/yyyy"),4)&amp;"-"&amp;LEFT(TEXT(A442,"mm/dd/yyyy"),2)&amp;"-"&amp;MID(TEXT(A442,"mm/dd/yyyy"),4,2), "setlist")</f>
        <v>setlist</v>
      </c>
      <c r="D461" s="152" t="s">
        <v>3437</v>
      </c>
      <c r="E461" s="152" t="s">
        <v>2294</v>
      </c>
      <c r="F461" s="196" t="s">
        <v>129</v>
      </c>
      <c r="G461" s="165" t="s">
        <v>36</v>
      </c>
      <c r="H461" s="116" t="str">
        <f>HYPERLINK("http://www.mediafire.com/file/mpu0i1nh472fng0/2018-03-10_-_Brooklyn_Steel_-_Brooklyn%2C_NY.rar", "download link")</f>
        <v>download link</v>
      </c>
      <c r="I461" s="146"/>
      <c r="J461" s="146"/>
      <c r="K461" s="146"/>
      <c r="L461" s="146"/>
    </row>
    <row r="462">
      <c r="A462" s="130">
        <v>43170.0</v>
      </c>
      <c r="B462" s="104"/>
      <c r="C462" s="105" t="str">
        <f>HYPERLINK("http://phish.net/sideshows/mike-gordon/?d="&amp;RIGHT(TEXT(A442,"mm/dd/yyyy"),4)&amp;"-"&amp;LEFT(TEXT(A442,"mm/dd/yyyy"),2)&amp;"-"&amp;MID(TEXT(A442,"mm/dd/yyyy"),4,2), "setlist")</f>
        <v>setlist</v>
      </c>
      <c r="D462" s="140" t="s">
        <v>3380</v>
      </c>
      <c r="E462" s="140" t="s">
        <v>309</v>
      </c>
      <c r="F462" s="195" t="s">
        <v>129</v>
      </c>
      <c r="G462" s="141" t="s">
        <v>36</v>
      </c>
      <c r="H462" s="105" t="str">
        <f>HYPERLINK("http://www.mediafire.com/file/i2clprnueu8ue4i/2018-03-11_-_The_Egg_-_Albany%2C_NY.rar", "download link")</f>
        <v>download link</v>
      </c>
      <c r="I462" s="109"/>
      <c r="J462" s="109"/>
      <c r="K462" s="109"/>
      <c r="L462" s="109"/>
    </row>
    <row r="463">
      <c r="A463" s="150">
        <v>43195.0</v>
      </c>
      <c r="B463" s="144"/>
      <c r="C463" s="116" t="str">
        <f>HYPERLINK("http://phish.net/sideshows/mike-gordon/?d="&amp;RIGHT(TEXT(A442,"mm/dd/yyyy"),4)&amp;"-"&amp;LEFT(TEXT(A442,"mm/dd/yyyy"),2)&amp;"-"&amp;MID(TEXT(A442,"mm/dd/yyyy"),4,2), "setlist")</f>
        <v>setlist</v>
      </c>
      <c r="D463" s="152" t="s">
        <v>2817</v>
      </c>
      <c r="E463" s="152" t="s">
        <v>2826</v>
      </c>
      <c r="F463" s="196" t="s">
        <v>35</v>
      </c>
      <c r="G463" s="165"/>
      <c r="H463" s="197"/>
      <c r="I463" s="146"/>
      <c r="J463" s="146"/>
      <c r="K463" s="146"/>
      <c r="L463" s="146"/>
    </row>
    <row r="464">
      <c r="A464" s="380"/>
      <c r="B464" s="381"/>
      <c r="C464" s="381"/>
      <c r="D464" s="383" t="s">
        <v>3438</v>
      </c>
      <c r="E464" s="382"/>
      <c r="F464" s="381"/>
      <c r="G464" s="381"/>
      <c r="H464" s="358"/>
      <c r="I464" s="382"/>
      <c r="J464" s="382"/>
      <c r="K464" s="382"/>
      <c r="L464" s="382"/>
    </row>
    <row r="465">
      <c r="A465" s="150">
        <v>43253.0</v>
      </c>
      <c r="B465" s="144"/>
      <c r="C465" s="116" t="str">
        <f t="shared" ref="C465:C467" si="39">HYPERLINK("http://phish.net/sideshows/mike-gordon/?d="&amp;RIGHT(TEXT(A444,"mm/dd/yyyy"),4)&amp;"-"&amp;LEFT(TEXT(A444,"mm/dd/yyyy"),2)&amp;"-"&amp;MID(TEXT(A444,"mm/dd/yyyy"),4,2), "setlist")</f>
        <v>setlist</v>
      </c>
      <c r="D465" s="152" t="s">
        <v>3439</v>
      </c>
      <c r="E465" s="152" t="s">
        <v>3440</v>
      </c>
      <c r="F465" s="196" t="s">
        <v>712</v>
      </c>
      <c r="G465" s="165" t="s">
        <v>36</v>
      </c>
      <c r="H465" s="116" t="str">
        <f>HYPERLINK("http://www.mediafire.com/file/6nf7bogstc80m95/2018-06-02_-_Camp_Greensky_-_Wellston%252C_MI.rar/file", "download link")</f>
        <v>download link</v>
      </c>
      <c r="I465" s="146"/>
      <c r="J465" s="146"/>
      <c r="K465" s="146"/>
      <c r="L465" s="146"/>
    </row>
    <row r="466">
      <c r="A466" s="130">
        <v>43288.0</v>
      </c>
      <c r="B466" s="104"/>
      <c r="C466" s="105" t="str">
        <f t="shared" si="39"/>
        <v>setlist</v>
      </c>
      <c r="D466" s="140" t="s">
        <v>3441</v>
      </c>
      <c r="E466" s="140" t="s">
        <v>3291</v>
      </c>
      <c r="F466" s="195" t="s">
        <v>203</v>
      </c>
      <c r="G466" s="141" t="s">
        <v>36</v>
      </c>
      <c r="H466" s="105" t="str">
        <f>HYPERLINK("http://www.mediafire.com/file/2bf286d8uqklwj2/2018-07-07_-_Breckenridge_Brewery_-_Littleton%252C_CO.rar/file", "download link")</f>
        <v>download link</v>
      </c>
      <c r="I466" s="109"/>
      <c r="J466" s="109"/>
      <c r="K466" s="109"/>
      <c r="L466" s="109"/>
    </row>
    <row r="467">
      <c r="A467" s="150">
        <v>43289.0</v>
      </c>
      <c r="B467" s="144"/>
      <c r="C467" s="116" t="str">
        <f t="shared" si="39"/>
        <v>setlist</v>
      </c>
      <c r="D467" s="152" t="s">
        <v>3442</v>
      </c>
      <c r="E467" s="152" t="s">
        <v>479</v>
      </c>
      <c r="F467" s="196" t="s">
        <v>480</v>
      </c>
      <c r="G467" s="165"/>
      <c r="H467" s="197"/>
      <c r="I467" s="146"/>
      <c r="J467" s="146"/>
      <c r="K467" s="146"/>
      <c r="L467" s="146"/>
    </row>
    <row r="468">
      <c r="A468" s="380"/>
      <c r="B468" s="381"/>
      <c r="C468" s="381"/>
      <c r="D468" s="383" t="s">
        <v>3443</v>
      </c>
      <c r="E468" s="382"/>
      <c r="F468" s="381"/>
      <c r="G468" s="381"/>
      <c r="H468" s="358"/>
      <c r="I468" s="382"/>
      <c r="J468" s="382"/>
      <c r="K468" s="382"/>
      <c r="L468" s="382"/>
    </row>
    <row r="469">
      <c r="A469" s="150">
        <v>43441.0</v>
      </c>
      <c r="B469" s="144"/>
      <c r="C469" s="116" t="str">
        <f>HYPERLINK("http://phish.net/sideshows/mike-gordon/?d="&amp;RIGHT(TEXT(A446,"mm/dd/yyyy"),4)&amp;"-"&amp;LEFT(TEXT(A446,"mm/dd/yyyy"),2)&amp;"-"&amp;MID(TEXT(A446,"mm/dd/yyyy"),4,2), "setlist")</f>
        <v>setlist</v>
      </c>
      <c r="D469" s="152" t="s">
        <v>3444</v>
      </c>
      <c r="E469" s="152" t="s">
        <v>2327</v>
      </c>
      <c r="F469" s="196" t="s">
        <v>443</v>
      </c>
      <c r="G469" s="165" t="s">
        <v>36</v>
      </c>
      <c r="H469" s="116" t="str">
        <f>HYPERLINK("http://www.mediafire.com/file/on4f91y714bp1e1/2018-12-07_-_U.S._Cellular_Center_-_Asheville%252C_NC.rar/file", "download link")</f>
        <v>download link</v>
      </c>
      <c r="I469" s="146"/>
      <c r="J469" s="146"/>
      <c r="K469" s="146"/>
      <c r="L469" s="146"/>
    </row>
    <row r="470">
      <c r="A470" s="380"/>
      <c r="B470" s="381"/>
      <c r="C470" s="381"/>
      <c r="D470" s="383" t="s">
        <v>3445</v>
      </c>
      <c r="E470" s="382"/>
      <c r="F470" s="381"/>
      <c r="G470" s="381"/>
      <c r="H470" s="358"/>
      <c r="I470" s="382"/>
      <c r="J470" s="382"/>
      <c r="K470" s="382"/>
      <c r="L470" s="382"/>
    </row>
    <row r="471">
      <c r="A471" s="150">
        <v>43532.0</v>
      </c>
      <c r="B471" s="144"/>
      <c r="C471" s="116" t="str">
        <f t="shared" ref="C471:C486" si="40">HYPERLINK("http://phish.net/sideshows/mike-gordon/?d="&amp;RIGHT(TEXT(A448,"mm/dd/yyyy"),4)&amp;"-"&amp;LEFT(TEXT(A448,"mm/dd/yyyy"),2)&amp;"-"&amp;MID(TEXT(A448,"mm/dd/yyyy"),4,2), "setlist")</f>
        <v>setlist</v>
      </c>
      <c r="D471" s="152" t="s">
        <v>761</v>
      </c>
      <c r="E471" s="152" t="s">
        <v>437</v>
      </c>
      <c r="F471" s="152" t="s">
        <v>433</v>
      </c>
      <c r="G471" s="165" t="s">
        <v>36</v>
      </c>
      <c r="H471" s="116" t="str">
        <f>HYPERLINK("http://www.mediafire.com/file/snsrnjj3p6cv79m/2019-03-08_-_Variety_Playhouse_-_Atlanta%252C_GA.rar/file", "download link")</f>
        <v>download link</v>
      </c>
      <c r="I471" s="146"/>
      <c r="J471" s="146"/>
      <c r="K471" s="146"/>
      <c r="L471" s="146"/>
    </row>
    <row r="472">
      <c r="A472" s="130">
        <v>43533.0</v>
      </c>
      <c r="B472" s="104"/>
      <c r="C472" s="105" t="str">
        <f t="shared" si="40"/>
        <v>setlist</v>
      </c>
      <c r="D472" s="140" t="s">
        <v>2953</v>
      </c>
      <c r="E472" s="140" t="s">
        <v>2327</v>
      </c>
      <c r="F472" s="140" t="s">
        <v>443</v>
      </c>
      <c r="G472" s="141" t="s">
        <v>36</v>
      </c>
      <c r="H472" s="105" t="str">
        <f>HYPERLINK("http://www.mediafire.com/file/iib89xjxgr9ns02/2019-03-09_-_The_Orange_Peel_-_Asheville%252C_NC.rar/file", "download link")</f>
        <v>download link</v>
      </c>
      <c r="I472" s="109"/>
      <c r="J472" s="109"/>
      <c r="K472" s="109"/>
      <c r="L472" s="109"/>
    </row>
    <row r="473">
      <c r="A473" s="150">
        <v>43534.0</v>
      </c>
      <c r="B473" s="144"/>
      <c r="C473" s="116" t="str">
        <f t="shared" si="40"/>
        <v>setlist</v>
      </c>
      <c r="D473" s="152" t="s">
        <v>3446</v>
      </c>
      <c r="E473" s="152" t="s">
        <v>652</v>
      </c>
      <c r="F473" s="152" t="s">
        <v>650</v>
      </c>
      <c r="G473" s="165"/>
      <c r="H473" s="197"/>
      <c r="I473" s="146"/>
      <c r="J473" s="146"/>
      <c r="K473" s="146"/>
      <c r="L473" s="146"/>
    </row>
    <row r="474">
      <c r="A474" s="130">
        <v>43535.0</v>
      </c>
      <c r="B474" s="104"/>
      <c r="C474" s="105" t="str">
        <f t="shared" si="40"/>
        <v>setlist</v>
      </c>
      <c r="D474" s="140" t="s">
        <v>3447</v>
      </c>
      <c r="E474" s="140" t="s">
        <v>429</v>
      </c>
      <c r="F474" s="140" t="s">
        <v>430</v>
      </c>
      <c r="G474" s="141"/>
      <c r="H474" s="143"/>
      <c r="I474" s="109"/>
      <c r="J474" s="109"/>
      <c r="K474" s="109"/>
      <c r="L474" s="109"/>
    </row>
    <row r="475">
      <c r="A475" s="150">
        <v>43536.0</v>
      </c>
      <c r="B475" s="144"/>
      <c r="C475" s="116" t="str">
        <f t="shared" si="40"/>
        <v>setlist</v>
      </c>
      <c r="D475" s="152" t="s">
        <v>3400</v>
      </c>
      <c r="E475" s="152" t="s">
        <v>429</v>
      </c>
      <c r="F475" s="152" t="s">
        <v>430</v>
      </c>
      <c r="G475" s="165" t="s">
        <v>36</v>
      </c>
      <c r="H475" s="116" t="str">
        <f>HYPERLINK("http://www.mediafire.com/file/dj9lqidxk6cqn1y/2019-03-12_-_Charleston_Music_Hall_-_Charleston%252C_SC.rar/file", "download link")</f>
        <v>download link</v>
      </c>
      <c r="I475" s="146"/>
      <c r="J475" s="146"/>
      <c r="K475" s="146"/>
      <c r="L475" s="146"/>
    </row>
    <row r="476">
      <c r="A476" s="130">
        <v>43537.0</v>
      </c>
      <c r="B476" s="104"/>
      <c r="C476" s="105" t="str">
        <f t="shared" si="40"/>
        <v>setlist</v>
      </c>
      <c r="D476" s="140" t="s">
        <v>3448</v>
      </c>
      <c r="E476" s="140" t="s">
        <v>3449</v>
      </c>
      <c r="F476" s="140" t="s">
        <v>446</v>
      </c>
      <c r="G476" s="141"/>
      <c r="H476" s="143"/>
      <c r="I476" s="109"/>
      <c r="J476" s="109"/>
      <c r="K476" s="109"/>
      <c r="L476" s="109"/>
    </row>
    <row r="477">
      <c r="A477" s="150">
        <v>43539.0</v>
      </c>
      <c r="B477" s="144"/>
      <c r="C477" s="116" t="str">
        <f t="shared" si="40"/>
        <v>setlist</v>
      </c>
      <c r="D477" s="152" t="s">
        <v>2838</v>
      </c>
      <c r="E477" s="152" t="s">
        <v>393</v>
      </c>
      <c r="F477" s="152" t="s">
        <v>394</v>
      </c>
      <c r="G477" s="165" t="s">
        <v>36</v>
      </c>
      <c r="H477" s="116" t="str">
        <f>HYPERLINK("http://www.mediafire.com/file/k2x3o1p3f9s971s/2019-03-15_-_930_Club_-_Washington%252C_DC.rar/file", "download link")</f>
        <v>download link</v>
      </c>
      <c r="I477" s="146"/>
      <c r="J477" s="146"/>
      <c r="K477" s="146"/>
      <c r="L477" s="146"/>
    </row>
    <row r="478">
      <c r="A478" s="130">
        <v>43540.0</v>
      </c>
      <c r="B478" s="104"/>
      <c r="C478" s="105" t="str">
        <f t="shared" si="40"/>
        <v>setlist</v>
      </c>
      <c r="D478" s="140" t="s">
        <v>3450</v>
      </c>
      <c r="E478" s="140" t="s">
        <v>3451</v>
      </c>
      <c r="F478" s="140" t="s">
        <v>43</v>
      </c>
      <c r="G478" s="141" t="s">
        <v>36</v>
      </c>
      <c r="H478" s="105" t="str">
        <f>HYPERLINK("http://www.mediafire.com/file/2wb02grhz0dlzce/2019-03-16_-_Asbury_Lanes_-_Asbury_Park%252C_NJ.rar/file", "download link")</f>
        <v>download link</v>
      </c>
      <c r="I478" s="109"/>
      <c r="J478" s="109"/>
      <c r="K478" s="109"/>
      <c r="L478" s="109"/>
    </row>
    <row r="479">
      <c r="A479" s="150">
        <v>43541.0</v>
      </c>
      <c r="B479" s="144"/>
      <c r="C479" s="116" t="str">
        <f t="shared" si="40"/>
        <v>setlist</v>
      </c>
      <c r="D479" s="152" t="s">
        <v>3452</v>
      </c>
      <c r="E479" s="152" t="s">
        <v>3016</v>
      </c>
      <c r="F479" s="152" t="s">
        <v>43</v>
      </c>
      <c r="G479" s="165"/>
      <c r="H479" s="197"/>
      <c r="I479" s="146"/>
      <c r="J479" s="146"/>
      <c r="K479" s="146"/>
      <c r="L479" s="146"/>
    </row>
    <row r="480">
      <c r="A480" s="130">
        <v>43543.0</v>
      </c>
      <c r="B480" s="104"/>
      <c r="C480" s="105" t="str">
        <f t="shared" si="40"/>
        <v>setlist</v>
      </c>
      <c r="D480" s="140" t="s">
        <v>3340</v>
      </c>
      <c r="E480" s="140" t="s">
        <v>715</v>
      </c>
      <c r="F480" s="140" t="s">
        <v>129</v>
      </c>
      <c r="G480" s="141"/>
      <c r="H480" s="143"/>
      <c r="I480" s="109"/>
      <c r="J480" s="109"/>
      <c r="K480" s="109"/>
      <c r="L480" s="109"/>
    </row>
    <row r="481">
      <c r="A481" s="150">
        <v>43545.0</v>
      </c>
      <c r="B481" s="144"/>
      <c r="C481" s="116" t="str">
        <f t="shared" si="40"/>
        <v>setlist</v>
      </c>
      <c r="D481" s="152" t="s">
        <v>3420</v>
      </c>
      <c r="E481" s="152" t="s">
        <v>3129</v>
      </c>
      <c r="F481" s="152" t="s">
        <v>95</v>
      </c>
      <c r="G481" s="165" t="s">
        <v>36</v>
      </c>
      <c r="H481" s="116" t="str">
        <f>HYPERLINK("http://www.mediafire.com/file/maobcmjjiv9baiv/2019-03-21_-_The_Sinclair_-_Cambridge%252C_MA.rar/file", "download link")</f>
        <v>download link</v>
      </c>
      <c r="I481" s="146"/>
      <c r="J481" s="146"/>
      <c r="K481" s="146"/>
      <c r="L481" s="146"/>
    </row>
    <row r="482">
      <c r="A482" s="130">
        <v>43546.0</v>
      </c>
      <c r="B482" s="104"/>
      <c r="C482" s="105" t="str">
        <f t="shared" si="40"/>
        <v>setlist</v>
      </c>
      <c r="D482" s="140" t="s">
        <v>3420</v>
      </c>
      <c r="E482" s="140" t="s">
        <v>3129</v>
      </c>
      <c r="F482" s="140" t="s">
        <v>95</v>
      </c>
      <c r="G482" s="141" t="s">
        <v>36</v>
      </c>
      <c r="H482" s="105" t="str">
        <f>HYPERLINK("http://www.mediafire.com/file/9fpuwsu4j2hnqvb/2019-03-22_-_The_Sinclair_-_Cambridge%252C_MA.rar/file", "download link")</f>
        <v>download link</v>
      </c>
      <c r="I482" s="109"/>
      <c r="J482" s="109"/>
      <c r="K482" s="109"/>
      <c r="L482" s="109"/>
    </row>
    <row r="483">
      <c r="A483" s="150">
        <v>43547.0</v>
      </c>
      <c r="B483" s="144"/>
      <c r="C483" s="116" t="str">
        <f t="shared" si="40"/>
        <v>setlist</v>
      </c>
      <c r="D483" s="152" t="s">
        <v>3420</v>
      </c>
      <c r="E483" s="152" t="s">
        <v>3129</v>
      </c>
      <c r="F483" s="152" t="s">
        <v>95</v>
      </c>
      <c r="G483" s="165" t="s">
        <v>36</v>
      </c>
      <c r="H483" s="116" t="str">
        <f>HYPERLINK("http://www.mediafire.com/file/dmz8toizi966i1b/2019-03-23_-_The_Sinclair_-_Cambridge%252C_MA.rar/file", "download link")</f>
        <v>download link</v>
      </c>
      <c r="I483" s="146"/>
      <c r="J483" s="146"/>
      <c r="K483" s="146"/>
      <c r="L483" s="146"/>
    </row>
    <row r="484">
      <c r="A484" s="130">
        <v>43548.0</v>
      </c>
      <c r="B484" s="104"/>
      <c r="C484" s="105" t="str">
        <f t="shared" si="40"/>
        <v>setlist</v>
      </c>
      <c r="D484" s="140" t="s">
        <v>3420</v>
      </c>
      <c r="E484" s="140" t="s">
        <v>3129</v>
      </c>
      <c r="F484" s="140" t="s">
        <v>95</v>
      </c>
      <c r="G484" s="141" t="s">
        <v>36</v>
      </c>
      <c r="H484" s="105" t="str">
        <f>HYPERLINK("http://www.mediafire.com/file/hf3nbm1bd3chgka/2019-03-24_-_The_Sinclair_-_Cambridge%252C_MA.rar/file", "download link")</f>
        <v>download link</v>
      </c>
      <c r="I484" s="134"/>
      <c r="J484" s="134"/>
      <c r="K484" s="134"/>
      <c r="L484" s="134"/>
    </row>
    <row r="485">
      <c r="A485" s="150">
        <v>43588.0</v>
      </c>
      <c r="B485" s="144"/>
      <c r="C485" s="116" t="str">
        <f t="shared" si="40"/>
        <v>setlist</v>
      </c>
      <c r="D485" s="152" t="s">
        <v>3453</v>
      </c>
      <c r="E485" s="152" t="s">
        <v>585</v>
      </c>
      <c r="F485" s="152" t="s">
        <v>586</v>
      </c>
      <c r="G485" s="165" t="s">
        <v>36</v>
      </c>
      <c r="H485" s="116" t="str">
        <f>HYPERLINK("http://www.mediafire.com/file/ebk0bm3424otk62/2019-05-03_-_Joy_Theater_-_New_Orleans%252C_LA.rar/file", "download link")</f>
        <v>download link</v>
      </c>
      <c r="I485" s="146"/>
      <c r="J485" s="146"/>
      <c r="K485" s="146"/>
      <c r="L485" s="146"/>
    </row>
    <row r="486">
      <c r="A486" s="130">
        <v>43617.0</v>
      </c>
      <c r="B486" s="104"/>
      <c r="C486" s="105" t="str">
        <f t="shared" si="40"/>
        <v>setlist</v>
      </c>
      <c r="D486" s="140" t="s">
        <v>3454</v>
      </c>
      <c r="E486" s="140" t="s">
        <v>1298</v>
      </c>
      <c r="F486" s="140" t="s">
        <v>203</v>
      </c>
      <c r="G486" s="141" t="s">
        <v>36</v>
      </c>
      <c r="H486" s="105" t="str">
        <f>HYPERLINK("http://www.mediafire.com/file/w0gh0xe2s2aa5k1/2019-06-01_-_Red_Rocks_Amphitheatre_-_Morrison%252C_CO.rar/file", "download link")</f>
        <v>download link</v>
      </c>
      <c r="I486" s="109"/>
      <c r="J486" s="109"/>
      <c r="K486" s="109"/>
      <c r="L486" s="109"/>
    </row>
    <row r="487">
      <c r="A487" s="380"/>
      <c r="B487" s="381"/>
      <c r="C487" s="381"/>
      <c r="D487" s="383" t="s">
        <v>3364</v>
      </c>
      <c r="E487" s="382"/>
      <c r="F487" s="381"/>
      <c r="G487" s="381"/>
      <c r="H487" s="358"/>
      <c r="I487" s="382"/>
      <c r="J487" s="382"/>
      <c r="K487" s="382"/>
      <c r="L487" s="382"/>
    </row>
    <row r="488">
      <c r="A488" s="150">
        <v>43847.0</v>
      </c>
      <c r="B488" s="144"/>
      <c r="C488" s="116" t="str">
        <f t="shared" ref="C488:C500" si="41">HYPERLINK("http://phish.net/sideshows/mike-gordon/?d="&amp;RIGHT(TEXT(A462,"mm/dd/yyyy"),4)&amp;"-"&amp;LEFT(TEXT(A462,"mm/dd/yyyy"),2)&amp;"-"&amp;MID(TEXT(A462,"mm/dd/yyyy"),4,2), "setlist")</f>
        <v>setlist</v>
      </c>
      <c r="D488" s="152" t="s">
        <v>3127</v>
      </c>
      <c r="E488" s="152" t="s">
        <v>168</v>
      </c>
      <c r="F488" s="152" t="s">
        <v>129</v>
      </c>
      <c r="G488" s="165" t="s">
        <v>36</v>
      </c>
      <c r="H488" s="116" t="str">
        <f>HYPERLINK("http://www.mediafire.com/file/3y7g54wy7j62ri3/2020-01-17_-_State_Theatre_of_Ithaca_-_Ithaca%252C_NY.rar/file", "download link")</f>
        <v>download link</v>
      </c>
      <c r="I488" s="146"/>
      <c r="J488" s="146"/>
      <c r="K488" s="146"/>
      <c r="L488" s="146"/>
    </row>
    <row r="489">
      <c r="A489" s="130">
        <v>43848.0</v>
      </c>
      <c r="B489" s="104"/>
      <c r="C489" s="105" t="str">
        <f t="shared" si="41"/>
        <v>setlist</v>
      </c>
      <c r="D489" s="140" t="s">
        <v>3062</v>
      </c>
      <c r="E489" s="140" t="s">
        <v>3455</v>
      </c>
      <c r="F489" s="140" t="s">
        <v>1091</v>
      </c>
      <c r="G489" s="141"/>
      <c r="H489" s="143"/>
      <c r="I489" s="109"/>
      <c r="J489" s="109"/>
      <c r="K489" s="109"/>
      <c r="L489" s="109"/>
    </row>
    <row r="490">
      <c r="A490" s="150">
        <v>43849.0</v>
      </c>
      <c r="B490" s="144"/>
      <c r="C490" s="116" t="str">
        <f t="shared" si="41"/>
        <v>setlist</v>
      </c>
      <c r="D490" s="152" t="s">
        <v>3338</v>
      </c>
      <c r="E490" s="152" t="s">
        <v>3456</v>
      </c>
      <c r="F490" s="152" t="s">
        <v>212</v>
      </c>
      <c r="G490" s="165" t="s">
        <v>36</v>
      </c>
      <c r="H490" s="116" t="str">
        <f>HYPERLINK("http://www.mediafire.com/file/e2k1xixwkxnumh9/2020-01-19_-_Mr._Small%2527s_Theatre_-_Milvale%252C_PA.rar/file", "download link")</f>
        <v>download link</v>
      </c>
      <c r="I490" s="146"/>
      <c r="J490" s="146"/>
      <c r="K490" s="146"/>
      <c r="L490" s="146"/>
    </row>
    <row r="491">
      <c r="A491" s="130">
        <v>43850.0</v>
      </c>
      <c r="B491" s="104"/>
      <c r="C491" s="105" t="str">
        <f t="shared" si="41"/>
        <v>setlist</v>
      </c>
      <c r="D491" s="140" t="s">
        <v>1076</v>
      </c>
      <c r="E491" s="140" t="s">
        <v>471</v>
      </c>
      <c r="F491" s="140" t="s">
        <v>472</v>
      </c>
      <c r="G491" s="141"/>
      <c r="H491" s="143"/>
      <c r="I491" s="109"/>
      <c r="J491" s="109"/>
      <c r="K491" s="109"/>
      <c r="L491" s="109"/>
    </row>
    <row r="492">
      <c r="A492" s="150">
        <v>43852.0</v>
      </c>
      <c r="B492" s="144"/>
      <c r="C492" s="116" t="str">
        <f t="shared" si="41"/>
        <v>setlist</v>
      </c>
      <c r="D492" s="152" t="s">
        <v>3457</v>
      </c>
      <c r="E492" s="152" t="s">
        <v>479</v>
      </c>
      <c r="F492" s="152" t="s">
        <v>480</v>
      </c>
      <c r="G492" s="165"/>
      <c r="H492" s="197"/>
      <c r="I492" s="146"/>
      <c r="J492" s="146"/>
      <c r="K492" s="146"/>
      <c r="L492" s="146"/>
    </row>
    <row r="493">
      <c r="A493" s="130">
        <v>43853.0</v>
      </c>
      <c r="B493" s="104"/>
      <c r="C493" s="105" t="str">
        <f t="shared" si="41"/>
        <v>setlist</v>
      </c>
      <c r="D493" s="140" t="s">
        <v>3336</v>
      </c>
      <c r="E493" s="140" t="s">
        <v>943</v>
      </c>
      <c r="F493" s="140" t="s">
        <v>472</v>
      </c>
      <c r="G493" s="141"/>
      <c r="H493" s="143"/>
      <c r="I493" s="109"/>
      <c r="J493" s="109"/>
      <c r="K493" s="109"/>
      <c r="L493" s="109"/>
    </row>
    <row r="494">
      <c r="A494" s="150">
        <v>43854.0</v>
      </c>
      <c r="B494" s="144"/>
      <c r="C494" s="116" t="str">
        <f t="shared" si="41"/>
        <v>setlist</v>
      </c>
      <c r="D494" s="152" t="s">
        <v>3417</v>
      </c>
      <c r="E494" s="152" t="s">
        <v>885</v>
      </c>
      <c r="F494" s="152" t="s">
        <v>886</v>
      </c>
      <c r="G494" s="165" t="s">
        <v>36</v>
      </c>
      <c r="H494" s="116" t="str">
        <f>HYPERLINK("http://www.mediafire.com/file/47vf50o4eerwmjk/2020-01-24_-_Delmar_Hall_-_St._Louis%252C_MO.rar/file", "download link")</f>
        <v>download link</v>
      </c>
      <c r="I494" s="117"/>
      <c r="J494" s="146"/>
      <c r="K494" s="146"/>
      <c r="L494" s="146"/>
    </row>
    <row r="495">
      <c r="A495" s="130">
        <v>43855.0</v>
      </c>
      <c r="B495" s="104"/>
      <c r="C495" s="105" t="str">
        <f t="shared" si="41"/>
        <v>setlist</v>
      </c>
      <c r="D495" s="140" t="s">
        <v>3323</v>
      </c>
      <c r="E495" s="140" t="s">
        <v>482</v>
      </c>
      <c r="F495" s="140" t="s">
        <v>483</v>
      </c>
      <c r="G495" s="141"/>
      <c r="H495" s="143"/>
      <c r="I495" s="109"/>
      <c r="J495" s="109"/>
      <c r="K495" s="109"/>
      <c r="L495" s="109"/>
    </row>
    <row r="496">
      <c r="A496" s="150">
        <v>43856.0</v>
      </c>
      <c r="B496" s="144"/>
      <c r="C496" s="116" t="str">
        <f t="shared" si="41"/>
        <v>setlist</v>
      </c>
      <c r="D496" s="152" t="s">
        <v>3389</v>
      </c>
      <c r="E496" s="152" t="s">
        <v>485</v>
      </c>
      <c r="F496" s="152" t="s">
        <v>486</v>
      </c>
      <c r="G496" s="165"/>
      <c r="H496" s="197"/>
      <c r="I496" s="146"/>
      <c r="J496" s="146"/>
      <c r="K496" s="146"/>
      <c r="L496" s="146"/>
    </row>
    <row r="497">
      <c r="A497" s="130">
        <v>43858.0</v>
      </c>
      <c r="B497" s="104"/>
      <c r="C497" s="105" t="str">
        <f t="shared" si="41"/>
        <v>setlist</v>
      </c>
      <c r="D497" s="140" t="s">
        <v>500</v>
      </c>
      <c r="E497" s="140" t="s">
        <v>488</v>
      </c>
      <c r="F497" s="140" t="s">
        <v>203</v>
      </c>
      <c r="G497" s="141" t="s">
        <v>36</v>
      </c>
      <c r="H497" s="105" t="str">
        <f>HYPERLINK("http://www.mediafire.com/file/dhody03bbijty4h/2020-01-28_-_Boulder_Theater_-_Boulder%252C_CO.rar/file", "download link")</f>
        <v>download link</v>
      </c>
      <c r="I497" s="109"/>
      <c r="J497" s="109"/>
      <c r="K497" s="109"/>
      <c r="L497" s="109"/>
    </row>
    <row r="498">
      <c r="A498" s="150">
        <v>43859.0</v>
      </c>
      <c r="B498" s="144"/>
      <c r="C498" s="116" t="str">
        <f t="shared" si="41"/>
        <v>setlist</v>
      </c>
      <c r="D498" s="152" t="s">
        <v>3458</v>
      </c>
      <c r="E498" s="152" t="s">
        <v>1301</v>
      </c>
      <c r="F498" s="152" t="s">
        <v>1302</v>
      </c>
      <c r="G498" s="165"/>
      <c r="H498" s="197"/>
      <c r="I498" s="146"/>
      <c r="J498" s="146"/>
      <c r="K498" s="146"/>
      <c r="L498" s="146"/>
    </row>
    <row r="499">
      <c r="A499" s="130">
        <v>43861.0</v>
      </c>
      <c r="B499" s="104"/>
      <c r="C499" s="105" t="str">
        <f t="shared" si="41"/>
        <v>setlist</v>
      </c>
      <c r="D499" s="140" t="s">
        <v>3413</v>
      </c>
      <c r="E499" s="140" t="s">
        <v>279</v>
      </c>
      <c r="F499" s="140" t="s">
        <v>692</v>
      </c>
      <c r="G499" s="141" t="s">
        <v>36</v>
      </c>
      <c r="H499" s="105" t="str">
        <f>HYPERLINK("http://www.mediafire.com/file/q3ml7gzhbmredg3/2020-01-31_-_Crystal_Ballroom_-_Portland%252C_OR.rar/file", "download link")</f>
        <v>download link</v>
      </c>
      <c r="I499" s="109"/>
      <c r="J499" s="109"/>
      <c r="K499" s="109"/>
      <c r="L499" s="109"/>
    </row>
    <row r="500">
      <c r="A500" s="150">
        <v>43862.0</v>
      </c>
      <c r="B500" s="144"/>
      <c r="C500" s="116" t="str">
        <f t="shared" si="41"/>
        <v>setlist</v>
      </c>
      <c r="D500" s="152" t="s">
        <v>3092</v>
      </c>
      <c r="E500" s="152" t="s">
        <v>791</v>
      </c>
      <c r="F500" s="152" t="s">
        <v>701</v>
      </c>
      <c r="G500" s="165" t="s">
        <v>36</v>
      </c>
      <c r="H500" s="116" t="str">
        <f>HYPERLINK("https://www.mediafire.com/file/tzusa1rk8bxfisw/2020-02-01_-_The_Showbox_-_Seattle%252C_WA.rar/file", "download link")</f>
        <v>download link</v>
      </c>
      <c r="I500" s="146"/>
      <c r="J500" s="146"/>
      <c r="K500" s="146"/>
      <c r="L500" s="146"/>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5.13"/>
    <col customWidth="1" min="9" max="9" width="68.13"/>
  </cols>
  <sheetData>
    <row r="1">
      <c r="A1" s="373"/>
      <c r="B1" s="111"/>
      <c r="C1" s="384"/>
      <c r="F1" s="111"/>
      <c r="G1" s="111"/>
      <c r="H1" s="138"/>
    </row>
    <row r="2">
      <c r="A2" s="374" t="s">
        <v>22</v>
      </c>
      <c r="B2" s="375" t="s">
        <v>23</v>
      </c>
      <c r="C2" s="375" t="s">
        <v>24</v>
      </c>
      <c r="D2" s="376" t="s">
        <v>25</v>
      </c>
      <c r="E2" s="376" t="s">
        <v>26</v>
      </c>
      <c r="F2" s="375" t="s">
        <v>27</v>
      </c>
      <c r="G2" s="375" t="s">
        <v>28</v>
      </c>
      <c r="H2" s="375" t="s">
        <v>29</v>
      </c>
      <c r="I2" s="376" t="s">
        <v>31</v>
      </c>
    </row>
    <row r="3">
      <c r="A3" s="373"/>
      <c r="B3" s="111"/>
      <c r="C3" s="384"/>
      <c r="F3" s="111"/>
      <c r="G3" s="111"/>
      <c r="H3" s="138"/>
    </row>
    <row r="4">
      <c r="A4" s="350"/>
      <c r="B4" s="351"/>
      <c r="C4" s="352"/>
      <c r="D4" s="356" t="s">
        <v>2784</v>
      </c>
      <c r="E4" s="357"/>
      <c r="F4" s="351"/>
      <c r="G4" s="351"/>
      <c r="H4" s="358"/>
      <c r="I4" s="357"/>
    </row>
    <row r="5">
      <c r="A5" s="110">
        <v>31777.0</v>
      </c>
      <c r="B5" s="111"/>
      <c r="C5" s="135" t="str">
        <f>HYPERLINK("http://phish.net/sideshows/trey-anastasio-band/?d="&amp;RIGHT(TEXT(A5,"mm/dd/yyyy"),4)&amp;"-"&amp;LEFT(TEXT(A5,"mm/dd/yyyy"),2)&amp;"-"&amp;MID(TEXT(A5,"mm/dd/yyyy"),4,2), "setlist")</f>
        <v>setlist</v>
      </c>
      <c r="D5" s="183" t="s">
        <v>2785</v>
      </c>
      <c r="E5" s="183" t="s">
        <v>2786</v>
      </c>
      <c r="F5" s="114" t="s">
        <v>35</v>
      </c>
      <c r="G5" s="114" t="s">
        <v>36</v>
      </c>
      <c r="H5" s="135" t="str">
        <f>HYPERLINK("http://www.mediafire.com/?1jvs3ah76qybe", "download link")</f>
        <v>download link</v>
      </c>
      <c r="I5" s="183" t="s">
        <v>2787</v>
      </c>
    </row>
    <row r="6">
      <c r="A6" s="350"/>
      <c r="B6" s="351"/>
      <c r="C6" s="352"/>
      <c r="D6" s="356" t="s">
        <v>2788</v>
      </c>
      <c r="E6" s="357"/>
      <c r="F6" s="351"/>
      <c r="G6" s="351"/>
      <c r="H6" s="358"/>
      <c r="I6" s="357"/>
    </row>
    <row r="7">
      <c r="A7" s="110">
        <v>32687.0</v>
      </c>
      <c r="B7" s="111"/>
      <c r="C7" s="135" t="str">
        <f t="shared" ref="C7:C9" si="1">HYPERLINK("http://phish.net/sideshows/trey-anastasio-band/?d="&amp;RIGHT(TEXT(A7,"mm/dd/yyyy"),4)&amp;"-"&amp;LEFT(TEXT(A7,"mm/dd/yyyy"),2)&amp;"-"&amp;MID(TEXT(A7,"mm/dd/yyyy"),4,2), "setlist")</f>
        <v>setlist</v>
      </c>
      <c r="D7" s="183" t="s">
        <v>54</v>
      </c>
      <c r="E7" s="183" t="s">
        <v>34</v>
      </c>
      <c r="F7" s="114" t="s">
        <v>35</v>
      </c>
      <c r="G7" s="111"/>
      <c r="H7" s="359"/>
    </row>
    <row r="8">
      <c r="A8" s="103">
        <v>33258.0</v>
      </c>
      <c r="B8" s="104"/>
      <c r="C8" s="105" t="str">
        <f t="shared" si="1"/>
        <v>setlist</v>
      </c>
      <c r="D8" s="181" t="s">
        <v>54</v>
      </c>
      <c r="E8" s="181" t="s">
        <v>34</v>
      </c>
      <c r="F8" s="107" t="s">
        <v>35</v>
      </c>
      <c r="G8" s="104"/>
      <c r="H8" s="360"/>
      <c r="I8" s="260"/>
    </row>
    <row r="9">
      <c r="A9" s="110">
        <v>33265.0</v>
      </c>
      <c r="B9" s="111"/>
      <c r="C9" s="135" t="str">
        <f t="shared" si="1"/>
        <v>setlist</v>
      </c>
      <c r="D9" s="183" t="s">
        <v>54</v>
      </c>
      <c r="E9" s="183" t="s">
        <v>34</v>
      </c>
      <c r="F9" s="114" t="s">
        <v>35</v>
      </c>
      <c r="G9" s="111"/>
      <c r="H9" s="359"/>
    </row>
    <row r="10">
      <c r="A10" s="350"/>
      <c r="B10" s="351"/>
      <c r="C10" s="352"/>
      <c r="D10" s="356" t="s">
        <v>2830</v>
      </c>
      <c r="E10" s="357"/>
      <c r="F10" s="351"/>
      <c r="G10" s="351"/>
      <c r="H10" s="358"/>
      <c r="I10" s="357"/>
    </row>
    <row r="11">
      <c r="A11" s="110">
        <v>36262.0</v>
      </c>
      <c r="B11" s="111"/>
      <c r="C11" s="135" t="str">
        <f>HYPERLINK("http://phish.net/sideshows/page-mcconnell/?showid=1326761628", "setlist")</f>
        <v>setlist</v>
      </c>
      <c r="D11" s="183" t="s">
        <v>2831</v>
      </c>
      <c r="E11" s="183" t="s">
        <v>2832</v>
      </c>
      <c r="F11" s="114" t="s">
        <v>679</v>
      </c>
      <c r="G11" s="111"/>
      <c r="H11" s="138"/>
    </row>
    <row r="12">
      <c r="A12" s="103">
        <v>36265.0</v>
      </c>
      <c r="B12" s="107" t="s">
        <v>32</v>
      </c>
      <c r="C12" s="105" t="str">
        <f t="shared" ref="C12:C14" si="2">HYPERLINK("http://phish.net/sideshows/trey-anastasio-band/?d="&amp;RIGHT(TEXT(A12,"mm/dd/yyyy"),4)&amp;"-"&amp;LEFT(TEXT(A12,"mm/dd/yyyy"),2)&amp;"-"&amp;MID(TEXT(A12,"mm/dd/yyyy"),4,2), "setlist")</f>
        <v>setlist</v>
      </c>
      <c r="D12" s="181" t="s">
        <v>914</v>
      </c>
      <c r="E12" s="181" t="s">
        <v>683</v>
      </c>
      <c r="F12" s="107" t="s">
        <v>679</v>
      </c>
      <c r="G12" s="107" t="s">
        <v>36</v>
      </c>
      <c r="H12" s="105" t="str">
        <f>HYPERLINK("http://www.mediafire.com/?pgywa6v87itzc", "download link")</f>
        <v>download link</v>
      </c>
      <c r="I12" s="132" t="s">
        <v>2833</v>
      </c>
    </row>
    <row r="13">
      <c r="A13" s="142">
        <v>36266.0</v>
      </c>
      <c r="B13" s="115" t="s">
        <v>32</v>
      </c>
      <c r="C13" s="116" t="str">
        <f t="shared" si="2"/>
        <v>setlist</v>
      </c>
      <c r="D13" s="272" t="s">
        <v>914</v>
      </c>
      <c r="E13" s="272" t="s">
        <v>683</v>
      </c>
      <c r="F13" s="115" t="s">
        <v>679</v>
      </c>
      <c r="G13" s="115" t="s">
        <v>36</v>
      </c>
      <c r="H13" s="116" t="str">
        <f>HYPERLINK("http://www.mediafire.com/?92u89sp8290dk", "download link")</f>
        <v>download link</v>
      </c>
      <c r="I13" s="153" t="s">
        <v>2834</v>
      </c>
    </row>
    <row r="14">
      <c r="A14" s="103">
        <v>36267.0</v>
      </c>
      <c r="B14" s="107" t="s">
        <v>32</v>
      </c>
      <c r="C14" s="105" t="str">
        <f t="shared" si="2"/>
        <v>setlist</v>
      </c>
      <c r="D14" s="181" t="s">
        <v>914</v>
      </c>
      <c r="E14" s="181" t="s">
        <v>683</v>
      </c>
      <c r="F14" s="107" t="s">
        <v>679</v>
      </c>
      <c r="G14" s="107" t="s">
        <v>36</v>
      </c>
      <c r="H14" s="105" t="str">
        <f>HYPERLINK("http://www.mediafire.com/?k9294sn92c2ef", "download link")</f>
        <v>download link</v>
      </c>
      <c r="I14" s="132" t="s">
        <v>2834</v>
      </c>
    </row>
    <row r="15">
      <c r="A15" s="350"/>
      <c r="B15" s="351"/>
      <c r="C15" s="352"/>
      <c r="D15" s="356" t="s">
        <v>3459</v>
      </c>
      <c r="E15" s="357"/>
      <c r="F15" s="351"/>
      <c r="G15" s="351"/>
      <c r="H15" s="358"/>
      <c r="I15" s="357"/>
    </row>
    <row r="16">
      <c r="A16" s="110">
        <v>36866.0</v>
      </c>
      <c r="B16" s="114" t="s">
        <v>32</v>
      </c>
      <c r="C16" s="116" t="str">
        <f>HYPERLINK("http://phish.net/sideshows/page-mcconnell/?d=2000-12-06", "setlist")</f>
        <v>setlist</v>
      </c>
      <c r="D16" s="183" t="s">
        <v>3210</v>
      </c>
      <c r="E16" s="183" t="s">
        <v>162</v>
      </c>
      <c r="F16" s="114" t="s">
        <v>129</v>
      </c>
      <c r="G16" s="114" t="s">
        <v>36</v>
      </c>
      <c r="H16" s="116" t="str">
        <f>HYPERLINK("http://www.mediafire.com/?arbcakqkcazcq", "download link")</f>
        <v>download link</v>
      </c>
      <c r="I16" s="183" t="s">
        <v>3460</v>
      </c>
    </row>
    <row r="17">
      <c r="A17" s="350"/>
      <c r="B17" s="351"/>
      <c r="C17" s="352"/>
      <c r="D17" s="356" t="s">
        <v>3461</v>
      </c>
      <c r="E17" s="357"/>
      <c r="F17" s="351"/>
      <c r="G17" s="351"/>
      <c r="H17" s="358"/>
      <c r="I17" s="357"/>
    </row>
    <row r="18">
      <c r="A18" s="110">
        <v>37254.0</v>
      </c>
      <c r="B18" s="111"/>
      <c r="C18" s="116" t="str">
        <f t="shared" ref="C18:C20" si="3">HYPERLINK("http://phish.net/sideshows/page-mcconnell/?d="&amp;RIGHT(TEXT(A18,"mm/dd/yyyy"),4)&amp;"-"&amp;LEFT(TEXT(A18,"mm/dd/yyyy"),2)&amp;"-"&amp;MID(TEXT(A18,"mm/dd/yyyy"),4,2), "setlist")</f>
        <v>setlist</v>
      </c>
      <c r="D18" s="183" t="s">
        <v>2060</v>
      </c>
      <c r="E18" s="183" t="s">
        <v>2061</v>
      </c>
      <c r="F18" s="114" t="s">
        <v>35</v>
      </c>
      <c r="G18" s="111"/>
      <c r="H18" s="138"/>
    </row>
    <row r="19">
      <c r="A19" s="103">
        <v>37255.0</v>
      </c>
      <c r="B19" s="104"/>
      <c r="C19" s="105" t="str">
        <f t="shared" si="3"/>
        <v>setlist</v>
      </c>
      <c r="D19" s="181" t="s">
        <v>2817</v>
      </c>
      <c r="E19" s="181" t="s">
        <v>854</v>
      </c>
      <c r="F19" s="107" t="s">
        <v>35</v>
      </c>
      <c r="G19" s="107" t="s">
        <v>36</v>
      </c>
      <c r="H19" s="105" t="str">
        <f>HYPERLINK("http://www.mediafire.com/?lb5dl8t5vywwx", "download link")</f>
        <v>download link</v>
      </c>
      <c r="I19" s="260"/>
    </row>
    <row r="20">
      <c r="A20" s="142">
        <v>37256.0</v>
      </c>
      <c r="B20" s="115" t="s">
        <v>32</v>
      </c>
      <c r="C20" s="116" t="str">
        <f t="shared" si="3"/>
        <v>setlist</v>
      </c>
      <c r="D20" s="272" t="s">
        <v>863</v>
      </c>
      <c r="E20" s="272" t="s">
        <v>162</v>
      </c>
      <c r="F20" s="115" t="s">
        <v>129</v>
      </c>
      <c r="G20" s="115" t="s">
        <v>36</v>
      </c>
      <c r="H20" s="116" t="str">
        <f>HYPERLINK("http://www.mediafire.com/?362lizis6f1oo", "download link")</f>
        <v>download link</v>
      </c>
      <c r="I20" s="273"/>
    </row>
    <row r="21">
      <c r="A21" s="350"/>
      <c r="B21" s="351"/>
      <c r="C21" s="352"/>
      <c r="D21" s="356" t="s">
        <v>3462</v>
      </c>
      <c r="E21" s="357"/>
      <c r="F21" s="351"/>
      <c r="G21" s="351"/>
      <c r="H21" s="358"/>
      <c r="I21" s="357"/>
    </row>
    <row r="22">
      <c r="A22" s="110">
        <v>37364.0</v>
      </c>
      <c r="B22" s="111"/>
      <c r="C22" s="116" t="str">
        <f t="shared" ref="C22:C30" si="4">HYPERLINK("http://phish.net/sideshows/page-mcconnell/?d="&amp;RIGHT(TEXT(A22,"mm/dd/yyyy"),4)&amp;"-"&amp;LEFT(TEXT(A22,"mm/dd/yyyy"),2)&amp;"-"&amp;MID(TEXT(A22,"mm/dd/yyyy"),4,2), "setlist")</f>
        <v>setlist</v>
      </c>
      <c r="D22" s="183" t="s">
        <v>3379</v>
      </c>
      <c r="E22" s="183" t="s">
        <v>247</v>
      </c>
      <c r="F22" s="114" t="s">
        <v>95</v>
      </c>
      <c r="G22" s="114" t="s">
        <v>36</v>
      </c>
      <c r="H22" s="135" t="str">
        <f>HYPERLINK("http://www.mediafire.com/?zvz7w4j3w73id", "download link")</f>
        <v>download link</v>
      </c>
    </row>
    <row r="23">
      <c r="A23" s="103">
        <v>37365.0</v>
      </c>
      <c r="B23" s="104"/>
      <c r="C23" s="105" t="str">
        <f t="shared" si="4"/>
        <v>setlist</v>
      </c>
      <c r="D23" s="181" t="s">
        <v>3018</v>
      </c>
      <c r="E23" s="181" t="s">
        <v>297</v>
      </c>
      <c r="F23" s="107" t="s">
        <v>298</v>
      </c>
      <c r="G23" s="107" t="s">
        <v>36</v>
      </c>
      <c r="H23" s="105" t="str">
        <f>HYPERLINK("http://www.mediafire.com/?0kze2f4c5kvk4", "download link")</f>
        <v>download link</v>
      </c>
      <c r="I23" s="260"/>
    </row>
    <row r="24">
      <c r="A24" s="110">
        <v>37366.0</v>
      </c>
      <c r="B24" s="111"/>
      <c r="C24" s="116" t="str">
        <f t="shared" si="4"/>
        <v>setlist</v>
      </c>
      <c r="D24" s="183" t="s">
        <v>3463</v>
      </c>
      <c r="E24" s="183" t="s">
        <v>34</v>
      </c>
      <c r="F24" s="114" t="s">
        <v>35</v>
      </c>
      <c r="G24" s="114" t="s">
        <v>36</v>
      </c>
      <c r="H24" s="135" t="str">
        <f>HYPERLINK("http://www.mediafire.com/?kj46oeev416k7", "download link")</f>
        <v>download link</v>
      </c>
    </row>
    <row r="25">
      <c r="A25" s="103">
        <v>37367.0</v>
      </c>
      <c r="B25" s="104"/>
      <c r="C25" s="105" t="str">
        <f t="shared" si="4"/>
        <v>setlist</v>
      </c>
      <c r="D25" s="181" t="s">
        <v>637</v>
      </c>
      <c r="E25" s="181" t="s">
        <v>168</v>
      </c>
      <c r="F25" s="107" t="s">
        <v>129</v>
      </c>
      <c r="G25" s="104"/>
      <c r="H25" s="108"/>
      <c r="I25" s="260"/>
    </row>
    <row r="26">
      <c r="A26" s="142">
        <v>37369.0</v>
      </c>
      <c r="B26" s="144"/>
      <c r="C26" s="116" t="str">
        <f t="shared" si="4"/>
        <v>setlist</v>
      </c>
      <c r="D26" s="272" t="s">
        <v>2838</v>
      </c>
      <c r="E26" s="272" t="s">
        <v>393</v>
      </c>
      <c r="F26" s="115" t="s">
        <v>394</v>
      </c>
      <c r="G26" s="144"/>
      <c r="H26" s="145"/>
      <c r="I26" s="273"/>
    </row>
    <row r="27">
      <c r="A27" s="103">
        <v>37370.0</v>
      </c>
      <c r="B27" s="104"/>
      <c r="C27" s="105" t="str">
        <f t="shared" si="4"/>
        <v>setlist</v>
      </c>
      <c r="D27" s="181" t="s">
        <v>3464</v>
      </c>
      <c r="E27" s="181" t="s">
        <v>997</v>
      </c>
      <c r="F27" s="107" t="s">
        <v>446</v>
      </c>
      <c r="G27" s="107" t="s">
        <v>36</v>
      </c>
      <c r="H27" s="105" t="str">
        <f>HYPERLINK("http://www.mediafire.com/?ufsaun2dwdugd", "download link")</f>
        <v>download link</v>
      </c>
      <c r="I27" s="260"/>
    </row>
    <row r="28">
      <c r="A28" s="142">
        <v>37371.0</v>
      </c>
      <c r="B28" s="144"/>
      <c r="C28" s="116" t="str">
        <f t="shared" si="4"/>
        <v>setlist</v>
      </c>
      <c r="D28" s="272" t="s">
        <v>2990</v>
      </c>
      <c r="E28" s="272" t="s">
        <v>2991</v>
      </c>
      <c r="F28" s="115" t="s">
        <v>430</v>
      </c>
      <c r="G28" s="115" t="s">
        <v>36</v>
      </c>
      <c r="H28" s="135" t="str">
        <f>HYPERLINK("http://www.mediafire.com/?4lyemnr41qnqj", "download link")</f>
        <v>download link</v>
      </c>
      <c r="I28" s="273"/>
    </row>
    <row r="29">
      <c r="A29" s="103">
        <v>37372.0</v>
      </c>
      <c r="B29" s="104"/>
      <c r="C29" s="105" t="str">
        <f t="shared" si="4"/>
        <v>setlist</v>
      </c>
      <c r="D29" s="181" t="s">
        <v>761</v>
      </c>
      <c r="E29" s="181" t="s">
        <v>437</v>
      </c>
      <c r="F29" s="107" t="s">
        <v>433</v>
      </c>
      <c r="G29" s="107" t="s">
        <v>36</v>
      </c>
      <c r="H29" s="105" t="str">
        <f>HYPERLINK("http://www.mediafire.com/?zk0qf1bhrrbq6", "download link")</f>
        <v>download link</v>
      </c>
      <c r="I29" s="260"/>
    </row>
    <row r="30">
      <c r="A30" s="142">
        <v>37373.0</v>
      </c>
      <c r="B30" s="144"/>
      <c r="C30" s="116" t="str">
        <f t="shared" si="4"/>
        <v>setlist</v>
      </c>
      <c r="D30" s="272" t="s">
        <v>3465</v>
      </c>
      <c r="E30" s="272" t="s">
        <v>585</v>
      </c>
      <c r="F30" s="115" t="s">
        <v>586</v>
      </c>
      <c r="G30" s="115" t="s">
        <v>36</v>
      </c>
      <c r="H30" s="135" t="str">
        <f>HYPERLINK("http://www.mediafire.com/?jt98ve9k87uwg", "download link")</f>
        <v>download link</v>
      </c>
      <c r="I30" s="273"/>
    </row>
    <row r="31">
      <c r="A31" s="350"/>
      <c r="B31" s="351"/>
      <c r="C31" s="352"/>
      <c r="D31" s="356" t="s">
        <v>3466</v>
      </c>
      <c r="E31" s="357"/>
      <c r="F31" s="351"/>
      <c r="G31" s="351"/>
      <c r="H31" s="358"/>
      <c r="I31" s="357"/>
    </row>
    <row r="32">
      <c r="A32" s="110">
        <v>37446.0</v>
      </c>
      <c r="B32" s="111"/>
      <c r="C32" s="116" t="str">
        <f t="shared" ref="C32:C38" si="5">HYPERLINK("http://phish.net/sideshows/page-mcconnell/?d="&amp;RIGHT(TEXT(A32,"mm/dd/yyyy"),4)&amp;"-"&amp;LEFT(TEXT(A32,"mm/dd/yyyy"),2)&amp;"-"&amp;MID(TEXT(A32,"mm/dd/yyyy"),4,2), "setlist")</f>
        <v>setlist</v>
      </c>
      <c r="D32" s="183" t="s">
        <v>1390</v>
      </c>
      <c r="E32" s="183" t="s">
        <v>791</v>
      </c>
      <c r="F32" s="114" t="s">
        <v>701</v>
      </c>
      <c r="G32" s="111"/>
      <c r="H32" s="138"/>
    </row>
    <row r="33">
      <c r="A33" s="103">
        <v>37447.0</v>
      </c>
      <c r="B33" s="104"/>
      <c r="C33" s="105" t="str">
        <f t="shared" si="5"/>
        <v>setlist</v>
      </c>
      <c r="D33" s="181" t="s">
        <v>3413</v>
      </c>
      <c r="E33" s="181" t="s">
        <v>279</v>
      </c>
      <c r="F33" s="107" t="s">
        <v>692</v>
      </c>
      <c r="G33" s="104"/>
      <c r="H33" s="108"/>
      <c r="I33" s="260"/>
    </row>
    <row r="34">
      <c r="A34" s="110">
        <v>37449.0</v>
      </c>
      <c r="B34" s="111"/>
      <c r="C34" s="116" t="str">
        <f t="shared" si="5"/>
        <v>setlist</v>
      </c>
      <c r="D34" s="183" t="s">
        <v>2020</v>
      </c>
      <c r="E34" s="183" t="s">
        <v>683</v>
      </c>
      <c r="F34" s="114" t="s">
        <v>679</v>
      </c>
      <c r="G34" s="114" t="s">
        <v>36</v>
      </c>
      <c r="H34" s="135" t="str">
        <f>HYPERLINK("http://www.mediafire.com/?ids11e202accw", "download link")</f>
        <v>download link</v>
      </c>
    </row>
    <row r="35">
      <c r="A35" s="103">
        <v>37450.0</v>
      </c>
      <c r="B35" s="104"/>
      <c r="C35" s="105" t="str">
        <f t="shared" si="5"/>
        <v>setlist</v>
      </c>
      <c r="D35" s="181" t="s">
        <v>2990</v>
      </c>
      <c r="E35" s="181" t="s">
        <v>3257</v>
      </c>
      <c r="F35" s="107" t="s">
        <v>679</v>
      </c>
      <c r="G35" s="107" t="s">
        <v>36</v>
      </c>
      <c r="H35" s="105" t="str">
        <f>HYPERLINK("http://www.mediafire.com/?yz9siclkqlhdc", "download link")</f>
        <v>download link</v>
      </c>
      <c r="I35" s="260"/>
    </row>
    <row r="36">
      <c r="A36" s="110">
        <v>37452.0</v>
      </c>
      <c r="B36" s="111"/>
      <c r="C36" s="116" t="str">
        <f t="shared" si="5"/>
        <v>setlist</v>
      </c>
      <c r="D36" s="183" t="s">
        <v>897</v>
      </c>
      <c r="E36" s="183" t="s">
        <v>488</v>
      </c>
      <c r="F36" s="114" t="s">
        <v>203</v>
      </c>
      <c r="G36" s="139" t="s">
        <v>36</v>
      </c>
      <c r="H36" s="135" t="str">
        <f>HYPERLINK("http://www.mediafire.com/download/gvyu7yfk1zi62o4/2002-07-15_-_The_Fox_Theatre_-_Boulder%2C_CO.rar", "download link")</f>
        <v>download link</v>
      </c>
    </row>
    <row r="37">
      <c r="A37" s="103">
        <v>37453.0</v>
      </c>
      <c r="B37" s="104"/>
      <c r="C37" s="105" t="str">
        <f t="shared" si="5"/>
        <v>setlist</v>
      </c>
      <c r="D37" s="181" t="s">
        <v>897</v>
      </c>
      <c r="E37" s="181" t="s">
        <v>488</v>
      </c>
      <c r="F37" s="107" t="s">
        <v>203</v>
      </c>
      <c r="G37" s="107" t="s">
        <v>36</v>
      </c>
      <c r="H37" s="105" t="str">
        <f>HYPERLINK("http://www.mediafire.com/?ayf6979m19q1y", "download link")</f>
        <v>download link</v>
      </c>
      <c r="I37" s="260"/>
    </row>
    <row r="38">
      <c r="A38" s="110">
        <v>37455.0</v>
      </c>
      <c r="B38" s="111"/>
      <c r="C38" s="116" t="str">
        <f t="shared" si="5"/>
        <v>setlist</v>
      </c>
      <c r="D38" s="183" t="s">
        <v>884</v>
      </c>
      <c r="E38" s="183" t="s">
        <v>885</v>
      </c>
      <c r="F38" s="114" t="s">
        <v>886</v>
      </c>
      <c r="G38" s="111"/>
      <c r="H38" s="138"/>
    </row>
    <row r="39">
      <c r="A39" s="103">
        <v>37456.0</v>
      </c>
      <c r="B39" s="104"/>
      <c r="C39" s="105" t="str">
        <f>HYPERLINK("http://phish.net/sideshows/page-mcconnell/?showid=1300728619", "setlist")</f>
        <v>setlist</v>
      </c>
      <c r="D39" s="181" t="s">
        <v>1080</v>
      </c>
      <c r="E39" s="181" t="s">
        <v>479</v>
      </c>
      <c r="F39" s="107" t="s">
        <v>480</v>
      </c>
      <c r="G39" s="107" t="s">
        <v>36</v>
      </c>
      <c r="H39" s="105" t="str">
        <f>HYPERLINK("http://www.mediafire.com/?a9hcyzovcct7y", "download link")</f>
        <v>download link</v>
      </c>
      <c r="I39" s="260"/>
    </row>
    <row r="40">
      <c r="A40" s="110">
        <v>37457.0</v>
      </c>
      <c r="B40" s="111"/>
      <c r="C40" s="116" t="str">
        <f>HYPERLINK("http://phish.net/sideshows/page-mcconnell/?showid=1300728760", "setlist")</f>
        <v>setlist</v>
      </c>
      <c r="D40" s="183" t="s">
        <v>3467</v>
      </c>
      <c r="E40" s="183" t="s">
        <v>946</v>
      </c>
      <c r="F40" s="114" t="s">
        <v>712</v>
      </c>
      <c r="G40" s="111"/>
      <c r="H40" s="138"/>
    </row>
    <row r="41">
      <c r="A41" s="103">
        <v>37458.0</v>
      </c>
      <c r="B41" s="104"/>
      <c r="C41" s="105" t="str">
        <f t="shared" ref="C41:C43" si="6">HYPERLINK("http://phish.net/sideshows/page-mcconnell/?d="&amp;RIGHT(TEXT(A41,"mm/dd/yyyy"),4)&amp;"-"&amp;LEFT(TEXT(A41,"mm/dd/yyyy"),2)&amp;"-"&amp;MID(TEXT(A41,"mm/dd/yyyy"),4,2), "setlist")</f>
        <v>setlist</v>
      </c>
      <c r="D41" s="181" t="s">
        <v>942</v>
      </c>
      <c r="E41" s="181" t="s">
        <v>943</v>
      </c>
      <c r="F41" s="107" t="s">
        <v>472</v>
      </c>
      <c r="G41" s="104"/>
      <c r="H41" s="108"/>
      <c r="I41" s="260"/>
    </row>
    <row r="42">
      <c r="A42" s="110">
        <v>37460.0</v>
      </c>
      <c r="B42" s="111"/>
      <c r="C42" s="116" t="str">
        <f t="shared" si="6"/>
        <v>setlist</v>
      </c>
      <c r="D42" s="183" t="s">
        <v>1072</v>
      </c>
      <c r="E42" s="183" t="s">
        <v>1073</v>
      </c>
      <c r="F42" s="114" t="s">
        <v>212</v>
      </c>
      <c r="G42" s="114" t="s">
        <v>36</v>
      </c>
      <c r="H42" s="135" t="str">
        <f>HYPERLINK("http://www.mediafire.com/?fb2sb2nod1txz", "download link")</f>
        <v>download link</v>
      </c>
    </row>
    <row r="43">
      <c r="A43" s="103">
        <v>37461.0</v>
      </c>
      <c r="B43" s="104"/>
      <c r="C43" s="105" t="str">
        <f t="shared" si="6"/>
        <v>setlist</v>
      </c>
      <c r="D43" s="181" t="s">
        <v>3210</v>
      </c>
      <c r="E43" s="181" t="s">
        <v>162</v>
      </c>
      <c r="F43" s="107" t="s">
        <v>129</v>
      </c>
      <c r="G43" s="104"/>
      <c r="H43" s="108"/>
      <c r="I43" s="260"/>
    </row>
    <row r="44">
      <c r="A44" s="110">
        <v>37462.0</v>
      </c>
      <c r="B44" s="111"/>
      <c r="C44" s="116" t="str">
        <f>HYPERLINK("http://phish.net/sideshows/page-mcconnell/?showid=1300728906", "setlist")</f>
        <v>setlist</v>
      </c>
      <c r="D44" s="183" t="s">
        <v>1193</v>
      </c>
      <c r="E44" s="183" t="s">
        <v>279</v>
      </c>
      <c r="F44" s="114" t="s">
        <v>257</v>
      </c>
      <c r="G44" s="114" t="s">
        <v>36</v>
      </c>
      <c r="H44" s="135" t="str">
        <f>HYPERLINK("http://www.mediafire.com/?jbeama941kccg", "download link")</f>
        <v>download link</v>
      </c>
    </row>
    <row r="45">
      <c r="A45" s="103">
        <v>37463.0</v>
      </c>
      <c r="B45" s="104"/>
      <c r="C45" s="105" t="str">
        <f>HYPERLINK("http://phish.net/sideshows/page-mcconnell/?showid=1300728932", "setlist")</f>
        <v>setlist</v>
      </c>
      <c r="D45" s="181" t="s">
        <v>3234</v>
      </c>
      <c r="E45" s="181" t="s">
        <v>94</v>
      </c>
      <c r="F45" s="107" t="s">
        <v>95</v>
      </c>
      <c r="G45" s="107" t="s">
        <v>36</v>
      </c>
      <c r="H45" s="105" t="str">
        <f>HYPERLINK("http://www.mediafire.com/?nchktsaftx88d", "download link")</f>
        <v>download link</v>
      </c>
      <c r="I45" s="260"/>
    </row>
    <row r="46">
      <c r="A46" s="110">
        <v>37464.0</v>
      </c>
      <c r="B46" s="111"/>
      <c r="C46" s="116" t="str">
        <f>HYPERLINK("http://phish.net/sideshows/page-mcconnell/?showid=1300728984", "setlist")</f>
        <v>setlist</v>
      </c>
      <c r="D46" s="183" t="s">
        <v>2903</v>
      </c>
      <c r="E46" s="183" t="s">
        <v>871</v>
      </c>
      <c r="F46" s="114" t="s">
        <v>212</v>
      </c>
      <c r="G46" s="114" t="s">
        <v>36</v>
      </c>
      <c r="H46" s="135" t="str">
        <f>HYPERLINK("http://www.mediafire.com/?ks4byx5j22bnx", "download link")</f>
        <v>download link</v>
      </c>
    </row>
    <row r="47">
      <c r="A47" s="350"/>
      <c r="B47" s="351"/>
      <c r="C47" s="352"/>
      <c r="D47" s="356" t="s">
        <v>3461</v>
      </c>
      <c r="E47" s="357"/>
      <c r="F47" s="351"/>
      <c r="G47" s="351"/>
      <c r="H47" s="358"/>
      <c r="I47" s="357"/>
    </row>
    <row r="48">
      <c r="A48" s="110">
        <v>37720.0</v>
      </c>
      <c r="B48" s="111"/>
      <c r="C48" s="116" t="str">
        <f t="shared" ref="C48:C52" si="7">HYPERLINK("http://phish.net/sideshows/page-mcconnell/?d="&amp;RIGHT(TEXT(A48,"mm/dd/yyyy"),4)&amp;"-"&amp;LEFT(TEXT(A48,"mm/dd/yyyy"),2)&amp;"-"&amp;MID(TEXT(A48,"mm/dd/yyyy"),4,2), "setlist")</f>
        <v>setlist</v>
      </c>
      <c r="D48" s="183" t="s">
        <v>1080</v>
      </c>
      <c r="E48" s="183" t="s">
        <v>479</v>
      </c>
      <c r="F48" s="114" t="s">
        <v>480</v>
      </c>
      <c r="G48" s="114" t="s">
        <v>36</v>
      </c>
      <c r="H48" s="135" t="str">
        <f>HYPERLINK("http://www.mediafire.com/?ku3nap5q2u3p3", "download link")</f>
        <v>download link</v>
      </c>
    </row>
    <row r="49">
      <c r="A49" s="103">
        <v>37721.0</v>
      </c>
      <c r="B49" s="104"/>
      <c r="C49" s="105" t="str">
        <f t="shared" si="7"/>
        <v>setlist</v>
      </c>
      <c r="D49" s="181" t="s">
        <v>3468</v>
      </c>
      <c r="E49" s="181" t="s">
        <v>471</v>
      </c>
      <c r="F49" s="107" t="s">
        <v>472</v>
      </c>
      <c r="G49" s="104"/>
      <c r="H49" s="108"/>
      <c r="I49" s="260"/>
    </row>
    <row r="50">
      <c r="A50" s="110">
        <v>37722.0</v>
      </c>
      <c r="B50" s="111"/>
      <c r="C50" s="116" t="str">
        <f t="shared" si="7"/>
        <v>setlist</v>
      </c>
      <c r="D50" s="183" t="s">
        <v>2903</v>
      </c>
      <c r="E50" s="183" t="s">
        <v>871</v>
      </c>
      <c r="F50" s="114" t="s">
        <v>212</v>
      </c>
      <c r="G50" s="114" t="s">
        <v>36</v>
      </c>
      <c r="H50" s="135" t="str">
        <f>HYPERLINK("http://www.mediafire.com/?vojsmz4gs94ml", "download link")</f>
        <v>download link</v>
      </c>
      <c r="I50" s="183" t="s">
        <v>3469</v>
      </c>
    </row>
    <row r="51">
      <c r="A51" s="103">
        <v>37723.0</v>
      </c>
      <c r="B51" s="104"/>
      <c r="C51" s="105" t="str">
        <f t="shared" si="7"/>
        <v>setlist</v>
      </c>
      <c r="D51" s="181" t="s">
        <v>3018</v>
      </c>
      <c r="E51" s="181" t="s">
        <v>297</v>
      </c>
      <c r="F51" s="107" t="s">
        <v>298</v>
      </c>
      <c r="G51" s="104"/>
      <c r="H51" s="108"/>
      <c r="I51" s="181" t="s">
        <v>3469</v>
      </c>
    </row>
    <row r="52">
      <c r="A52" s="110">
        <v>37724.0</v>
      </c>
      <c r="B52" s="111"/>
      <c r="C52" s="116" t="str">
        <f t="shared" si="7"/>
        <v>setlist</v>
      </c>
      <c r="D52" s="183" t="s">
        <v>458</v>
      </c>
      <c r="E52" s="183" t="s">
        <v>459</v>
      </c>
      <c r="F52" s="114" t="s">
        <v>171</v>
      </c>
      <c r="G52" s="111"/>
      <c r="H52" s="138"/>
    </row>
    <row r="53">
      <c r="A53" s="350"/>
      <c r="B53" s="351"/>
      <c r="C53" s="352"/>
      <c r="D53" s="356" t="s">
        <v>3470</v>
      </c>
      <c r="E53" s="357"/>
      <c r="F53" s="351"/>
      <c r="G53" s="351"/>
      <c r="H53" s="358"/>
      <c r="I53" s="357"/>
    </row>
    <row r="54">
      <c r="A54" s="110">
        <v>37989.0</v>
      </c>
      <c r="B54" s="111"/>
      <c r="C54" s="116" t="str">
        <f>HYPERLINK("http://phish.net/sideshows/page-mcconnell/?showid=1300729529", "setlist")</f>
        <v>setlist</v>
      </c>
      <c r="D54" s="183" t="s">
        <v>3471</v>
      </c>
      <c r="E54" s="183" t="s">
        <v>1138</v>
      </c>
      <c r="F54" s="114" t="s">
        <v>1133</v>
      </c>
      <c r="G54" s="111"/>
      <c r="H54" s="138"/>
    </row>
    <row r="55">
      <c r="A55" s="103">
        <v>37990.0</v>
      </c>
      <c r="B55" s="104"/>
      <c r="C55" s="105" t="str">
        <f>HYPERLINK("http://phish.net/sideshows/page-mcconnell/?showid=1300730008", "setlist")</f>
        <v>setlist</v>
      </c>
      <c r="D55" s="181" t="s">
        <v>3265</v>
      </c>
      <c r="E55" s="181" t="s">
        <v>3154</v>
      </c>
      <c r="F55" s="107" t="s">
        <v>1133</v>
      </c>
      <c r="G55" s="104"/>
      <c r="H55" s="108"/>
      <c r="I55" s="260"/>
    </row>
    <row r="56">
      <c r="A56" s="110">
        <v>37991.0</v>
      </c>
      <c r="B56" s="111"/>
      <c r="C56" s="116" t="str">
        <f>HYPERLINK("http://phish.net/sideshows/page-mcconnell/?showid=1300730061", "setlist")</f>
        <v>setlist</v>
      </c>
      <c r="D56" s="183" t="s">
        <v>1129</v>
      </c>
      <c r="E56" s="183" t="s">
        <v>437</v>
      </c>
      <c r="F56" s="114" t="s">
        <v>433</v>
      </c>
      <c r="G56" s="111"/>
      <c r="H56" s="138"/>
    </row>
    <row r="57">
      <c r="A57" s="103">
        <v>37993.0</v>
      </c>
      <c r="B57" s="104"/>
      <c r="C57" s="105" t="str">
        <f>HYPERLINK("http://phish.net/sideshows/page-mcconnell/?showid=1300730091", "setlist")</f>
        <v>setlist</v>
      </c>
      <c r="D57" s="181" t="s">
        <v>2953</v>
      </c>
      <c r="E57" s="181" t="s">
        <v>2327</v>
      </c>
      <c r="F57" s="107" t="s">
        <v>443</v>
      </c>
      <c r="G57" s="104"/>
      <c r="H57" s="108"/>
      <c r="I57" s="260"/>
    </row>
    <row r="58">
      <c r="A58" s="110">
        <v>37994.0</v>
      </c>
      <c r="B58" s="111"/>
      <c r="C58" s="116" t="str">
        <f>HYPERLINK("http://phish.net/sideshows/page-mcconnell/?showid=1300730119", "setlist")</f>
        <v>setlist</v>
      </c>
      <c r="D58" s="183" t="s">
        <v>2838</v>
      </c>
      <c r="E58" s="183" t="s">
        <v>393</v>
      </c>
      <c r="F58" s="114" t="s">
        <v>394</v>
      </c>
      <c r="G58" s="111"/>
      <c r="H58" s="138"/>
    </row>
    <row r="59">
      <c r="A59" s="103">
        <v>37995.0</v>
      </c>
      <c r="B59" s="104"/>
      <c r="C59" s="105" t="str">
        <f>HYPERLINK("http://phish.net/sideshows/page-mcconnell/?showid=1300730145", "setlist")</f>
        <v>setlist</v>
      </c>
      <c r="D59" s="181" t="s">
        <v>2903</v>
      </c>
      <c r="E59" s="181" t="s">
        <v>871</v>
      </c>
      <c r="F59" s="107" t="s">
        <v>212</v>
      </c>
      <c r="G59" s="104"/>
      <c r="H59" s="108"/>
      <c r="I59" s="260"/>
    </row>
    <row r="60">
      <c r="A60" s="110">
        <v>37996.0</v>
      </c>
      <c r="B60" s="111"/>
      <c r="C60" s="116" t="str">
        <f>HYPERLINK("http://phish.net/sideshows/page-mcconnell/?showid=1300730182", "setlist")</f>
        <v>setlist</v>
      </c>
      <c r="D60" s="183" t="s">
        <v>863</v>
      </c>
      <c r="E60" s="183" t="s">
        <v>162</v>
      </c>
      <c r="F60" s="114" t="s">
        <v>129</v>
      </c>
      <c r="G60" s="111"/>
      <c r="H60" s="138"/>
    </row>
    <row r="61">
      <c r="A61" s="103">
        <v>37998.0</v>
      </c>
      <c r="B61" s="104"/>
      <c r="C61" s="105" t="str">
        <f>HYPERLINK("http://phish.net/sideshows/page-mcconnell/?showid=1300730213", "setlist")</f>
        <v>setlist</v>
      </c>
      <c r="D61" s="181" t="s">
        <v>2817</v>
      </c>
      <c r="E61" s="181" t="s">
        <v>854</v>
      </c>
      <c r="F61" s="107" t="s">
        <v>35</v>
      </c>
      <c r="G61" s="104"/>
      <c r="H61" s="108"/>
      <c r="I61" s="260"/>
    </row>
    <row r="62">
      <c r="A62" s="350"/>
      <c r="B62" s="351"/>
      <c r="C62" s="352"/>
      <c r="D62" s="356" t="s">
        <v>3472</v>
      </c>
      <c r="E62" s="357"/>
      <c r="F62" s="351"/>
      <c r="G62" s="351"/>
      <c r="H62" s="358"/>
      <c r="I62" s="357"/>
    </row>
    <row r="63">
      <c r="A63" s="110">
        <v>38141.0</v>
      </c>
      <c r="B63" s="111"/>
      <c r="C63" s="116" t="str">
        <f>HYPERLINK("http://phish.net/sideshows/page-mcconnell/?showid=1300730412", "setlist")</f>
        <v>setlist</v>
      </c>
      <c r="D63" s="183" t="s">
        <v>2950</v>
      </c>
      <c r="E63" s="183" t="s">
        <v>1381</v>
      </c>
      <c r="F63" s="114" t="s">
        <v>679</v>
      </c>
      <c r="G63" s="111"/>
      <c r="H63" s="138"/>
    </row>
    <row r="64">
      <c r="A64" s="103">
        <v>38142.0</v>
      </c>
      <c r="B64" s="104"/>
      <c r="C64" s="105" t="str">
        <f>HYPERLINK("http://phish.net/sideshows/page-mcconnell/?showid=1300730466", "setlist")</f>
        <v>setlist</v>
      </c>
      <c r="D64" s="181" t="s">
        <v>2990</v>
      </c>
      <c r="E64" s="181" t="s">
        <v>3257</v>
      </c>
      <c r="F64" s="107" t="s">
        <v>679</v>
      </c>
      <c r="G64" s="104"/>
      <c r="H64" s="108"/>
      <c r="I64" s="260"/>
    </row>
    <row r="65">
      <c r="A65" s="110">
        <v>38143.0</v>
      </c>
      <c r="B65" s="111"/>
      <c r="C65" s="116" t="str">
        <f>HYPERLINK("http://phish.net/sideshows/page-mcconnell/?showid=1300730500", "setlist")</f>
        <v>setlist</v>
      </c>
      <c r="D65" s="183" t="s">
        <v>2020</v>
      </c>
      <c r="E65" s="183" t="s">
        <v>683</v>
      </c>
      <c r="F65" s="114" t="s">
        <v>679</v>
      </c>
      <c r="G65" s="114" t="s">
        <v>36</v>
      </c>
      <c r="H65" s="135" t="str">
        <f>HYPERLINK("http://www.mediafire.com/?b3fni2zwlea73", "download link")</f>
        <v>download link</v>
      </c>
    </row>
    <row r="66">
      <c r="A66" s="103">
        <v>38149.0</v>
      </c>
      <c r="B66" s="104"/>
      <c r="C66" s="105" t="str">
        <f>HYPERLINK("http://phish.net/sideshows/page-mcconnell/?showid=1300730761", "setlist")</f>
        <v>setlist</v>
      </c>
      <c r="D66" s="181" t="s">
        <v>2333</v>
      </c>
      <c r="E66" s="181" t="s">
        <v>2332</v>
      </c>
      <c r="F66" s="107" t="s">
        <v>650</v>
      </c>
      <c r="G66" s="104"/>
      <c r="H66" s="108"/>
      <c r="I66" s="260"/>
    </row>
    <row r="67">
      <c r="A67" s="350"/>
      <c r="B67" s="351"/>
      <c r="C67" s="352"/>
      <c r="D67" s="356" t="s">
        <v>3473</v>
      </c>
      <c r="E67" s="357"/>
      <c r="F67" s="351"/>
      <c r="G67" s="351"/>
      <c r="H67" s="358"/>
      <c r="I67" s="357"/>
    </row>
    <row r="68">
      <c r="A68" s="110">
        <v>38611.0</v>
      </c>
      <c r="B68" s="111"/>
      <c r="C68" s="116" t="str">
        <f>HYPERLINK("http://phish.net/sideshows/guest-appearance/?showid=1355712579", "setlist")</f>
        <v>setlist</v>
      </c>
      <c r="D68" s="183" t="s">
        <v>744</v>
      </c>
      <c r="E68" s="183" t="s">
        <v>34</v>
      </c>
      <c r="F68" s="114" t="s">
        <v>35</v>
      </c>
      <c r="G68" s="111"/>
      <c r="H68" s="138"/>
    </row>
    <row r="69">
      <c r="A69" s="350"/>
      <c r="B69" s="351"/>
      <c r="C69" s="352"/>
      <c r="D69" s="356" t="s">
        <v>3474</v>
      </c>
      <c r="E69" s="357"/>
      <c r="F69" s="351"/>
      <c r="G69" s="351"/>
      <c r="H69" s="358"/>
      <c r="I69" s="357"/>
    </row>
    <row r="70">
      <c r="A70" s="110">
        <v>38961.0</v>
      </c>
      <c r="B70" s="111"/>
      <c r="C70" s="116" t="str">
        <f>HYPERLINK("http://phish.net/sideshows/page-mcconnell/?d="&amp;RIGHT(TEXT(A70,"mm/dd/yyyy"),4)&amp;"-"&amp;LEFT(TEXT(A70,"mm/dd/yyyy"),2)&amp;"-"&amp;MID(TEXT(A70,"mm/dd/yyyy"),4,2), "setlist")</f>
        <v>setlist</v>
      </c>
      <c r="D70" s="183" t="s">
        <v>3475</v>
      </c>
      <c r="E70" s="183" t="s">
        <v>3239</v>
      </c>
      <c r="F70" s="114" t="s">
        <v>129</v>
      </c>
      <c r="G70" s="114">
        <v>192.0</v>
      </c>
      <c r="H70" s="135" t="str">
        <f>HYPERLINK("http://www.mediafire.com/?0xeura3ioiicm", "download link")</f>
        <v>download link</v>
      </c>
    </row>
    <row r="71">
      <c r="A71" s="350"/>
      <c r="B71" s="351"/>
      <c r="C71" s="352"/>
      <c r="D71" s="356" t="s">
        <v>3474</v>
      </c>
      <c r="E71" s="357"/>
      <c r="F71" s="351"/>
      <c r="G71" s="351"/>
      <c r="H71" s="358"/>
      <c r="I71" s="357"/>
    </row>
    <row r="72">
      <c r="A72" s="110">
        <v>39171.0</v>
      </c>
      <c r="B72" s="114" t="s">
        <v>32</v>
      </c>
      <c r="C72" s="116" t="str">
        <f t="shared" ref="C72:C88" si="8">HYPERLINK("http://phish.net/sideshows/page-mcconnell/?d="&amp;RIGHT(TEXT(A72,"mm/dd/yyyy"),4)&amp;"-"&amp;LEFT(TEXT(A72,"mm/dd/yyyy"),2)&amp;"-"&amp;MID(TEXT(A72,"mm/dd/yyyy"),4,2), "setlist")</f>
        <v>setlist</v>
      </c>
      <c r="D72" s="183" t="s">
        <v>3476</v>
      </c>
      <c r="E72" s="183" t="s">
        <v>871</v>
      </c>
      <c r="F72" s="114" t="s">
        <v>212</v>
      </c>
      <c r="G72" s="114">
        <v>192.0</v>
      </c>
      <c r="H72" s="135" t="str">
        <f>HYPERLINK("http://www.mediafire.com/?ztzzzqfv866f6", "download link")</f>
        <v>download link</v>
      </c>
    </row>
    <row r="73">
      <c r="A73" s="103">
        <v>39176.0</v>
      </c>
      <c r="B73" s="104"/>
      <c r="C73" s="105" t="str">
        <f t="shared" si="8"/>
        <v>setlist</v>
      </c>
      <c r="D73" s="181" t="s">
        <v>3477</v>
      </c>
      <c r="E73" s="181" t="s">
        <v>162</v>
      </c>
      <c r="F73" s="107" t="s">
        <v>129</v>
      </c>
      <c r="G73" s="107" t="s">
        <v>36</v>
      </c>
      <c r="H73" s="105" t="str">
        <f>HYPERLINK("http://www.mediafire.com/?qrfnsm22lzrcb", "download link")</f>
        <v>download link</v>
      </c>
      <c r="I73" s="260"/>
    </row>
    <row r="74">
      <c r="A74" s="142">
        <v>39232.0</v>
      </c>
      <c r="B74" s="144"/>
      <c r="C74" s="116" t="str">
        <f t="shared" si="8"/>
        <v>setlist</v>
      </c>
      <c r="D74" s="272" t="s">
        <v>2817</v>
      </c>
      <c r="E74" s="272" t="s">
        <v>2826</v>
      </c>
      <c r="F74" s="115" t="s">
        <v>35</v>
      </c>
      <c r="G74" s="115" t="s">
        <v>36</v>
      </c>
      <c r="H74" s="116" t="str">
        <f>HYPERLINK("http://www.mediafire.com/?s984i15ecdbib", "download link")</f>
        <v>download link</v>
      </c>
      <c r="I74" s="273"/>
    </row>
    <row r="75">
      <c r="A75" s="103">
        <v>39233.0</v>
      </c>
      <c r="B75" s="104"/>
      <c r="C75" s="105" t="str">
        <f t="shared" si="8"/>
        <v>setlist</v>
      </c>
      <c r="D75" s="181" t="s">
        <v>3234</v>
      </c>
      <c r="E75" s="181" t="s">
        <v>94</v>
      </c>
      <c r="F75" s="107" t="s">
        <v>95</v>
      </c>
      <c r="G75" s="107" t="s">
        <v>36</v>
      </c>
      <c r="H75" s="105" t="str">
        <f>HYPERLINK("http://www.mediafire.com/?n8kg3kpxvd24k", "download link")</f>
        <v>download link</v>
      </c>
      <c r="I75" s="260"/>
    </row>
    <row r="76">
      <c r="A76" s="142">
        <v>39234.0</v>
      </c>
      <c r="B76" s="144"/>
      <c r="C76" s="116" t="str">
        <f t="shared" si="8"/>
        <v>setlist</v>
      </c>
      <c r="D76" s="272" t="s">
        <v>3018</v>
      </c>
      <c r="E76" s="272" t="s">
        <v>297</v>
      </c>
      <c r="F76" s="115" t="s">
        <v>298</v>
      </c>
      <c r="G76" s="115" t="s">
        <v>36</v>
      </c>
      <c r="H76" s="116" t="str">
        <f>HYPERLINK("http://www.mediafire.com/?8m7ud9cl46fei", "download link")</f>
        <v>download link</v>
      </c>
      <c r="I76" s="273"/>
    </row>
    <row r="77">
      <c r="A77" s="103">
        <v>39235.0</v>
      </c>
      <c r="B77" s="104"/>
      <c r="C77" s="105" t="str">
        <f t="shared" si="8"/>
        <v>setlist</v>
      </c>
      <c r="D77" s="181" t="s">
        <v>3224</v>
      </c>
      <c r="E77" s="181" t="s">
        <v>871</v>
      </c>
      <c r="F77" s="107" t="s">
        <v>212</v>
      </c>
      <c r="G77" s="107" t="s">
        <v>36</v>
      </c>
      <c r="H77" s="105" t="str">
        <f>HYPERLINK("http://www.mediafire.com/?avd6cleniezb0", "download link")</f>
        <v>download link</v>
      </c>
      <c r="I77" s="260"/>
    </row>
    <row r="78">
      <c r="A78" s="142">
        <v>39237.0</v>
      </c>
      <c r="B78" s="144"/>
      <c r="C78" s="116" t="str">
        <f t="shared" si="8"/>
        <v>setlist</v>
      </c>
      <c r="D78" s="272" t="s">
        <v>3210</v>
      </c>
      <c r="E78" s="272" t="s">
        <v>162</v>
      </c>
      <c r="F78" s="115" t="s">
        <v>129</v>
      </c>
      <c r="G78" s="115" t="s">
        <v>36</v>
      </c>
      <c r="H78" s="116" t="str">
        <f>HYPERLINK("http://www.mediafire.com/?q4wtcirou17nb", "download link")</f>
        <v>download link</v>
      </c>
      <c r="I78" s="273"/>
    </row>
    <row r="79">
      <c r="A79" s="103">
        <v>39238.0</v>
      </c>
      <c r="B79" s="104"/>
      <c r="C79" s="105" t="str">
        <f t="shared" si="8"/>
        <v>setlist</v>
      </c>
      <c r="D79" s="181" t="s">
        <v>2838</v>
      </c>
      <c r="E79" s="181" t="s">
        <v>393</v>
      </c>
      <c r="F79" s="107" t="s">
        <v>394</v>
      </c>
      <c r="G79" s="107" t="s">
        <v>36</v>
      </c>
      <c r="H79" s="105" t="str">
        <f>HYPERLINK("http://www.mediafire.com/?b6xvltvl2cy86", "download link")</f>
        <v>download link</v>
      </c>
      <c r="I79" s="260"/>
    </row>
    <row r="80">
      <c r="A80" s="142">
        <v>39240.0</v>
      </c>
      <c r="B80" s="144"/>
      <c r="C80" s="116" t="str">
        <f t="shared" si="8"/>
        <v>setlist</v>
      </c>
      <c r="D80" s="272" t="s">
        <v>761</v>
      </c>
      <c r="E80" s="272" t="s">
        <v>3478</v>
      </c>
      <c r="F80" s="115" t="s">
        <v>433</v>
      </c>
      <c r="G80" s="144"/>
      <c r="H80" s="145"/>
      <c r="I80" s="273"/>
    </row>
    <row r="81">
      <c r="A81" s="103">
        <v>39241.0</v>
      </c>
      <c r="B81" s="104"/>
      <c r="C81" s="105" t="str">
        <f t="shared" si="8"/>
        <v>setlist</v>
      </c>
      <c r="D81" s="181" t="s">
        <v>2953</v>
      </c>
      <c r="E81" s="181" t="s">
        <v>2327</v>
      </c>
      <c r="F81" s="107" t="s">
        <v>443</v>
      </c>
      <c r="G81" s="107" t="s">
        <v>36</v>
      </c>
      <c r="H81" s="105" t="str">
        <f>HYPERLINK("http://www.mediafire.com/?5txzzs9zsr8bf", "download link")</f>
        <v>download link</v>
      </c>
      <c r="I81" s="260"/>
    </row>
    <row r="82">
      <c r="A82" s="142">
        <v>39242.0</v>
      </c>
      <c r="B82" s="144"/>
      <c r="C82" s="116" t="str">
        <f t="shared" si="8"/>
        <v>setlist</v>
      </c>
      <c r="D82" s="272" t="s">
        <v>942</v>
      </c>
      <c r="E82" s="272" t="s">
        <v>943</v>
      </c>
      <c r="F82" s="115" t="s">
        <v>472</v>
      </c>
      <c r="G82" s="144"/>
      <c r="H82" s="145"/>
      <c r="I82" s="273"/>
    </row>
    <row r="83">
      <c r="A83" s="103">
        <v>39243.0</v>
      </c>
      <c r="B83" s="104"/>
      <c r="C83" s="105" t="str">
        <f t="shared" si="8"/>
        <v>setlist</v>
      </c>
      <c r="D83" s="181" t="s">
        <v>3335</v>
      </c>
      <c r="E83" s="181" t="s">
        <v>1289</v>
      </c>
      <c r="F83" s="107" t="s">
        <v>508</v>
      </c>
      <c r="G83" s="107" t="s">
        <v>36</v>
      </c>
      <c r="H83" s="105" t="str">
        <f>HYPERLINK("http://www.mediafire.com/?4z9vmj9q97bom", "download link")</f>
        <v>download link</v>
      </c>
      <c r="I83" s="260"/>
    </row>
    <row r="84">
      <c r="A84" s="142">
        <v>39245.0</v>
      </c>
      <c r="B84" s="144"/>
      <c r="C84" s="116" t="str">
        <f t="shared" si="8"/>
        <v>setlist</v>
      </c>
      <c r="D84" s="272" t="s">
        <v>3467</v>
      </c>
      <c r="E84" s="272" t="s">
        <v>946</v>
      </c>
      <c r="F84" s="115" t="s">
        <v>712</v>
      </c>
      <c r="G84" s="144"/>
      <c r="H84" s="145"/>
      <c r="I84" s="273"/>
    </row>
    <row r="85">
      <c r="A85" s="103">
        <v>39246.0</v>
      </c>
      <c r="B85" s="104"/>
      <c r="C85" s="105" t="str">
        <f t="shared" si="8"/>
        <v>setlist</v>
      </c>
      <c r="D85" s="181" t="s">
        <v>1080</v>
      </c>
      <c r="E85" s="181" t="s">
        <v>479</v>
      </c>
      <c r="F85" s="107" t="s">
        <v>480</v>
      </c>
      <c r="G85" s="107" t="s">
        <v>36</v>
      </c>
      <c r="H85" s="105" t="str">
        <f>HYPERLINK("http://www.mediafire.com/?t4ce43707vwky", "download link")</f>
        <v>download link</v>
      </c>
      <c r="I85" s="260"/>
    </row>
    <row r="86">
      <c r="A86" s="142">
        <v>39247.0</v>
      </c>
      <c r="B86" s="144"/>
      <c r="C86" s="116" t="str">
        <f t="shared" si="8"/>
        <v>setlist</v>
      </c>
      <c r="D86" s="272" t="s">
        <v>3479</v>
      </c>
      <c r="E86" s="272" t="s">
        <v>485</v>
      </c>
      <c r="F86" s="115" t="s">
        <v>486</v>
      </c>
      <c r="G86" s="144"/>
      <c r="H86" s="145"/>
      <c r="I86" s="273"/>
    </row>
    <row r="87">
      <c r="A87" s="103">
        <v>39269.0</v>
      </c>
      <c r="B87" s="104"/>
      <c r="C87" s="105" t="str">
        <f t="shared" si="8"/>
        <v>setlist</v>
      </c>
      <c r="D87" s="181" t="s">
        <v>2990</v>
      </c>
      <c r="E87" s="181" t="s">
        <v>1381</v>
      </c>
      <c r="F87" s="107" t="s">
        <v>679</v>
      </c>
      <c r="G87" s="104"/>
      <c r="H87" s="108"/>
      <c r="I87" s="260"/>
    </row>
    <row r="88">
      <c r="A88" s="142">
        <v>39270.0</v>
      </c>
      <c r="B88" s="144"/>
      <c r="C88" s="116" t="str">
        <f t="shared" si="8"/>
        <v>setlist</v>
      </c>
      <c r="D88" s="272" t="s">
        <v>2990</v>
      </c>
      <c r="E88" s="272" t="s">
        <v>3257</v>
      </c>
      <c r="F88" s="115" t="s">
        <v>679</v>
      </c>
      <c r="G88" s="144"/>
      <c r="H88" s="145"/>
      <c r="I88" s="273"/>
    </row>
    <row r="89">
      <c r="A89" s="103">
        <v>39271.0</v>
      </c>
      <c r="B89" s="104"/>
      <c r="C89" s="105" t="str">
        <f>HYPERLINK("http://phish.net/sideshows/page-mcconnell/?showid=1327334976", "setlist")</f>
        <v>setlist</v>
      </c>
      <c r="D89" s="181" t="s">
        <v>3110</v>
      </c>
      <c r="E89" s="181" t="s">
        <v>3111</v>
      </c>
      <c r="F89" s="107" t="s">
        <v>679</v>
      </c>
      <c r="G89" s="107" t="s">
        <v>36</v>
      </c>
      <c r="H89" s="105" t="str">
        <f>HYPERLINK("http://www.mediafire.com/?mseksm3z9i8dy", "download link")</f>
        <v>download link</v>
      </c>
      <c r="I89" s="181" t="s">
        <v>3480</v>
      </c>
    </row>
    <row r="90">
      <c r="A90" s="142">
        <v>39273.0</v>
      </c>
      <c r="B90" s="144"/>
      <c r="C90" s="116" t="str">
        <f t="shared" ref="C90:C95" si="9">HYPERLINK("http://phish.net/sideshows/page-mcconnell/?d="&amp;RIGHT(TEXT(A90,"mm/dd/yyyy"),4)&amp;"-"&amp;LEFT(TEXT(A90,"mm/dd/yyyy"),2)&amp;"-"&amp;MID(TEXT(A90,"mm/dd/yyyy"),4,2), "setlist")</f>
        <v>setlist</v>
      </c>
      <c r="D90" s="272" t="s">
        <v>2020</v>
      </c>
      <c r="E90" s="272" t="s">
        <v>683</v>
      </c>
      <c r="F90" s="115" t="s">
        <v>679</v>
      </c>
      <c r="G90" s="144"/>
      <c r="H90" s="145"/>
      <c r="I90" s="273"/>
    </row>
    <row r="91">
      <c r="A91" s="103">
        <v>39274.0</v>
      </c>
      <c r="B91" s="104"/>
      <c r="C91" s="105" t="str">
        <f t="shared" si="9"/>
        <v>setlist</v>
      </c>
      <c r="D91" s="181" t="s">
        <v>3318</v>
      </c>
      <c r="E91" s="181" t="s">
        <v>279</v>
      </c>
      <c r="F91" s="107" t="s">
        <v>692</v>
      </c>
      <c r="G91" s="107" t="s">
        <v>36</v>
      </c>
      <c r="H91" s="105" t="str">
        <f>HYPERLINK("http://www.mediafire.com/?ria9xtx88bx3h", "download link")</f>
        <v>download link</v>
      </c>
      <c r="I91" s="260"/>
    </row>
    <row r="92">
      <c r="A92" s="142">
        <v>39275.0</v>
      </c>
      <c r="B92" s="144"/>
      <c r="C92" s="116" t="str">
        <f t="shared" si="9"/>
        <v>setlist</v>
      </c>
      <c r="D92" s="272" t="s">
        <v>3481</v>
      </c>
      <c r="E92" s="272" t="s">
        <v>791</v>
      </c>
      <c r="F92" s="115" t="s">
        <v>701</v>
      </c>
      <c r="G92" s="144"/>
      <c r="H92" s="145"/>
      <c r="I92" s="273"/>
    </row>
    <row r="93">
      <c r="A93" s="103">
        <v>39277.0</v>
      </c>
      <c r="B93" s="104"/>
      <c r="C93" s="105" t="str">
        <f t="shared" si="9"/>
        <v>setlist</v>
      </c>
      <c r="D93" s="181" t="s">
        <v>3373</v>
      </c>
      <c r="E93" s="181" t="s">
        <v>208</v>
      </c>
      <c r="F93" s="107" t="s">
        <v>203</v>
      </c>
      <c r="G93" s="104"/>
      <c r="H93" s="108"/>
      <c r="I93" s="260"/>
    </row>
    <row r="94">
      <c r="A94" s="142">
        <v>39278.0</v>
      </c>
      <c r="B94" s="144"/>
      <c r="C94" s="116" t="str">
        <f t="shared" si="9"/>
        <v>setlist</v>
      </c>
      <c r="D94" s="272" t="s">
        <v>500</v>
      </c>
      <c r="E94" s="272" t="s">
        <v>488</v>
      </c>
      <c r="F94" s="115" t="s">
        <v>203</v>
      </c>
      <c r="G94" s="144"/>
      <c r="H94" s="145"/>
      <c r="I94" s="273"/>
    </row>
    <row r="95">
      <c r="A95" s="103">
        <v>39279.0</v>
      </c>
      <c r="B95" s="104"/>
      <c r="C95" s="105" t="str">
        <f t="shared" si="9"/>
        <v>setlist</v>
      </c>
      <c r="D95" s="181" t="s">
        <v>897</v>
      </c>
      <c r="E95" s="181" t="s">
        <v>488</v>
      </c>
      <c r="F95" s="107" t="s">
        <v>203</v>
      </c>
      <c r="G95" s="104"/>
      <c r="H95" s="108"/>
      <c r="I95" s="260"/>
    </row>
    <row r="96">
      <c r="A96" s="350"/>
      <c r="B96" s="351"/>
      <c r="C96" s="352"/>
      <c r="D96" s="356" t="s">
        <v>3482</v>
      </c>
      <c r="E96" s="357"/>
      <c r="F96" s="351"/>
      <c r="G96" s="351"/>
      <c r="H96" s="358"/>
      <c r="I96" s="357"/>
    </row>
    <row r="97">
      <c r="A97" s="110">
        <v>39472.0</v>
      </c>
      <c r="B97" s="111"/>
      <c r="C97" s="116" t="str">
        <f>HYPERLINK("http://phish.net/sideshows/guest-appearance/?showid=1361932626", "setlist")</f>
        <v>setlist</v>
      </c>
      <c r="D97" s="183" t="s">
        <v>500</v>
      </c>
      <c r="E97" s="183" t="s">
        <v>488</v>
      </c>
      <c r="F97" s="114" t="s">
        <v>203</v>
      </c>
      <c r="G97" s="111"/>
      <c r="H97" s="138"/>
    </row>
    <row r="98">
      <c r="A98" s="103">
        <v>39473.0</v>
      </c>
      <c r="B98" s="104"/>
      <c r="C98" s="105" t="str">
        <f>HYPERLINK("http://phish.net/sideshows/page-mcconnell/?d="&amp;RIGHT(TEXT(A98,"mm/dd/yyyy"),4)&amp;"-"&amp;LEFT(TEXT(A98,"mm/dd/yyyy"),2)&amp;"-"&amp;MID(TEXT(A98,"mm/dd/yyyy"),4,2), "setlist")</f>
        <v>setlist</v>
      </c>
      <c r="D98" s="181" t="s">
        <v>3483</v>
      </c>
      <c r="E98" s="181" t="s">
        <v>499</v>
      </c>
      <c r="F98" s="107" t="s">
        <v>203</v>
      </c>
      <c r="G98" s="104"/>
      <c r="H98" s="108"/>
      <c r="I98" s="260"/>
    </row>
    <row r="99">
      <c r="A99" s="350"/>
      <c r="B99" s="351"/>
      <c r="C99" s="352"/>
      <c r="D99" s="356" t="s">
        <v>3484</v>
      </c>
      <c r="E99" s="357"/>
      <c r="F99" s="351"/>
      <c r="G99" s="351"/>
      <c r="H99" s="358"/>
      <c r="I99" s="357"/>
    </row>
    <row r="100">
      <c r="A100" s="110">
        <v>39575.0</v>
      </c>
      <c r="B100" s="111"/>
      <c r="C100" s="116" t="str">
        <f>HYPERLINK("http://phish.net/sideshows/page-mcconnell/?showid=1362107837", "setlist")</f>
        <v>setlist</v>
      </c>
      <c r="D100" s="183" t="s">
        <v>3243</v>
      </c>
      <c r="E100" s="183" t="s">
        <v>162</v>
      </c>
      <c r="F100" s="114" t="s">
        <v>129</v>
      </c>
      <c r="G100" s="111"/>
      <c r="H100" s="138"/>
    </row>
    <row r="101">
      <c r="A101" s="350"/>
      <c r="B101" s="351"/>
      <c r="C101" s="352"/>
      <c r="D101" s="356" t="s">
        <v>3485</v>
      </c>
      <c r="E101" s="357"/>
      <c r="F101" s="351"/>
      <c r="G101" s="351"/>
      <c r="H101" s="358"/>
      <c r="I101" s="357"/>
    </row>
    <row r="102">
      <c r="A102" s="110">
        <v>39715.0</v>
      </c>
      <c r="B102" s="111"/>
      <c r="C102" s="116" t="str">
        <f t="shared" ref="C102:C104" si="10">HYPERLINK("http://phish.net/sideshows/page-mcconnell/?d="&amp;RIGHT(TEXT(A102,"mm/dd/yyyy"),4)&amp;"-"&amp;LEFT(TEXT(A102,"mm/dd/yyyy"),2)&amp;"-"&amp;MID(TEXT(A102,"mm/dd/yyyy"),4,2), "setlist")</f>
        <v>setlist</v>
      </c>
      <c r="D102" s="183" t="s">
        <v>3341</v>
      </c>
      <c r="E102" s="183" t="s">
        <v>2849</v>
      </c>
      <c r="F102" s="114" t="s">
        <v>129</v>
      </c>
      <c r="G102" s="114" t="s">
        <v>36</v>
      </c>
      <c r="H102" s="135" t="str">
        <f>HYPERLINK("http://www.mediafire.com/?fx100vv876n0t", "download link")</f>
        <v>download link</v>
      </c>
    </row>
    <row r="103">
      <c r="A103" s="103">
        <v>39716.0</v>
      </c>
      <c r="B103" s="104"/>
      <c r="C103" s="105" t="str">
        <f t="shared" si="10"/>
        <v>setlist</v>
      </c>
      <c r="D103" s="181" t="s">
        <v>3018</v>
      </c>
      <c r="E103" s="181" t="s">
        <v>297</v>
      </c>
      <c r="F103" s="107" t="s">
        <v>298</v>
      </c>
      <c r="G103" s="107" t="s">
        <v>36</v>
      </c>
      <c r="H103" s="105" t="str">
        <f>HYPERLINK("http://www.mediafire.com/?jc7t1s8uupfwn", "download link")</f>
        <v>download link</v>
      </c>
      <c r="I103" s="260"/>
    </row>
    <row r="104">
      <c r="A104" s="110">
        <v>39717.0</v>
      </c>
      <c r="B104" s="111"/>
      <c r="C104" s="116" t="str">
        <f t="shared" si="10"/>
        <v>setlist</v>
      </c>
      <c r="D104" s="183" t="s">
        <v>3236</v>
      </c>
      <c r="E104" s="183" t="s">
        <v>162</v>
      </c>
      <c r="F104" s="114" t="s">
        <v>129</v>
      </c>
      <c r="G104" s="111"/>
      <c r="H104" s="138"/>
    </row>
    <row r="105">
      <c r="A105" s="103">
        <v>39718.0</v>
      </c>
      <c r="B105" s="104"/>
      <c r="C105" s="105" t="str">
        <f>HYPERLINK("http://phish.net/sideshows/page-mcconnell/?showid=1324741319", "setlist")</f>
        <v>setlist</v>
      </c>
      <c r="D105" s="181" t="s">
        <v>2817</v>
      </c>
      <c r="E105" s="181" t="s">
        <v>2826</v>
      </c>
      <c r="F105" s="107" t="s">
        <v>35</v>
      </c>
      <c r="G105" s="104"/>
      <c r="H105" s="108"/>
      <c r="I105" s="260"/>
    </row>
    <row r="106">
      <c r="A106" s="350"/>
      <c r="B106" s="351"/>
      <c r="C106" s="352"/>
      <c r="D106" s="356" t="s">
        <v>3486</v>
      </c>
      <c r="E106" s="357"/>
      <c r="F106" s="351"/>
      <c r="G106" s="351"/>
      <c r="H106" s="358"/>
      <c r="I106" s="357"/>
    </row>
    <row r="107">
      <c r="A107" s="142">
        <v>41212.0</v>
      </c>
      <c r="B107" s="144"/>
      <c r="C107" s="116" t="str">
        <f>HYPERLINK("http://phish.net/sideshows/page-mcconnell/?showid=1347043114", "setlist")</f>
        <v>setlist</v>
      </c>
      <c r="D107" s="272" t="s">
        <v>3487</v>
      </c>
      <c r="E107" s="272" t="s">
        <v>94</v>
      </c>
      <c r="F107" s="115" t="s">
        <v>95</v>
      </c>
      <c r="G107" s="115" t="s">
        <v>36</v>
      </c>
      <c r="H107" s="135" t="str">
        <f>HYPERLINK("http://www.mediafire.com/?7szj73s68ifkl", "download link")</f>
        <v>download link</v>
      </c>
      <c r="I107" s="273"/>
    </row>
    <row r="108">
      <c r="A108" s="103">
        <v>41213.0</v>
      </c>
      <c r="B108" s="104"/>
      <c r="C108" s="105" t="str">
        <f t="shared" ref="C108:C117" si="11">HYPERLINK("http://phish.net/sideshows/page-mcconnell/?d="&amp;RIGHT(TEXT(A108,"mm/dd/yyyy"),4)&amp;"-"&amp;LEFT(TEXT(A108,"mm/dd/yyyy"),2)&amp;"-"&amp;MID(TEXT(A108,"mm/dd/yyyy"),4,2), "setlist")</f>
        <v>setlist</v>
      </c>
      <c r="D108" s="181" t="s">
        <v>3236</v>
      </c>
      <c r="E108" s="181" t="s">
        <v>162</v>
      </c>
      <c r="F108" s="107" t="s">
        <v>129</v>
      </c>
      <c r="G108" s="104"/>
      <c r="H108" s="108"/>
      <c r="I108" s="260"/>
    </row>
    <row r="109">
      <c r="A109" s="142">
        <v>41214.0</v>
      </c>
      <c r="B109" s="144"/>
      <c r="C109" s="116" t="str">
        <f t="shared" si="11"/>
        <v>setlist</v>
      </c>
      <c r="D109" s="272" t="s">
        <v>3236</v>
      </c>
      <c r="E109" s="272" t="s">
        <v>162</v>
      </c>
      <c r="F109" s="115" t="s">
        <v>129</v>
      </c>
      <c r="G109" s="144"/>
      <c r="H109" s="145"/>
      <c r="I109" s="273"/>
    </row>
    <row r="110">
      <c r="A110" s="103">
        <v>41215.0</v>
      </c>
      <c r="B110" s="104"/>
      <c r="C110" s="105" t="str">
        <f t="shared" si="11"/>
        <v>setlist</v>
      </c>
      <c r="D110" s="181" t="s">
        <v>3488</v>
      </c>
      <c r="E110" s="181" t="s">
        <v>393</v>
      </c>
      <c r="F110" s="107" t="s">
        <v>394</v>
      </c>
      <c r="G110" s="104"/>
      <c r="H110" s="108"/>
      <c r="I110" s="260"/>
    </row>
    <row r="111">
      <c r="A111" s="110">
        <v>41342.0</v>
      </c>
      <c r="B111" s="111"/>
      <c r="C111" s="116" t="str">
        <f t="shared" si="11"/>
        <v>setlist</v>
      </c>
      <c r="D111" s="183" t="s">
        <v>3489</v>
      </c>
      <c r="E111" s="183" t="s">
        <v>1141</v>
      </c>
      <c r="F111" s="114" t="s">
        <v>1133</v>
      </c>
      <c r="G111" s="114" t="s">
        <v>36</v>
      </c>
      <c r="H111" s="135" t="str">
        <f>HYPERLINK("http://www.mediafire.com/download/nv2a1utohirozwe/2013-03-09_-_Curtis_Hixon_Waterfront_Park_-_Tampa%2C_FL.rar", "download link")</f>
        <v>download link</v>
      </c>
    </row>
    <row r="112">
      <c r="A112" s="103">
        <v>41355.0</v>
      </c>
      <c r="B112" s="104"/>
      <c r="C112" s="105" t="str">
        <f t="shared" si="11"/>
        <v>setlist</v>
      </c>
      <c r="D112" s="181" t="s">
        <v>3490</v>
      </c>
      <c r="E112" s="181" t="s">
        <v>162</v>
      </c>
      <c r="F112" s="107" t="s">
        <v>129</v>
      </c>
      <c r="G112" s="104"/>
      <c r="H112" s="108"/>
      <c r="I112" s="260"/>
    </row>
    <row r="113">
      <c r="A113" s="110">
        <v>41356.0</v>
      </c>
      <c r="B113" s="111"/>
      <c r="C113" s="116" t="str">
        <f t="shared" si="11"/>
        <v>setlist</v>
      </c>
      <c r="D113" s="183" t="s">
        <v>3388</v>
      </c>
      <c r="E113" s="183" t="s">
        <v>871</v>
      </c>
      <c r="F113" s="114" t="s">
        <v>212</v>
      </c>
      <c r="G113" s="111"/>
      <c r="H113" s="138"/>
    </row>
    <row r="114">
      <c r="A114" s="385">
        <v>41391.0</v>
      </c>
      <c r="B114" s="386"/>
      <c r="C114" s="340" t="str">
        <f t="shared" si="11"/>
        <v>setlist</v>
      </c>
      <c r="D114" s="387" t="s">
        <v>3491</v>
      </c>
      <c r="E114" s="387" t="s">
        <v>585</v>
      </c>
      <c r="F114" s="388" t="s">
        <v>586</v>
      </c>
      <c r="G114" s="386"/>
      <c r="H114" s="389"/>
      <c r="I114" s="390"/>
    </row>
    <row r="115">
      <c r="A115" s="142">
        <v>41398.0</v>
      </c>
      <c r="B115" s="144"/>
      <c r="C115" s="116" t="str">
        <f t="shared" si="11"/>
        <v>setlist</v>
      </c>
      <c r="D115" s="272" t="s">
        <v>3491</v>
      </c>
      <c r="E115" s="272" t="s">
        <v>585</v>
      </c>
      <c r="F115" s="115" t="s">
        <v>586</v>
      </c>
      <c r="G115" s="144"/>
      <c r="H115" s="145"/>
      <c r="I115" s="273"/>
    </row>
    <row r="116">
      <c r="A116" s="103">
        <v>41404.0</v>
      </c>
      <c r="B116" s="104"/>
      <c r="C116" s="105" t="str">
        <f t="shared" si="11"/>
        <v>setlist</v>
      </c>
      <c r="D116" s="181" t="s">
        <v>3040</v>
      </c>
      <c r="E116" s="181" t="s">
        <v>499</v>
      </c>
      <c r="F116" s="107" t="s">
        <v>203</v>
      </c>
      <c r="G116" s="104"/>
      <c r="H116" s="108"/>
      <c r="I116" s="260"/>
    </row>
    <row r="117">
      <c r="A117" s="142">
        <v>41405.0</v>
      </c>
      <c r="B117" s="144"/>
      <c r="C117" s="116" t="str">
        <f t="shared" si="11"/>
        <v>setlist</v>
      </c>
      <c r="D117" s="272" t="s">
        <v>3040</v>
      </c>
      <c r="E117" s="272" t="s">
        <v>499</v>
      </c>
      <c r="F117" s="115" t="s">
        <v>203</v>
      </c>
      <c r="G117" s="144"/>
      <c r="H117" s="145"/>
      <c r="I117" s="273"/>
    </row>
    <row r="118">
      <c r="A118" s="385">
        <v>41523.0</v>
      </c>
      <c r="B118" s="386"/>
      <c r="C118" s="340" t="str">
        <f>HYPERLINK("http://phish.net/sideshows/page-mcconnell/?showid=1369755746", "setlist")</f>
        <v>setlist</v>
      </c>
      <c r="D118" s="387" t="s">
        <v>2817</v>
      </c>
      <c r="E118" s="387" t="s">
        <v>2826</v>
      </c>
      <c r="F118" s="388" t="s">
        <v>35</v>
      </c>
      <c r="G118" s="386"/>
      <c r="H118" s="389"/>
      <c r="I118" s="390"/>
    </row>
    <row r="119">
      <c r="A119" s="142">
        <v>41525.0</v>
      </c>
      <c r="B119" s="144"/>
      <c r="C119" s="116" t="str">
        <f t="shared" ref="C119:C120" si="12">HYPERLINK("http://phish.net/sideshows/page-mcconnell/?d="&amp;RIGHT(TEXT(A119,"mm/dd/yyyy"),4)&amp;"-"&amp;LEFT(TEXT(A119,"mm/dd/yyyy"),2)&amp;"-"&amp;MID(TEXT(A119,"mm/dd/yyyy"),4,2), "setlist")</f>
        <v>setlist</v>
      </c>
      <c r="D119" s="272" t="s">
        <v>3492</v>
      </c>
      <c r="E119" s="272" t="s">
        <v>3493</v>
      </c>
      <c r="F119" s="115" t="s">
        <v>129</v>
      </c>
      <c r="G119" s="144"/>
      <c r="H119" s="145"/>
      <c r="I119" s="273"/>
    </row>
    <row r="120">
      <c r="A120" s="385">
        <v>41754.0</v>
      </c>
      <c r="B120" s="386"/>
      <c r="C120" s="340" t="str">
        <f t="shared" si="12"/>
        <v>setlist</v>
      </c>
      <c r="D120" s="387" t="s">
        <v>3491</v>
      </c>
      <c r="E120" s="387" t="s">
        <v>585</v>
      </c>
      <c r="F120" s="388" t="s">
        <v>586</v>
      </c>
      <c r="G120" s="386"/>
      <c r="H120" s="389"/>
      <c r="I120" s="390"/>
    </row>
    <row r="121">
      <c r="A121" s="142">
        <v>41755.0</v>
      </c>
      <c r="B121" s="144"/>
      <c r="C121" s="116" t="str">
        <f>HYPERLINK("http://phish.net/sideshows/page-mcconnell/?showid=1393953880", "setlist")</f>
        <v>setlist</v>
      </c>
      <c r="D121" s="272" t="s">
        <v>3491</v>
      </c>
      <c r="E121" s="272" t="s">
        <v>585</v>
      </c>
      <c r="F121" s="115" t="s">
        <v>586</v>
      </c>
      <c r="G121" s="144"/>
      <c r="H121" s="145"/>
      <c r="I121" s="273"/>
    </row>
    <row r="122">
      <c r="A122" s="103">
        <v>42118.0</v>
      </c>
      <c r="B122" s="104"/>
      <c r="C122" s="105" t="str">
        <f>HYPERLINK("http://phish.net/sideshows/page-mcconnell/?d=2015-04-24", "setlist")</f>
        <v>setlist</v>
      </c>
      <c r="D122" s="266" t="s">
        <v>3453</v>
      </c>
      <c r="E122" s="266" t="s">
        <v>585</v>
      </c>
      <c r="F122" s="141" t="s">
        <v>586</v>
      </c>
      <c r="G122" s="104"/>
      <c r="H122" s="108"/>
      <c r="I122" s="260"/>
    </row>
    <row r="123">
      <c r="A123" s="142">
        <v>42119.0</v>
      </c>
      <c r="B123" s="144"/>
      <c r="C123" s="116" t="str">
        <f>HYPERLINK("http://phish.net/sideshows/page-mcconnell/?d=2015-04-25", "setlist")</f>
        <v>setlist</v>
      </c>
      <c r="D123" s="271" t="s">
        <v>3453</v>
      </c>
      <c r="E123" s="271" t="s">
        <v>585</v>
      </c>
      <c r="F123" s="165" t="s">
        <v>586</v>
      </c>
      <c r="G123" s="144"/>
      <c r="H123" s="145"/>
      <c r="I123" s="273"/>
    </row>
    <row r="124">
      <c r="A124" s="380"/>
      <c r="B124" s="381"/>
      <c r="C124" s="366"/>
      <c r="D124" s="383" t="s">
        <v>3494</v>
      </c>
      <c r="E124" s="391"/>
      <c r="F124" s="381"/>
      <c r="G124" s="381"/>
      <c r="H124" s="358"/>
      <c r="I124" s="391"/>
    </row>
    <row r="125">
      <c r="A125" s="142">
        <v>42609.0</v>
      </c>
      <c r="B125" s="144"/>
      <c r="C125" s="116" t="str">
        <f>HYPERLINK("http://phish.net/sideshows/page-mcconnell/?d=2016-08-27", "setlist")</f>
        <v>setlist</v>
      </c>
      <c r="D125" s="271" t="s">
        <v>2626</v>
      </c>
      <c r="E125" s="117" t="s">
        <v>2627</v>
      </c>
      <c r="F125" s="165" t="s">
        <v>446</v>
      </c>
      <c r="G125" s="196" t="s">
        <v>36</v>
      </c>
      <c r="H125" s="135" t="str">
        <f>HYPERLINK("http://www.mediafire.com/download/e52l63pc5z2pfn5/2016-08-27_-_Oak_Ridge_Farm_-_Arrington%2C_VA.rar", "download link")</f>
        <v>download link</v>
      </c>
      <c r="I125" s="146"/>
    </row>
    <row r="126">
      <c r="A126" s="380"/>
      <c r="B126" s="381"/>
      <c r="C126" s="366"/>
      <c r="D126" s="383" t="s">
        <v>3461</v>
      </c>
      <c r="E126" s="391"/>
      <c r="F126" s="381"/>
      <c r="G126" s="381"/>
      <c r="H126" s="358"/>
      <c r="I126" s="391"/>
    </row>
    <row r="127">
      <c r="A127" s="142">
        <v>43726.0</v>
      </c>
      <c r="B127" s="144"/>
      <c r="C127" s="116" t="str">
        <f t="shared" ref="C127:C129" si="13">HYPERLINK("http://phish.net/sideshows/page-mcconnell/?d=2016-08-27", "setlist")</f>
        <v>setlist</v>
      </c>
      <c r="D127" s="271" t="s">
        <v>2838</v>
      </c>
      <c r="E127" s="271" t="s">
        <v>393</v>
      </c>
      <c r="F127" s="165" t="s">
        <v>394</v>
      </c>
      <c r="G127" s="165" t="s">
        <v>36</v>
      </c>
      <c r="H127" s="135" t="str">
        <f>HYPERLINK("http://www.mediafire.com/file/v1nq13n72vqiom6/2019-09-18_-_930_Club_-_Washington%252C_DC.rar/file", "download link")</f>
        <v>download link</v>
      </c>
      <c r="I127" s="273"/>
    </row>
    <row r="128">
      <c r="A128" s="103">
        <v>43728.0</v>
      </c>
      <c r="B128" s="104"/>
      <c r="C128" s="105" t="str">
        <f t="shared" si="13"/>
        <v>setlist</v>
      </c>
      <c r="D128" s="266" t="s">
        <v>3106</v>
      </c>
      <c r="E128" s="266" t="s">
        <v>871</v>
      </c>
      <c r="F128" s="141" t="s">
        <v>212</v>
      </c>
      <c r="G128" s="141" t="s">
        <v>36</v>
      </c>
      <c r="H128" s="105" t="str">
        <f>HYPERLINK("http://www.mediafire.com/file/79x9bpon494xzvi/2019-09-20_-_The_Fillmore_Philadelphia_-_Philadelphia%252C_PA.rar/file", "download link")</f>
        <v>download link</v>
      </c>
      <c r="I128" s="260"/>
    </row>
    <row r="129">
      <c r="A129" s="142">
        <v>43729.0</v>
      </c>
      <c r="B129" s="144"/>
      <c r="C129" s="116" t="str">
        <f t="shared" si="13"/>
        <v>setlist</v>
      </c>
      <c r="D129" s="271" t="s">
        <v>3495</v>
      </c>
      <c r="E129" s="271" t="s">
        <v>571</v>
      </c>
      <c r="F129" s="165" t="s">
        <v>129</v>
      </c>
      <c r="G129" s="165" t="s">
        <v>36</v>
      </c>
      <c r="H129" s="135" t="str">
        <f>HYPERLINK("http://www.mediafire.com/file/hpztdd55mbil2vg/2019-09-21_-_The_Capitol_Theatre_-_Port_Chester%252C_NY.rar/file", "download link")</f>
        <v>download link</v>
      </c>
      <c r="I129" s="273"/>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5.13"/>
    <col customWidth="1" min="9" max="9" width="68.13"/>
  </cols>
  <sheetData>
    <row r="1">
      <c r="A1" s="373"/>
      <c r="B1" s="111"/>
      <c r="C1" s="384"/>
      <c r="F1" s="111"/>
      <c r="G1" s="111"/>
      <c r="H1" s="138"/>
    </row>
    <row r="2">
      <c r="A2" s="374" t="s">
        <v>22</v>
      </c>
      <c r="B2" s="375" t="s">
        <v>23</v>
      </c>
      <c r="C2" s="375" t="s">
        <v>24</v>
      </c>
      <c r="D2" s="376" t="s">
        <v>25</v>
      </c>
      <c r="E2" s="376" t="s">
        <v>26</v>
      </c>
      <c r="F2" s="375" t="s">
        <v>27</v>
      </c>
      <c r="G2" s="375" t="s">
        <v>28</v>
      </c>
      <c r="H2" s="375" t="s">
        <v>29</v>
      </c>
      <c r="I2" s="376" t="s">
        <v>31</v>
      </c>
    </row>
    <row r="3">
      <c r="A3" s="373"/>
      <c r="B3" s="111"/>
      <c r="C3" s="384"/>
      <c r="F3" s="111"/>
      <c r="G3" s="111"/>
      <c r="H3" s="138"/>
    </row>
    <row r="4">
      <c r="A4" s="350"/>
      <c r="B4" s="351"/>
      <c r="C4" s="352"/>
      <c r="D4" s="356" t="s">
        <v>2788</v>
      </c>
      <c r="E4" s="357"/>
      <c r="F4" s="351"/>
      <c r="G4" s="351"/>
      <c r="H4" s="358"/>
      <c r="I4" s="357"/>
    </row>
    <row r="5">
      <c r="A5" s="110">
        <v>32687.0</v>
      </c>
      <c r="B5" s="111"/>
      <c r="C5" s="135" t="str">
        <f t="shared" ref="C5:C7" si="1">HYPERLINK("http://phish.net/sideshows/trey-anastasio-band/?d="&amp;RIGHT(TEXT(A5,"mm/dd/yyyy"),4)&amp;"-"&amp;LEFT(TEXT(A5,"mm/dd/yyyy"),2)&amp;"-"&amp;MID(TEXT(A5,"mm/dd/yyyy"),4,2), "setlist")</f>
        <v>setlist</v>
      </c>
      <c r="D5" s="183" t="s">
        <v>54</v>
      </c>
      <c r="E5" s="183" t="s">
        <v>34</v>
      </c>
      <c r="F5" s="114" t="s">
        <v>35</v>
      </c>
      <c r="G5" s="111"/>
      <c r="H5" s="359"/>
    </row>
    <row r="6">
      <c r="A6" s="103">
        <v>33258.0</v>
      </c>
      <c r="B6" s="104"/>
      <c r="C6" s="105" t="str">
        <f t="shared" si="1"/>
        <v>setlist</v>
      </c>
      <c r="D6" s="181" t="s">
        <v>54</v>
      </c>
      <c r="E6" s="181" t="s">
        <v>34</v>
      </c>
      <c r="F6" s="107" t="s">
        <v>35</v>
      </c>
      <c r="G6" s="104"/>
      <c r="H6" s="360"/>
      <c r="I6" s="260"/>
    </row>
    <row r="7">
      <c r="A7" s="110">
        <v>33265.0</v>
      </c>
      <c r="B7" s="111"/>
      <c r="C7" s="135" t="str">
        <f t="shared" si="1"/>
        <v>setlist</v>
      </c>
      <c r="D7" s="183" t="s">
        <v>54</v>
      </c>
      <c r="E7" s="183" t="s">
        <v>34</v>
      </c>
      <c r="F7" s="114" t="s">
        <v>35</v>
      </c>
      <c r="G7" s="111"/>
      <c r="H7" s="359"/>
    </row>
    <row r="8">
      <c r="A8" s="350"/>
      <c r="B8" s="351"/>
      <c r="C8" s="352"/>
      <c r="D8" s="356" t="s">
        <v>3198</v>
      </c>
      <c r="E8" s="357"/>
      <c r="F8" s="351"/>
      <c r="G8" s="351"/>
      <c r="H8" s="358"/>
      <c r="I8" s="357"/>
    </row>
    <row r="9">
      <c r="A9" s="110">
        <v>34076.0</v>
      </c>
      <c r="B9" s="111"/>
      <c r="C9" s="135" t="str">
        <f>HYPERLINK("http://phish.net/sideshows/guest-appearance/?showid=1335111498", "setlist")</f>
        <v>setlist</v>
      </c>
      <c r="D9" s="183" t="s">
        <v>3199</v>
      </c>
      <c r="E9" s="183" t="s">
        <v>711</v>
      </c>
      <c r="F9" s="114" t="s">
        <v>712</v>
      </c>
      <c r="G9" s="111"/>
      <c r="H9" s="359"/>
    </row>
    <row r="10">
      <c r="A10" s="350"/>
      <c r="B10" s="351"/>
      <c r="C10" s="352"/>
      <c r="D10" s="356" t="s">
        <v>62</v>
      </c>
      <c r="E10" s="357"/>
      <c r="F10" s="351"/>
      <c r="G10" s="351"/>
      <c r="H10" s="358"/>
      <c r="I10" s="357"/>
    </row>
    <row r="11">
      <c r="A11" s="110">
        <v>34104.0</v>
      </c>
      <c r="B11" s="111"/>
      <c r="C11" s="392" t="s">
        <v>40</v>
      </c>
      <c r="D11" s="118" t="s">
        <v>3496</v>
      </c>
      <c r="E11" s="118" t="s">
        <v>198</v>
      </c>
      <c r="F11" s="115" t="s">
        <v>35</v>
      </c>
      <c r="G11" s="115" t="s">
        <v>36</v>
      </c>
      <c r="H11" s="116" t="str">
        <f>HYPERLINK("http://www.mediafire.com/?rs0wkwsnsaqcc", "download link")</f>
        <v>download link</v>
      </c>
    </row>
    <row r="12">
      <c r="A12" s="350"/>
      <c r="B12" s="351"/>
      <c r="C12" s="352"/>
      <c r="D12" s="356" t="s">
        <v>3497</v>
      </c>
      <c r="E12" s="357"/>
      <c r="F12" s="351"/>
      <c r="G12" s="351"/>
      <c r="H12" s="358"/>
      <c r="I12" s="357"/>
    </row>
    <row r="13">
      <c r="A13" s="110">
        <v>34347.0</v>
      </c>
      <c r="B13" s="158"/>
      <c r="C13" s="116" t="str">
        <f t="shared" ref="C13:C15" si="2">HYPERLINK("http://phish.net/sideshows/trey-anastasio-band/?d="&amp;RIGHT(TEXT(A13,"mm/dd/yyyy"),4)&amp;"-"&amp;LEFT(TEXT(A13,"mm/dd/yyyy"),2)&amp;"-"&amp;MID(TEXT(A13,"mm/dd/yyyy"),4,2), "setlist")</f>
        <v>setlist</v>
      </c>
      <c r="D13" s="149" t="s">
        <v>2794</v>
      </c>
      <c r="E13" s="183" t="s">
        <v>34</v>
      </c>
      <c r="F13" s="114" t="s">
        <v>35</v>
      </c>
      <c r="G13" s="148" t="s">
        <v>36</v>
      </c>
      <c r="H13" s="135" t="str">
        <f>HYPERLINK("http://www.mediafire.com/?ic3nd3kyjx1r0", "download link")</f>
        <v>download link</v>
      </c>
      <c r="I13" s="149" t="s">
        <v>111</v>
      </c>
    </row>
    <row r="14">
      <c r="A14" s="103">
        <v>34358.0</v>
      </c>
      <c r="B14" s="133" t="s">
        <v>32</v>
      </c>
      <c r="C14" s="105" t="str">
        <f t="shared" si="2"/>
        <v>setlist</v>
      </c>
      <c r="D14" s="132" t="s">
        <v>2801</v>
      </c>
      <c r="E14" s="181" t="s">
        <v>279</v>
      </c>
      <c r="F14" s="107" t="s">
        <v>257</v>
      </c>
      <c r="G14" s="133" t="s">
        <v>36</v>
      </c>
      <c r="H14" s="105" t="str">
        <f>HYPERLINK("http://www.mediafire.com/?xrbj4jqsab5c0", "download link")</f>
        <v>download link</v>
      </c>
      <c r="I14" s="132" t="s">
        <v>111</v>
      </c>
    </row>
    <row r="15">
      <c r="A15" s="142">
        <v>34362.0</v>
      </c>
      <c r="B15" s="156"/>
      <c r="C15" s="116" t="str">
        <f t="shared" si="2"/>
        <v>setlist</v>
      </c>
      <c r="D15" s="153" t="s">
        <v>2799</v>
      </c>
      <c r="E15" s="272" t="s">
        <v>841</v>
      </c>
      <c r="F15" s="115" t="s">
        <v>129</v>
      </c>
      <c r="G15" s="156"/>
      <c r="H15" s="145"/>
      <c r="I15" s="79"/>
    </row>
    <row r="16">
      <c r="A16" s="350"/>
      <c r="B16" s="351"/>
      <c r="C16" s="352"/>
      <c r="D16" s="356" t="s">
        <v>3498</v>
      </c>
      <c r="E16" s="357"/>
      <c r="F16" s="351"/>
      <c r="G16" s="351"/>
      <c r="H16" s="358"/>
      <c r="I16" s="357"/>
    </row>
    <row r="17">
      <c r="A17" s="110">
        <v>34365.0</v>
      </c>
      <c r="B17" s="158"/>
      <c r="C17" s="116" t="str">
        <f t="shared" ref="C17:C18" si="3">HYPERLINK("http://phish.net/sideshows/trey-anastasio-band/?d="&amp;RIGHT(TEXT(A17,"mm/dd/yyyy"),4)&amp;"-"&amp;LEFT(TEXT(A17,"mm/dd/yyyy"),2)&amp;"-"&amp;MID(TEXT(A17,"mm/dd/yyyy"),4,2), "setlist")</f>
        <v>setlist</v>
      </c>
      <c r="D17" s="149" t="s">
        <v>3499</v>
      </c>
      <c r="E17" s="183" t="s">
        <v>297</v>
      </c>
      <c r="F17" s="114" t="s">
        <v>298</v>
      </c>
      <c r="G17" s="158"/>
      <c r="H17" s="138"/>
      <c r="I17" s="173"/>
    </row>
    <row r="18">
      <c r="A18" s="103">
        <v>34366.0</v>
      </c>
      <c r="B18" s="131"/>
      <c r="C18" s="105" t="str">
        <f t="shared" si="3"/>
        <v>setlist</v>
      </c>
      <c r="D18" s="132" t="s">
        <v>2805</v>
      </c>
      <c r="E18" s="181" t="s">
        <v>247</v>
      </c>
      <c r="F18" s="107" t="s">
        <v>95</v>
      </c>
      <c r="G18" s="131"/>
      <c r="H18" s="108"/>
      <c r="I18" s="174"/>
    </row>
    <row r="19">
      <c r="A19" s="110">
        <v>34368.0</v>
      </c>
      <c r="B19" s="114" t="s">
        <v>32</v>
      </c>
      <c r="C19" s="116" t="str">
        <f>HYPERLINK("http://phish.net/sideshows/jon-fishman/?d=1994-02-03", "setlist")</f>
        <v>setlist</v>
      </c>
      <c r="D19" s="183" t="s">
        <v>260</v>
      </c>
      <c r="E19" s="183" t="s">
        <v>94</v>
      </c>
      <c r="F19" s="114" t="s">
        <v>95</v>
      </c>
      <c r="G19" s="114" t="s">
        <v>36</v>
      </c>
      <c r="H19" s="116" t="str">
        <f>HYPERLINK("http://www.mediafire.com/?pitqy9z8nqg67", "download link")</f>
        <v>download link</v>
      </c>
      <c r="I19" s="183" t="s">
        <v>3500</v>
      </c>
    </row>
    <row r="20">
      <c r="A20" s="103">
        <v>34369.0</v>
      </c>
      <c r="B20" s="104"/>
      <c r="C20" s="105" t="str">
        <f t="shared" ref="C20:C23" si="4">HYPERLINK("http://phish.net/sideshows/trey-anastasio-band/?d="&amp;RIGHT(TEXT(A20,"mm/dd/yyyy"),4)&amp;"-"&amp;LEFT(TEXT(A20,"mm/dd/yyyy"),2)&amp;"-"&amp;MID(TEXT(A20,"mm/dd/yyyy"),4,2), "setlist")</f>
        <v>setlist</v>
      </c>
      <c r="D20" s="181" t="s">
        <v>3501</v>
      </c>
      <c r="E20" s="181" t="s">
        <v>871</v>
      </c>
      <c r="F20" s="107" t="s">
        <v>212</v>
      </c>
      <c r="G20" s="104"/>
      <c r="H20" s="108"/>
      <c r="I20" s="260"/>
    </row>
    <row r="21">
      <c r="A21" s="110">
        <v>34370.0</v>
      </c>
      <c r="B21" s="114" t="s">
        <v>32</v>
      </c>
      <c r="C21" s="116" t="str">
        <f t="shared" si="4"/>
        <v>setlist</v>
      </c>
      <c r="D21" s="183" t="s">
        <v>271</v>
      </c>
      <c r="E21" s="183" t="s">
        <v>162</v>
      </c>
      <c r="F21" s="114" t="s">
        <v>129</v>
      </c>
      <c r="G21" s="148" t="s">
        <v>36</v>
      </c>
      <c r="H21" s="116" t="str">
        <f>HYPERLINK("http://www.mediafire.com/?5vfsqw8sepiz2", "download link")</f>
        <v>download link</v>
      </c>
      <c r="I21" s="183" t="s">
        <v>3502</v>
      </c>
    </row>
    <row r="22">
      <c r="A22" s="103">
        <v>34372.0</v>
      </c>
      <c r="B22" s="104"/>
      <c r="C22" s="105" t="str">
        <f t="shared" si="4"/>
        <v>setlist</v>
      </c>
      <c r="D22" s="181" t="s">
        <v>54</v>
      </c>
      <c r="E22" s="181" t="s">
        <v>34</v>
      </c>
      <c r="F22" s="107" t="s">
        <v>35</v>
      </c>
      <c r="G22" s="104"/>
      <c r="H22" s="108"/>
      <c r="I22" s="260"/>
    </row>
    <row r="23">
      <c r="A23" s="110">
        <v>34373.0</v>
      </c>
      <c r="B23" s="114" t="s">
        <v>32</v>
      </c>
      <c r="C23" s="116" t="str">
        <f t="shared" si="4"/>
        <v>setlist</v>
      </c>
      <c r="D23" s="183" t="s">
        <v>54</v>
      </c>
      <c r="E23" s="183" t="s">
        <v>34</v>
      </c>
      <c r="F23" s="114" t="s">
        <v>35</v>
      </c>
      <c r="G23" s="114" t="s">
        <v>36</v>
      </c>
      <c r="H23" s="116" t="str">
        <f>HYPERLINK("http://www.mediafire.com/?b9g62q6h7bykv", "download link")</f>
        <v>download link</v>
      </c>
      <c r="I23" s="183" t="s">
        <v>3503</v>
      </c>
    </row>
    <row r="24">
      <c r="A24" s="350"/>
      <c r="B24" s="351"/>
      <c r="C24" s="352"/>
      <c r="D24" s="356" t="s">
        <v>3497</v>
      </c>
      <c r="E24" s="357"/>
      <c r="F24" s="351"/>
      <c r="G24" s="351"/>
      <c r="H24" s="358"/>
      <c r="I24" s="357"/>
    </row>
    <row r="25">
      <c r="A25" s="142">
        <v>34381.0</v>
      </c>
      <c r="B25" s="156"/>
      <c r="C25" s="116" t="str">
        <f t="shared" ref="C25:C29" si="5">HYPERLINK("http://phish.net/sideshows/trey-anastasio-band/?d="&amp;RIGHT(TEXT(A25,"mm/dd/yyyy"),4)&amp;"-"&amp;LEFT(TEXT(A25,"mm/dd/yyyy"),2)&amp;"-"&amp;MID(TEXT(A25,"mm/dd/yyyy"),4,2), "setlist")</f>
        <v>setlist</v>
      </c>
      <c r="D25" s="153" t="s">
        <v>2802</v>
      </c>
      <c r="E25" s="272" t="s">
        <v>1060</v>
      </c>
      <c r="F25" s="115" t="s">
        <v>35</v>
      </c>
      <c r="G25" s="151" t="s">
        <v>36</v>
      </c>
      <c r="H25" s="116" t="str">
        <f>HYPERLINK("http://www.mediafire.com/?od454g5avekbt", "download link")</f>
        <v>download link</v>
      </c>
      <c r="I25" s="79"/>
    </row>
    <row r="26">
      <c r="A26" s="103">
        <v>34388.0</v>
      </c>
      <c r="B26" s="133" t="s">
        <v>32</v>
      </c>
      <c r="C26" s="105" t="str">
        <f t="shared" si="5"/>
        <v>setlist</v>
      </c>
      <c r="D26" s="132" t="s">
        <v>2803</v>
      </c>
      <c r="E26" s="181" t="s">
        <v>231</v>
      </c>
      <c r="F26" s="107" t="s">
        <v>35</v>
      </c>
      <c r="G26" s="133" t="s">
        <v>36</v>
      </c>
      <c r="H26" s="105" t="str">
        <f>HYPERLINK("http://www.mediafire.com/?6y33ciagrez74", "download link")</f>
        <v>download link</v>
      </c>
      <c r="I26" s="174"/>
    </row>
    <row r="27">
      <c r="A27" s="142">
        <v>34389.0</v>
      </c>
      <c r="B27" s="156"/>
      <c r="C27" s="116" t="str">
        <f t="shared" si="5"/>
        <v>setlist</v>
      </c>
      <c r="D27" s="153" t="s">
        <v>2794</v>
      </c>
      <c r="E27" s="272" t="s">
        <v>34</v>
      </c>
      <c r="F27" s="115" t="s">
        <v>35</v>
      </c>
      <c r="G27" s="156"/>
      <c r="H27" s="145"/>
      <c r="I27" s="79"/>
    </row>
    <row r="28">
      <c r="A28" s="103">
        <v>34390.0</v>
      </c>
      <c r="B28" s="131"/>
      <c r="C28" s="105" t="str">
        <f t="shared" si="5"/>
        <v>setlist</v>
      </c>
      <c r="D28" s="132" t="s">
        <v>2799</v>
      </c>
      <c r="E28" s="181" t="s">
        <v>841</v>
      </c>
      <c r="F28" s="107" t="s">
        <v>129</v>
      </c>
      <c r="G28" s="131"/>
      <c r="H28" s="108"/>
      <c r="I28" s="174"/>
    </row>
    <row r="29">
      <c r="A29" s="142">
        <v>34397.0</v>
      </c>
      <c r="B29" s="156"/>
      <c r="C29" s="116" t="str">
        <f t="shared" si="5"/>
        <v>setlist</v>
      </c>
      <c r="D29" s="153" t="s">
        <v>2804</v>
      </c>
      <c r="E29" s="272" t="s">
        <v>34</v>
      </c>
      <c r="F29" s="115" t="s">
        <v>35</v>
      </c>
      <c r="G29" s="156"/>
      <c r="H29" s="145"/>
      <c r="I29" s="79"/>
    </row>
    <row r="30">
      <c r="A30" s="350"/>
      <c r="B30" s="351"/>
      <c r="C30" s="351"/>
      <c r="D30" s="356" t="s">
        <v>3504</v>
      </c>
      <c r="E30" s="357"/>
      <c r="F30" s="351"/>
      <c r="G30" s="351"/>
      <c r="H30" s="358"/>
      <c r="I30" s="357"/>
    </row>
    <row r="31">
      <c r="A31" s="142">
        <v>34587.0</v>
      </c>
      <c r="B31" s="151" t="s">
        <v>32</v>
      </c>
      <c r="C31" s="116" t="str">
        <f t="shared" ref="C31:C34" si="6">HYPERLINK("http://phish.net/sideshows/trey-anastasio-band/?d="&amp;RIGHT(TEXT(A31,"mm/dd/yyyy"),4)&amp;"-"&amp;LEFT(TEXT(A31,"mm/dd/yyyy"),2)&amp;"-"&amp;MID(TEXT(A31,"mm/dd/yyyy"),4,2), "setlist")</f>
        <v>setlist</v>
      </c>
      <c r="D31" s="153" t="s">
        <v>728</v>
      </c>
      <c r="E31" s="272" t="s">
        <v>279</v>
      </c>
      <c r="F31" s="115" t="s">
        <v>257</v>
      </c>
      <c r="G31" s="151" t="s">
        <v>36</v>
      </c>
      <c r="H31" s="116" t="str">
        <f>HYPERLINK("http://www.mediafire.com/?dc1h6k5h7jwz9", "download link")</f>
        <v>download link</v>
      </c>
      <c r="I31" s="79"/>
    </row>
    <row r="32">
      <c r="A32" s="103">
        <v>34588.0</v>
      </c>
      <c r="B32" s="131"/>
      <c r="C32" s="105" t="str">
        <f t="shared" si="6"/>
        <v>setlist</v>
      </c>
      <c r="D32" s="132" t="s">
        <v>2805</v>
      </c>
      <c r="E32" s="181" t="s">
        <v>247</v>
      </c>
      <c r="F32" s="107" t="s">
        <v>95</v>
      </c>
      <c r="G32" s="133" t="s">
        <v>36</v>
      </c>
      <c r="H32" s="105" t="str">
        <f>HYPERLINK("http://www.mediafire.com/?w2r4jojw40kjp", "download link")</f>
        <v>download link</v>
      </c>
      <c r="I32" s="174"/>
    </row>
    <row r="33">
      <c r="A33" s="142">
        <v>34596.0</v>
      </c>
      <c r="B33" s="156"/>
      <c r="C33" s="116" t="str">
        <f t="shared" si="6"/>
        <v>setlist</v>
      </c>
      <c r="D33" s="153" t="s">
        <v>2806</v>
      </c>
      <c r="E33" s="272" t="s">
        <v>34</v>
      </c>
      <c r="F33" s="115" t="s">
        <v>35</v>
      </c>
      <c r="G33" s="156"/>
      <c r="H33" s="145"/>
      <c r="I33" s="79"/>
    </row>
    <row r="34">
      <c r="A34" s="103">
        <v>34596.0</v>
      </c>
      <c r="B34" s="104"/>
      <c r="C34" s="105" t="str">
        <f t="shared" si="6"/>
        <v>setlist</v>
      </c>
      <c r="D34" s="132" t="s">
        <v>2807</v>
      </c>
      <c r="E34" s="181" t="s">
        <v>34</v>
      </c>
      <c r="F34" s="107" t="s">
        <v>35</v>
      </c>
      <c r="G34" s="131"/>
      <c r="H34" s="108"/>
      <c r="I34" s="174"/>
    </row>
    <row r="35">
      <c r="A35" s="350"/>
      <c r="B35" s="351"/>
      <c r="C35" s="351"/>
      <c r="D35" s="356" t="s">
        <v>3505</v>
      </c>
      <c r="E35" s="357"/>
      <c r="F35" s="351"/>
      <c r="G35" s="351"/>
      <c r="H35" s="358"/>
      <c r="I35" s="357"/>
    </row>
    <row r="36">
      <c r="A36" s="110">
        <v>34831.0</v>
      </c>
      <c r="B36" s="111"/>
      <c r="C36" s="116" t="str">
        <f>HYPERLINK("http://phish.net/sideshows/guest-appearance/?d=1995-05-12", "setlist")</f>
        <v>setlist</v>
      </c>
      <c r="D36" s="183" t="s">
        <v>3506</v>
      </c>
      <c r="E36" s="183" t="s">
        <v>94</v>
      </c>
      <c r="F36" s="114" t="s">
        <v>95</v>
      </c>
      <c r="G36" s="111"/>
      <c r="H36" s="138"/>
    </row>
    <row r="37">
      <c r="A37" s="350"/>
      <c r="B37" s="351"/>
      <c r="C37" s="352"/>
      <c r="D37" s="356" t="s">
        <v>3507</v>
      </c>
      <c r="E37" s="357"/>
      <c r="F37" s="351"/>
      <c r="G37" s="351"/>
      <c r="H37" s="358"/>
      <c r="I37" s="357"/>
    </row>
    <row r="38">
      <c r="A38" s="110">
        <v>34890.0</v>
      </c>
      <c r="B38" s="111"/>
      <c r="C38" s="116" t="str">
        <f t="shared" ref="C38:C40" si="7">HYPERLINK("http://phish.net/sideshows/jon-fishman/?d="&amp;RIGHT(TEXT(A38,"mm/dd/yyyy"),4)&amp;"-"&amp;LEFT(TEXT(A38,"mm/dd/yyyy"),2)&amp;"-"&amp;MID(TEXT(A38,"mm/dd/yyyy"),4,2), "setlist")</f>
        <v>setlist</v>
      </c>
      <c r="D38" s="183" t="s">
        <v>2811</v>
      </c>
      <c r="E38" s="183" t="s">
        <v>34</v>
      </c>
      <c r="F38" s="114" t="s">
        <v>35</v>
      </c>
      <c r="G38" s="111"/>
      <c r="H38" s="138"/>
    </row>
    <row r="39">
      <c r="A39" s="103">
        <v>34897.0</v>
      </c>
      <c r="B39" s="104"/>
      <c r="C39" s="105" t="str">
        <f t="shared" si="7"/>
        <v>setlist</v>
      </c>
      <c r="D39" s="181" t="s">
        <v>2811</v>
      </c>
      <c r="E39" s="181" t="s">
        <v>34</v>
      </c>
      <c r="F39" s="107" t="s">
        <v>35</v>
      </c>
      <c r="G39" s="104"/>
      <c r="H39" s="108"/>
      <c r="I39" s="260"/>
    </row>
    <row r="40">
      <c r="A40" s="110">
        <v>34904.0</v>
      </c>
      <c r="B40" s="114" t="s">
        <v>32</v>
      </c>
      <c r="C40" s="116" t="str">
        <f t="shared" si="7"/>
        <v>setlist</v>
      </c>
      <c r="D40" s="183" t="s">
        <v>2811</v>
      </c>
      <c r="E40" s="183" t="s">
        <v>34</v>
      </c>
      <c r="F40" s="114" t="s">
        <v>35</v>
      </c>
      <c r="G40" s="114" t="s">
        <v>36</v>
      </c>
      <c r="H40" s="135" t="str">
        <f>HYPERLINK("http://www.mediafire.com/?a1dgxu4s0d9uw", "download link")</f>
        <v>download link</v>
      </c>
      <c r="I40" s="183" t="s">
        <v>3508</v>
      </c>
    </row>
    <row r="41">
      <c r="A41" s="350"/>
      <c r="B41" s="351"/>
      <c r="C41" s="352"/>
      <c r="D41" s="356" t="s">
        <v>2800</v>
      </c>
      <c r="E41" s="357"/>
      <c r="F41" s="351"/>
      <c r="G41" s="351"/>
      <c r="H41" s="358"/>
      <c r="I41" s="357"/>
    </row>
    <row r="42">
      <c r="A42" s="110">
        <v>35088.0</v>
      </c>
      <c r="B42" s="111"/>
      <c r="C42" s="116" t="str">
        <f>HYPERLINK("http://phish.net/sideshows/jon-fishman/?d="&amp;RIGHT(TEXT(A42,"mm/dd/yyyy"),4)&amp;"-"&amp;LEFT(TEXT(A42,"mm/dd/yyyy"),2)&amp;"-"&amp;MID(TEXT(A42,"mm/dd/yyyy"),4,2), "setlist")</f>
        <v>setlist</v>
      </c>
      <c r="D42" s="183" t="s">
        <v>2808</v>
      </c>
      <c r="E42" s="183" t="s">
        <v>34</v>
      </c>
      <c r="F42" s="114" t="s">
        <v>35</v>
      </c>
      <c r="G42" s="114" t="s">
        <v>36</v>
      </c>
      <c r="H42" s="135" t="str">
        <f>HYPERLINK("http://www.mediafire.com/?x7896dgvj9vy5", "download link")</f>
        <v>download link</v>
      </c>
    </row>
    <row r="43">
      <c r="A43" s="350"/>
      <c r="B43" s="351"/>
      <c r="C43" s="352"/>
      <c r="D43" s="356" t="s">
        <v>2809</v>
      </c>
      <c r="E43" s="357"/>
      <c r="F43" s="351"/>
      <c r="G43" s="351"/>
      <c r="H43" s="358"/>
      <c r="I43" s="357"/>
    </row>
    <row r="44">
      <c r="A44" s="110">
        <v>35156.0</v>
      </c>
      <c r="B44" s="111"/>
      <c r="C44" s="116" t="str">
        <f t="shared" ref="C44:C45" si="8">HYPERLINK("http://phish.net/sideshows/jon-fishman/?d="&amp;RIGHT(TEXT(A44,"mm/dd/yyyy"),4)&amp;"-"&amp;LEFT(TEXT(A44,"mm/dd/yyyy"),2)&amp;"-"&amp;MID(TEXT(A44,"mm/dd/yyyy"),4,2), "setlist")</f>
        <v>setlist</v>
      </c>
      <c r="D44" s="183" t="s">
        <v>749</v>
      </c>
      <c r="E44" s="183" t="s">
        <v>162</v>
      </c>
      <c r="F44" s="114" t="s">
        <v>129</v>
      </c>
      <c r="G44" s="148" t="s">
        <v>36</v>
      </c>
      <c r="H44" s="135" t="str">
        <f>HYPERLINK("http://www.mediafire.com/?52y5533epmrdz", "download link")</f>
        <v>download link</v>
      </c>
    </row>
    <row r="45">
      <c r="A45" s="103">
        <v>35157.0</v>
      </c>
      <c r="B45" s="104"/>
      <c r="C45" s="105" t="str">
        <f t="shared" si="8"/>
        <v>setlist</v>
      </c>
      <c r="D45" s="181" t="s">
        <v>749</v>
      </c>
      <c r="E45" s="181" t="s">
        <v>162</v>
      </c>
      <c r="F45" s="107" t="s">
        <v>129</v>
      </c>
      <c r="G45" s="133" t="s">
        <v>36</v>
      </c>
      <c r="H45" s="105" t="str">
        <f>HYPERLINK("http://www.mediafire.com/?3duykdo541s2j", "download link")</f>
        <v>download link</v>
      </c>
      <c r="I45" s="181" t="s">
        <v>2810</v>
      </c>
    </row>
    <row r="46">
      <c r="A46" s="350"/>
      <c r="B46" s="351"/>
      <c r="C46" s="352"/>
      <c r="D46" s="356" t="s">
        <v>3507</v>
      </c>
      <c r="E46" s="357"/>
      <c r="F46" s="351"/>
      <c r="G46" s="351"/>
      <c r="H46" s="358"/>
      <c r="I46" s="357"/>
    </row>
    <row r="47">
      <c r="A47" s="110">
        <v>35170.0</v>
      </c>
      <c r="B47" s="111"/>
      <c r="C47" s="116" t="str">
        <f t="shared" ref="C47:C49" si="9">HYPERLINK("http://phish.net/sideshows/jon-fishman/?d="&amp;RIGHT(TEXT(A47,"mm/dd/yyyy"),4)&amp;"-"&amp;LEFT(TEXT(A47,"mm/dd/yyyy"),2)&amp;"-"&amp;MID(TEXT(A47,"mm/dd/yyyy"),4,2), "setlist")</f>
        <v>setlist</v>
      </c>
      <c r="D47" s="183" t="s">
        <v>2811</v>
      </c>
      <c r="E47" s="183" t="s">
        <v>34</v>
      </c>
      <c r="F47" s="114" t="s">
        <v>35</v>
      </c>
      <c r="G47" s="111"/>
      <c r="H47" s="138"/>
    </row>
    <row r="48">
      <c r="A48" s="103">
        <v>35177.0</v>
      </c>
      <c r="B48" s="104"/>
      <c r="C48" s="105" t="str">
        <f t="shared" si="9"/>
        <v>setlist</v>
      </c>
      <c r="D48" s="181" t="s">
        <v>2811</v>
      </c>
      <c r="E48" s="181" t="s">
        <v>34</v>
      </c>
      <c r="F48" s="107" t="s">
        <v>35</v>
      </c>
      <c r="G48" s="104"/>
      <c r="H48" s="108"/>
      <c r="I48" s="260"/>
    </row>
    <row r="49">
      <c r="A49" s="110">
        <v>35296.0</v>
      </c>
      <c r="B49" s="111"/>
      <c r="C49" s="116" t="str">
        <f t="shared" si="9"/>
        <v>setlist</v>
      </c>
      <c r="D49" s="183" t="s">
        <v>2811</v>
      </c>
      <c r="E49" s="183" t="s">
        <v>34</v>
      </c>
      <c r="F49" s="114" t="s">
        <v>35</v>
      </c>
      <c r="G49" s="111"/>
      <c r="H49" s="138"/>
    </row>
    <row r="50">
      <c r="A50" s="350"/>
      <c r="B50" s="351"/>
      <c r="C50" s="352"/>
      <c r="D50" s="356" t="s">
        <v>3507</v>
      </c>
      <c r="E50" s="357"/>
      <c r="F50" s="351"/>
      <c r="G50" s="351"/>
      <c r="H50" s="358"/>
      <c r="I50" s="357"/>
    </row>
    <row r="51">
      <c r="A51" s="110">
        <v>35457.0</v>
      </c>
      <c r="B51" s="111"/>
      <c r="C51" s="116" t="str">
        <f t="shared" ref="C51:C56" si="10">HYPERLINK("http://phish.net/sideshows/jon-fishman/?d="&amp;RIGHT(TEXT(A51,"mm/dd/yyyy"),4)&amp;"-"&amp;LEFT(TEXT(A51,"mm/dd/yyyy"),2)&amp;"-"&amp;MID(TEXT(A51,"mm/dd/yyyy"),4,2), "setlist")</f>
        <v>setlist</v>
      </c>
      <c r="D51" s="183" t="s">
        <v>2811</v>
      </c>
      <c r="E51" s="183" t="s">
        <v>34</v>
      </c>
      <c r="F51" s="114" t="s">
        <v>35</v>
      </c>
      <c r="G51" s="111"/>
      <c r="H51" s="138"/>
    </row>
    <row r="52">
      <c r="A52" s="103">
        <v>35562.0</v>
      </c>
      <c r="B52" s="104"/>
      <c r="C52" s="105" t="str">
        <f t="shared" si="10"/>
        <v>setlist</v>
      </c>
      <c r="D52" s="181" t="s">
        <v>2811</v>
      </c>
      <c r="E52" s="181" t="s">
        <v>34</v>
      </c>
      <c r="F52" s="107" t="s">
        <v>35</v>
      </c>
      <c r="G52" s="104"/>
      <c r="H52" s="108"/>
      <c r="I52" s="260"/>
    </row>
    <row r="53">
      <c r="A53" s="110">
        <v>35565.0</v>
      </c>
      <c r="B53" s="111"/>
      <c r="C53" s="116" t="str">
        <f t="shared" si="10"/>
        <v>setlist</v>
      </c>
      <c r="D53" s="183" t="s">
        <v>2805</v>
      </c>
      <c r="E53" s="183" t="s">
        <v>247</v>
      </c>
      <c r="F53" s="114" t="s">
        <v>95</v>
      </c>
      <c r="G53" s="111"/>
      <c r="H53" s="138"/>
    </row>
    <row r="54">
      <c r="A54" s="103">
        <v>35569.0</v>
      </c>
      <c r="B54" s="104"/>
      <c r="C54" s="105" t="str">
        <f t="shared" si="10"/>
        <v>setlist</v>
      </c>
      <c r="D54" s="181" t="s">
        <v>2811</v>
      </c>
      <c r="E54" s="181" t="s">
        <v>34</v>
      </c>
      <c r="F54" s="107" t="s">
        <v>35</v>
      </c>
      <c r="G54" s="104"/>
      <c r="H54" s="108"/>
      <c r="I54" s="260"/>
    </row>
    <row r="55">
      <c r="A55" s="110">
        <v>35576.0</v>
      </c>
      <c r="B55" s="111"/>
      <c r="C55" s="116" t="str">
        <f t="shared" si="10"/>
        <v>setlist</v>
      </c>
      <c r="D55" s="183" t="s">
        <v>2811</v>
      </c>
      <c r="E55" s="183" t="s">
        <v>34</v>
      </c>
      <c r="F55" s="114" t="s">
        <v>35</v>
      </c>
      <c r="G55" s="111"/>
      <c r="H55" s="138"/>
    </row>
    <row r="56">
      <c r="A56" s="103">
        <v>35660.0</v>
      </c>
      <c r="B56" s="104"/>
      <c r="C56" s="105" t="str">
        <f t="shared" si="10"/>
        <v>setlist</v>
      </c>
      <c r="D56" s="181" t="s">
        <v>2811</v>
      </c>
      <c r="E56" s="181" t="s">
        <v>34</v>
      </c>
      <c r="F56" s="107" t="s">
        <v>35</v>
      </c>
      <c r="G56" s="104"/>
      <c r="H56" s="108"/>
      <c r="I56" s="260"/>
    </row>
    <row r="57">
      <c r="A57" s="350"/>
      <c r="B57" s="351"/>
      <c r="C57" s="352"/>
      <c r="D57" s="356" t="s">
        <v>3200</v>
      </c>
      <c r="E57" s="357"/>
      <c r="F57" s="351"/>
      <c r="G57" s="351"/>
      <c r="H57" s="358"/>
      <c r="I57" s="357"/>
    </row>
    <row r="58">
      <c r="A58" s="110">
        <v>35693.0</v>
      </c>
      <c r="B58" s="111"/>
      <c r="C58" s="116" t="str">
        <f>HYPERLINK("http://phish.net/sideshows/jon-fishman/?d="&amp;RIGHT(TEXT(A58,"mm/dd/yyyy"),4)&amp;"-"&amp;LEFT(TEXT(A58,"mm/dd/yyyy"),2)&amp;"-"&amp;MID(TEXT(A58,"mm/dd/yyyy"),4,2), "setlist")</f>
        <v>setlist</v>
      </c>
      <c r="D58" s="183" t="s">
        <v>2811</v>
      </c>
      <c r="E58" s="183" t="s">
        <v>34</v>
      </c>
      <c r="F58" s="114" t="s">
        <v>35</v>
      </c>
      <c r="G58" s="111"/>
      <c r="H58" s="138"/>
    </row>
    <row r="59">
      <c r="A59" s="103">
        <v>35698.0</v>
      </c>
      <c r="B59" s="104"/>
      <c r="C59" s="105" t="str">
        <f>HYPERLINK("http://phish.net/sideshows/guest-appearance/?d=1997-09-25", "setlist")</f>
        <v>setlist</v>
      </c>
      <c r="D59" s="181" t="s">
        <v>51</v>
      </c>
      <c r="E59" s="181" t="s">
        <v>34</v>
      </c>
      <c r="F59" s="107" t="s">
        <v>35</v>
      </c>
      <c r="G59" s="141" t="s">
        <v>36</v>
      </c>
      <c r="H59" s="393" t="str">
        <f>HYPERLINK("http://www.mediafire.com/download/d5rqiv17lixyw7q/1997-09-25_-_Slade_Hall%2C_University_of_Vermont_-_Burlington%2C_VT.rar", "download link")</f>
        <v>download link</v>
      </c>
      <c r="I59" s="260"/>
    </row>
    <row r="60">
      <c r="A60" s="350"/>
      <c r="B60" s="351"/>
      <c r="C60" s="352"/>
      <c r="D60" s="356" t="s">
        <v>3507</v>
      </c>
      <c r="E60" s="357"/>
      <c r="F60" s="351"/>
      <c r="G60" s="351"/>
      <c r="H60" s="358"/>
      <c r="I60" s="357"/>
    </row>
    <row r="61">
      <c r="A61" s="110">
        <v>35722.0</v>
      </c>
      <c r="B61" s="111"/>
      <c r="C61" s="116" t="str">
        <f>HYPERLINK("http://phish.net/sideshows/jon-fishman/?d="&amp;RIGHT(TEXT(A61,"mm/dd/yyyy"),4)&amp;"-"&amp;LEFT(TEXT(A61,"mm/dd/yyyy"),2)&amp;"-"&amp;MID(TEXT(A61,"mm/dd/yyyy"),4,2), "setlist")</f>
        <v>setlist</v>
      </c>
      <c r="D61" s="183" t="s">
        <v>2811</v>
      </c>
      <c r="E61" s="183" t="s">
        <v>34</v>
      </c>
      <c r="F61" s="114" t="s">
        <v>35</v>
      </c>
      <c r="G61" s="111"/>
      <c r="H61" s="138"/>
      <c r="I61" s="183" t="s">
        <v>3509</v>
      </c>
    </row>
    <row r="62">
      <c r="A62" s="350"/>
      <c r="B62" s="351"/>
      <c r="C62" s="352"/>
      <c r="D62" s="356" t="s">
        <v>3510</v>
      </c>
      <c r="E62" s="357"/>
      <c r="F62" s="351"/>
      <c r="G62" s="351"/>
      <c r="H62" s="358"/>
      <c r="I62" s="357"/>
    </row>
    <row r="63">
      <c r="A63" s="110">
        <v>35786.0</v>
      </c>
      <c r="B63" s="111"/>
      <c r="C63" s="116" t="str">
        <f>HYPERLINK("http://phish.net/sideshows/guest-appearance/?d=1997-12-22", "setlist")</f>
        <v>setlist</v>
      </c>
      <c r="D63" s="183" t="s">
        <v>761</v>
      </c>
      <c r="E63" s="183" t="s">
        <v>437</v>
      </c>
      <c r="F63" s="114" t="s">
        <v>433</v>
      </c>
      <c r="G63" s="111"/>
      <c r="H63" s="138"/>
    </row>
    <row r="64">
      <c r="A64" s="350"/>
      <c r="B64" s="351"/>
      <c r="C64" s="352"/>
      <c r="D64" s="356" t="s">
        <v>3507</v>
      </c>
      <c r="E64" s="357"/>
      <c r="F64" s="351"/>
      <c r="G64" s="351"/>
      <c r="H64" s="358"/>
      <c r="I64" s="357"/>
    </row>
    <row r="65">
      <c r="A65" s="110">
        <v>35808.0</v>
      </c>
      <c r="B65" s="111"/>
      <c r="C65" s="116" t="str">
        <f>HYPERLINK("http://phish.net/sideshows/jon-fishman/?d="&amp;RIGHT(TEXT(A65,"mm/dd/yyyy"),4)&amp;"-"&amp;LEFT(TEXT(A65,"mm/dd/yyyy"),2)&amp;"-"&amp;MID(TEXT(A65,"mm/dd/yyyy"),4,2), "setlist")</f>
        <v>setlist</v>
      </c>
      <c r="D65" s="183" t="s">
        <v>2805</v>
      </c>
      <c r="E65" s="183" t="s">
        <v>247</v>
      </c>
      <c r="F65" s="114" t="s">
        <v>95</v>
      </c>
      <c r="G65" s="111"/>
      <c r="H65" s="138"/>
    </row>
    <row r="66">
      <c r="A66" s="350"/>
      <c r="B66" s="351"/>
      <c r="C66" s="352"/>
      <c r="D66" s="356" t="s">
        <v>2793</v>
      </c>
      <c r="E66" s="357"/>
      <c r="F66" s="351"/>
      <c r="G66" s="351"/>
      <c r="H66" s="358"/>
      <c r="I66" s="357"/>
    </row>
    <row r="67">
      <c r="A67" s="110">
        <v>35815.0</v>
      </c>
      <c r="B67" s="111"/>
      <c r="C67" s="116" t="str">
        <f t="shared" ref="C67:C82" si="11">HYPERLINK("http://phish.net/sideshows/jon-fishman/?d="&amp;RIGHT(TEXT(A67,"mm/dd/yyyy"),4)&amp;"-"&amp;LEFT(TEXT(A67,"mm/dd/yyyy"),2)&amp;"-"&amp;MID(TEXT(A67,"mm/dd/yyyy"),4,2), "setlist")</f>
        <v>setlist</v>
      </c>
      <c r="D67" s="183" t="s">
        <v>3224</v>
      </c>
      <c r="E67" s="183" t="s">
        <v>871</v>
      </c>
      <c r="F67" s="114" t="s">
        <v>212</v>
      </c>
      <c r="G67" s="111"/>
      <c r="H67" s="138"/>
    </row>
    <row r="68">
      <c r="A68" s="103">
        <v>35816.0</v>
      </c>
      <c r="B68" s="104"/>
      <c r="C68" s="105" t="str">
        <f t="shared" si="11"/>
        <v>setlist</v>
      </c>
      <c r="D68" s="181" t="s">
        <v>3511</v>
      </c>
      <c r="E68" s="181" t="s">
        <v>162</v>
      </c>
      <c r="F68" s="107" t="s">
        <v>129</v>
      </c>
      <c r="G68" s="104"/>
      <c r="H68" s="108"/>
      <c r="I68" s="260"/>
    </row>
    <row r="69">
      <c r="A69" s="110">
        <v>35817.0</v>
      </c>
      <c r="B69" s="111"/>
      <c r="C69" s="116" t="str">
        <f t="shared" si="11"/>
        <v>setlist</v>
      </c>
      <c r="D69" s="183" t="s">
        <v>3279</v>
      </c>
      <c r="E69" s="183" t="s">
        <v>3280</v>
      </c>
      <c r="F69" s="114" t="s">
        <v>446</v>
      </c>
      <c r="G69" s="111"/>
      <c r="H69" s="138"/>
    </row>
    <row r="70">
      <c r="A70" s="103">
        <v>35818.0</v>
      </c>
      <c r="B70" s="104"/>
      <c r="C70" s="105" t="str">
        <f t="shared" si="11"/>
        <v>setlist</v>
      </c>
      <c r="D70" s="181" t="s">
        <v>3043</v>
      </c>
      <c r="E70" s="181" t="s">
        <v>396</v>
      </c>
      <c r="F70" s="107" t="s">
        <v>397</v>
      </c>
      <c r="G70" s="104"/>
      <c r="H70" s="108"/>
      <c r="I70" s="260"/>
    </row>
    <row r="71">
      <c r="A71" s="110">
        <v>35821.0</v>
      </c>
      <c r="B71" s="111"/>
      <c r="C71" s="116" t="str">
        <f t="shared" si="11"/>
        <v>setlist</v>
      </c>
      <c r="D71" s="183" t="s">
        <v>3512</v>
      </c>
      <c r="E71" s="183" t="s">
        <v>1209</v>
      </c>
      <c r="F71" s="114" t="s">
        <v>1210</v>
      </c>
      <c r="G71" s="111"/>
      <c r="H71" s="138"/>
    </row>
    <row r="72">
      <c r="A72" s="103">
        <v>35822.0</v>
      </c>
      <c r="B72" s="104"/>
      <c r="C72" s="105" t="str">
        <f t="shared" si="11"/>
        <v>setlist</v>
      </c>
      <c r="D72" s="181" t="s">
        <v>3513</v>
      </c>
      <c r="E72" s="181" t="s">
        <v>2327</v>
      </c>
      <c r="F72" s="107" t="s">
        <v>443</v>
      </c>
      <c r="G72" s="107" t="s">
        <v>36</v>
      </c>
      <c r="H72" s="105" t="str">
        <f>HYPERLINK("http://www.mediafire.com/?j0nxyupv9wsq9", "download link")</f>
        <v>download link</v>
      </c>
      <c r="I72" s="260"/>
    </row>
    <row r="73">
      <c r="A73" s="110">
        <v>35823.0</v>
      </c>
      <c r="B73" s="111"/>
      <c r="C73" s="116" t="str">
        <f t="shared" si="11"/>
        <v>setlist</v>
      </c>
      <c r="D73" s="183" t="s">
        <v>441</v>
      </c>
      <c r="E73" s="183" t="s">
        <v>545</v>
      </c>
      <c r="F73" s="114" t="s">
        <v>443</v>
      </c>
      <c r="G73" s="111"/>
      <c r="H73" s="138"/>
    </row>
    <row r="74">
      <c r="A74" s="103">
        <v>35824.0</v>
      </c>
      <c r="B74" s="104"/>
      <c r="C74" s="105" t="str">
        <f t="shared" si="11"/>
        <v>setlist</v>
      </c>
      <c r="D74" s="181" t="s">
        <v>431</v>
      </c>
      <c r="E74" s="181" t="s">
        <v>432</v>
      </c>
      <c r="F74" s="107" t="s">
        <v>433</v>
      </c>
      <c r="G74" s="104"/>
      <c r="H74" s="108"/>
      <c r="I74" s="260"/>
    </row>
    <row r="75">
      <c r="A75" s="110">
        <v>35825.0</v>
      </c>
      <c r="B75" s="111"/>
      <c r="C75" s="116" t="str">
        <f t="shared" si="11"/>
        <v>setlist</v>
      </c>
      <c r="D75" s="183" t="s">
        <v>3514</v>
      </c>
      <c r="E75" s="183" t="s">
        <v>1360</v>
      </c>
      <c r="F75" s="114" t="s">
        <v>583</v>
      </c>
      <c r="G75" s="111"/>
      <c r="H75" s="138"/>
    </row>
    <row r="76">
      <c r="A76" s="103">
        <v>35826.0</v>
      </c>
      <c r="B76" s="104"/>
      <c r="C76" s="105" t="str">
        <f t="shared" si="11"/>
        <v>setlist</v>
      </c>
      <c r="D76" s="181" t="s">
        <v>3515</v>
      </c>
      <c r="E76" s="181" t="s">
        <v>585</v>
      </c>
      <c r="F76" s="107" t="s">
        <v>586</v>
      </c>
      <c r="G76" s="104"/>
      <c r="H76" s="108"/>
      <c r="I76" s="260"/>
    </row>
    <row r="77">
      <c r="A77" s="110">
        <v>35828.0</v>
      </c>
      <c r="B77" s="111"/>
      <c r="C77" s="116" t="str">
        <f t="shared" si="11"/>
        <v>setlist</v>
      </c>
      <c r="D77" s="183" t="s">
        <v>2999</v>
      </c>
      <c r="E77" s="183" t="s">
        <v>591</v>
      </c>
      <c r="F77" s="114" t="s">
        <v>589</v>
      </c>
      <c r="G77" s="111"/>
      <c r="H77" s="138"/>
    </row>
    <row r="78">
      <c r="A78" s="103">
        <v>35829.0</v>
      </c>
      <c r="B78" s="104"/>
      <c r="C78" s="105" t="str">
        <f t="shared" si="11"/>
        <v>setlist</v>
      </c>
      <c r="D78" s="181" t="s">
        <v>2999</v>
      </c>
      <c r="E78" s="181" t="s">
        <v>591</v>
      </c>
      <c r="F78" s="107" t="s">
        <v>589</v>
      </c>
      <c r="G78" s="104"/>
      <c r="H78" s="108"/>
      <c r="I78" s="260"/>
    </row>
    <row r="79">
      <c r="A79" s="110">
        <v>35831.0</v>
      </c>
      <c r="B79" s="111"/>
      <c r="C79" s="116" t="str">
        <f t="shared" si="11"/>
        <v>setlist</v>
      </c>
      <c r="D79" s="183" t="s">
        <v>3516</v>
      </c>
      <c r="E79" s="183" t="s">
        <v>437</v>
      </c>
      <c r="F79" s="114" t="s">
        <v>433</v>
      </c>
      <c r="G79" s="111"/>
      <c r="H79" s="138"/>
    </row>
    <row r="80">
      <c r="A80" s="103">
        <v>35832.0</v>
      </c>
      <c r="B80" s="107" t="s">
        <v>32</v>
      </c>
      <c r="C80" s="105" t="str">
        <f t="shared" si="11"/>
        <v>setlist</v>
      </c>
      <c r="D80" s="181" t="s">
        <v>3517</v>
      </c>
      <c r="E80" s="181" t="s">
        <v>652</v>
      </c>
      <c r="F80" s="107" t="s">
        <v>650</v>
      </c>
      <c r="G80" s="107" t="s">
        <v>36</v>
      </c>
      <c r="H80" s="105" t="str">
        <f>HYPERLINK("http://www.mediafire.com/?0tnhdk8bjcehw", "download link")</f>
        <v>download link</v>
      </c>
      <c r="I80" s="260"/>
    </row>
    <row r="81">
      <c r="A81" s="110">
        <v>35833.0</v>
      </c>
      <c r="B81" s="111"/>
      <c r="C81" s="116" t="str">
        <f t="shared" si="11"/>
        <v>setlist</v>
      </c>
      <c r="D81" s="183" t="s">
        <v>3518</v>
      </c>
      <c r="E81" s="183" t="s">
        <v>943</v>
      </c>
      <c r="F81" s="114" t="s">
        <v>472</v>
      </c>
      <c r="G81" s="111"/>
      <c r="H81" s="138"/>
    </row>
    <row r="82">
      <c r="A82" s="103">
        <v>35834.0</v>
      </c>
      <c r="B82" s="104"/>
      <c r="C82" s="105" t="str">
        <f t="shared" si="11"/>
        <v>setlist</v>
      </c>
      <c r="D82" s="181" t="s">
        <v>3519</v>
      </c>
      <c r="E82" s="181" t="s">
        <v>1073</v>
      </c>
      <c r="F82" s="107" t="s">
        <v>212</v>
      </c>
      <c r="G82" s="107" t="s">
        <v>36</v>
      </c>
      <c r="H82" s="105" t="str">
        <f>HYPERLINK("http://www.mediafire.com/?xg9039sw3x8j7", "download link")</f>
        <v>download link</v>
      </c>
      <c r="I82" s="260"/>
    </row>
    <row r="83">
      <c r="A83" s="350"/>
      <c r="B83" s="351"/>
      <c r="C83" s="352"/>
      <c r="D83" s="356" t="s">
        <v>2793</v>
      </c>
      <c r="E83" s="357"/>
      <c r="F83" s="351"/>
      <c r="G83" s="351"/>
      <c r="H83" s="358"/>
      <c r="I83" s="357"/>
    </row>
    <row r="84">
      <c r="A84" s="110">
        <v>36201.0</v>
      </c>
      <c r="B84" s="111"/>
      <c r="C84" s="116" t="str">
        <f t="shared" ref="C84:C87" si="12">HYPERLINK("http://phish.net/sideshows/jon-fishman/?d="&amp;RIGHT(TEXT(A84,"mm/dd/yyyy"),4)&amp;"-"&amp;LEFT(TEXT(A84,"mm/dd/yyyy"),2)&amp;"-"&amp;MID(TEXT(A84,"mm/dd/yyyy"),4,2), "setlist")</f>
        <v>setlist</v>
      </c>
      <c r="D84" s="183" t="s">
        <v>2817</v>
      </c>
      <c r="E84" s="183" t="s">
        <v>854</v>
      </c>
      <c r="F84" s="114" t="s">
        <v>35</v>
      </c>
      <c r="G84" s="111"/>
      <c r="H84" s="138"/>
    </row>
    <row r="85">
      <c r="A85" s="103">
        <v>36202.0</v>
      </c>
      <c r="B85" s="104"/>
      <c r="C85" s="105" t="str">
        <f t="shared" si="12"/>
        <v>setlist</v>
      </c>
      <c r="D85" s="181" t="s">
        <v>562</v>
      </c>
      <c r="E85" s="181" t="s">
        <v>290</v>
      </c>
      <c r="F85" s="107" t="s">
        <v>95</v>
      </c>
      <c r="G85" s="104"/>
      <c r="H85" s="108"/>
      <c r="I85" s="260"/>
    </row>
    <row r="86">
      <c r="A86" s="110">
        <v>36203.0</v>
      </c>
      <c r="B86" s="111"/>
      <c r="C86" s="116" t="str">
        <f t="shared" si="12"/>
        <v>setlist</v>
      </c>
      <c r="D86" s="183" t="s">
        <v>3210</v>
      </c>
      <c r="E86" s="183" t="s">
        <v>162</v>
      </c>
      <c r="F86" s="114" t="s">
        <v>129</v>
      </c>
      <c r="G86" s="114" t="s">
        <v>36</v>
      </c>
      <c r="H86" s="135" t="str">
        <f>HYPERLINK("http://www.mediafire.com/?ck163po728g6a", "download link")</f>
        <v>download link</v>
      </c>
    </row>
    <row r="87">
      <c r="A87" s="103">
        <v>36204.0</v>
      </c>
      <c r="B87" s="104"/>
      <c r="C87" s="105" t="str">
        <f t="shared" si="12"/>
        <v>setlist</v>
      </c>
      <c r="D87" s="181" t="s">
        <v>2838</v>
      </c>
      <c r="E87" s="181" t="s">
        <v>393</v>
      </c>
      <c r="F87" s="107" t="s">
        <v>394</v>
      </c>
      <c r="G87" s="104"/>
      <c r="H87" s="108"/>
      <c r="I87" s="260"/>
    </row>
    <row r="88">
      <c r="A88" s="350"/>
      <c r="B88" s="351"/>
      <c r="C88" s="352"/>
      <c r="D88" s="356" t="s">
        <v>3507</v>
      </c>
      <c r="E88" s="357"/>
      <c r="F88" s="351"/>
      <c r="G88" s="351"/>
      <c r="H88" s="358"/>
      <c r="I88" s="357"/>
    </row>
    <row r="89">
      <c r="A89" s="110">
        <v>36251.0</v>
      </c>
      <c r="B89" s="111"/>
      <c r="C89" s="116" t="str">
        <f t="shared" ref="C89:C99" si="13">HYPERLINK("http://phish.net/sideshows/jon-fishman/?d="&amp;RIGHT(TEXT(A89,"mm/dd/yyyy"),4)&amp;"-"&amp;LEFT(TEXT(A89,"mm/dd/yyyy"),2)&amp;"-"&amp;MID(TEXT(A89,"mm/dd/yyyy"),4,2), "setlist")</f>
        <v>setlist</v>
      </c>
      <c r="D89" s="183" t="s">
        <v>2817</v>
      </c>
      <c r="E89" s="183" t="s">
        <v>854</v>
      </c>
      <c r="F89" s="114" t="s">
        <v>35</v>
      </c>
      <c r="G89" s="111"/>
      <c r="H89" s="138"/>
    </row>
    <row r="90">
      <c r="A90" s="103">
        <v>36252.0</v>
      </c>
      <c r="B90" s="104"/>
      <c r="C90" s="105" t="str">
        <f t="shared" si="13"/>
        <v>setlist</v>
      </c>
      <c r="D90" s="181" t="s">
        <v>630</v>
      </c>
      <c r="E90" s="181" t="s">
        <v>631</v>
      </c>
      <c r="F90" s="107" t="s">
        <v>35</v>
      </c>
      <c r="G90" s="104"/>
      <c r="H90" s="108"/>
      <c r="I90" s="260"/>
    </row>
    <row r="91">
      <c r="A91" s="110">
        <v>36253.0</v>
      </c>
      <c r="B91" s="111"/>
      <c r="C91" s="116" t="str">
        <f t="shared" si="13"/>
        <v>setlist</v>
      </c>
      <c r="D91" s="183" t="s">
        <v>301</v>
      </c>
      <c r="E91" s="183" t="s">
        <v>247</v>
      </c>
      <c r="F91" s="114" t="s">
        <v>95</v>
      </c>
      <c r="G91" s="111"/>
      <c r="H91" s="138"/>
    </row>
    <row r="92">
      <c r="A92" s="103">
        <v>36255.0</v>
      </c>
      <c r="B92" s="104"/>
      <c r="C92" s="105" t="str">
        <f t="shared" si="13"/>
        <v>setlist</v>
      </c>
      <c r="D92" s="181" t="s">
        <v>3520</v>
      </c>
      <c r="E92" s="181" t="s">
        <v>279</v>
      </c>
      <c r="F92" s="107" t="s">
        <v>257</v>
      </c>
      <c r="G92" s="107" t="s">
        <v>36</v>
      </c>
      <c r="H92" s="105" t="str">
        <f>HYPERLINK("http://www.mediafire.com/?ccbc33ho59ypa", "download link")</f>
        <v>download link</v>
      </c>
      <c r="I92" s="260"/>
    </row>
    <row r="93">
      <c r="A93" s="110">
        <v>36256.0</v>
      </c>
      <c r="B93" s="111"/>
      <c r="C93" s="116" t="str">
        <f t="shared" si="13"/>
        <v>setlist</v>
      </c>
      <c r="D93" s="183" t="s">
        <v>260</v>
      </c>
      <c r="E93" s="183" t="s">
        <v>94</v>
      </c>
      <c r="F93" s="114" t="s">
        <v>95</v>
      </c>
      <c r="G93" s="111"/>
      <c r="H93" s="138"/>
    </row>
    <row r="94">
      <c r="A94" s="103">
        <v>36257.0</v>
      </c>
      <c r="B94" s="104"/>
      <c r="C94" s="105" t="str">
        <f t="shared" si="13"/>
        <v>setlist</v>
      </c>
      <c r="D94" s="181" t="s">
        <v>3018</v>
      </c>
      <c r="E94" s="181" t="s">
        <v>297</v>
      </c>
      <c r="F94" s="107" t="s">
        <v>298</v>
      </c>
      <c r="G94" s="104"/>
      <c r="H94" s="108"/>
      <c r="I94" s="260"/>
    </row>
    <row r="95">
      <c r="A95" s="110">
        <v>36258.0</v>
      </c>
      <c r="B95" s="111"/>
      <c r="C95" s="116" t="str">
        <f t="shared" si="13"/>
        <v>setlist</v>
      </c>
      <c r="D95" s="183" t="s">
        <v>458</v>
      </c>
      <c r="E95" s="183" t="s">
        <v>459</v>
      </c>
      <c r="F95" s="114" t="s">
        <v>171</v>
      </c>
      <c r="G95" s="111"/>
      <c r="H95" s="138"/>
    </row>
    <row r="96">
      <c r="A96" s="103">
        <v>36260.0</v>
      </c>
      <c r="B96" s="104"/>
      <c r="C96" s="105" t="str">
        <f t="shared" si="13"/>
        <v>setlist</v>
      </c>
      <c r="D96" s="181" t="s">
        <v>189</v>
      </c>
      <c r="E96" s="181" t="s">
        <v>162</v>
      </c>
      <c r="F96" s="107" t="s">
        <v>129</v>
      </c>
      <c r="G96" s="104"/>
      <c r="H96" s="108"/>
      <c r="I96" s="260"/>
    </row>
    <row r="97">
      <c r="A97" s="110">
        <v>36261.0</v>
      </c>
      <c r="B97" s="111"/>
      <c r="C97" s="116" t="str">
        <f t="shared" si="13"/>
        <v>setlist</v>
      </c>
      <c r="D97" s="183" t="s">
        <v>3521</v>
      </c>
      <c r="E97" s="183" t="s">
        <v>3522</v>
      </c>
      <c r="F97" s="114" t="s">
        <v>43</v>
      </c>
      <c r="G97" s="114" t="s">
        <v>36</v>
      </c>
      <c r="H97" s="135" t="str">
        <f>HYPERLINK("http://www.mediafire.com/?u0p0ha6iv0u90", "download link")</f>
        <v>download link</v>
      </c>
    </row>
    <row r="98">
      <c r="A98" s="103">
        <v>36263.0</v>
      </c>
      <c r="B98" s="104"/>
      <c r="C98" s="105" t="str">
        <f t="shared" si="13"/>
        <v>setlist</v>
      </c>
      <c r="D98" s="181" t="s">
        <v>3523</v>
      </c>
      <c r="E98" s="181" t="s">
        <v>871</v>
      </c>
      <c r="F98" s="107" t="s">
        <v>212</v>
      </c>
      <c r="G98" s="104"/>
      <c r="H98" s="108"/>
      <c r="I98" s="260"/>
    </row>
    <row r="99">
      <c r="A99" s="110">
        <v>36264.0</v>
      </c>
      <c r="B99" s="111"/>
      <c r="C99" s="116" t="str">
        <f t="shared" si="13"/>
        <v>setlist</v>
      </c>
      <c r="D99" s="183" t="s">
        <v>2838</v>
      </c>
      <c r="E99" s="183" t="s">
        <v>393</v>
      </c>
      <c r="F99" s="114" t="s">
        <v>394</v>
      </c>
      <c r="G99" s="111"/>
      <c r="H99" s="138"/>
    </row>
    <row r="100">
      <c r="A100" s="350"/>
      <c r="B100" s="351"/>
      <c r="C100" s="352"/>
      <c r="D100" s="356" t="s">
        <v>2793</v>
      </c>
      <c r="E100" s="357"/>
      <c r="F100" s="351"/>
      <c r="G100" s="351"/>
      <c r="H100" s="358"/>
      <c r="I100" s="357"/>
    </row>
    <row r="101">
      <c r="A101" s="110">
        <v>36292.0</v>
      </c>
      <c r="B101" s="111"/>
      <c r="C101" s="116" t="str">
        <f>HYPERLINK("http://phish.net/sideshows/jon-fishman/?d="&amp;RIGHT(TEXT(A101,"mm/dd/yyyy"),4)&amp;"-"&amp;LEFT(TEXT(A101,"mm/dd/yyyy"),2)&amp;"-"&amp;MID(TEXT(A101,"mm/dd/yyyy"),4,2), "setlist")</f>
        <v>setlist</v>
      </c>
      <c r="D101" s="183" t="s">
        <v>3519</v>
      </c>
      <c r="E101" s="183" t="s">
        <v>1073</v>
      </c>
      <c r="F101" s="114" t="s">
        <v>212</v>
      </c>
      <c r="G101" s="114" t="s">
        <v>36</v>
      </c>
      <c r="H101" s="135" t="str">
        <f>HYPERLINK("http://www.mediafire.com/?ke1td5n2t194j", "download link")</f>
        <v>download link</v>
      </c>
    </row>
    <row r="102">
      <c r="A102" s="103">
        <v>36293.0</v>
      </c>
      <c r="B102" s="104"/>
      <c r="C102" s="105" t="str">
        <f>HYPERLINK("http://phish.net/sideshows/jon-fishman/?showid=1324417985", "setlist")</f>
        <v>setlist</v>
      </c>
      <c r="D102" s="181" t="s">
        <v>3524</v>
      </c>
      <c r="E102" s="181" t="s">
        <v>3525</v>
      </c>
      <c r="F102" s="107" t="s">
        <v>397</v>
      </c>
      <c r="G102" s="104"/>
      <c r="H102" s="108"/>
      <c r="I102" s="260"/>
    </row>
    <row r="103">
      <c r="A103" s="110">
        <v>36294.0</v>
      </c>
      <c r="B103" s="111"/>
      <c r="C103" s="116" t="str">
        <f>HYPERLINK("http://phish.net/sideshows/jon-fishman/?showid=1324418344", "setlist")</f>
        <v>setlist</v>
      </c>
      <c r="D103" s="183" t="s">
        <v>3526</v>
      </c>
      <c r="E103" s="183" t="s">
        <v>718</v>
      </c>
      <c r="F103" s="114" t="s">
        <v>129</v>
      </c>
      <c r="G103" s="111"/>
      <c r="H103" s="138"/>
    </row>
    <row r="104">
      <c r="A104" s="103">
        <v>36295.0</v>
      </c>
      <c r="B104" s="104"/>
      <c r="C104" s="105" t="str">
        <f>HYPERLINK("http://phish.net/sideshows/jon-fishman/?showid=1324419931", "setlist")</f>
        <v>setlist</v>
      </c>
      <c r="D104" s="181" t="s">
        <v>329</v>
      </c>
      <c r="E104" s="181" t="s">
        <v>330</v>
      </c>
      <c r="F104" s="107" t="s">
        <v>129</v>
      </c>
      <c r="G104" s="104"/>
      <c r="H104" s="108"/>
      <c r="I104" s="260"/>
    </row>
    <row r="105">
      <c r="A105" s="350"/>
      <c r="B105" s="351"/>
      <c r="C105" s="352"/>
      <c r="D105" s="356" t="s">
        <v>2793</v>
      </c>
      <c r="E105" s="357"/>
      <c r="F105" s="351"/>
      <c r="G105" s="351"/>
      <c r="H105" s="358"/>
      <c r="I105" s="357"/>
    </row>
    <row r="106">
      <c r="A106" s="110">
        <v>36557.0</v>
      </c>
      <c r="B106" s="111"/>
      <c r="C106" s="116" t="str">
        <f t="shared" ref="C106:C108" si="14">HYPERLINK("http://phish.net/sideshows/jon-fishman/?d="&amp;RIGHT(TEXT(A106,"mm/dd/yyyy"),4)&amp;"-"&amp;LEFT(TEXT(A106,"mm/dd/yyyy"),2)&amp;"-"&amp;MID(TEXT(A106,"mm/dd/yyyy"),4,2), "setlist")</f>
        <v>setlist</v>
      </c>
      <c r="D106" s="183" t="s">
        <v>3527</v>
      </c>
      <c r="E106" s="183" t="s">
        <v>417</v>
      </c>
      <c r="F106" s="114" t="s">
        <v>95</v>
      </c>
      <c r="G106" s="114" t="s">
        <v>36</v>
      </c>
      <c r="H106" s="135" t="str">
        <f>HYPERLINK("http://www.mediafire.com/?o87eu39aag3av", "download link")</f>
        <v>download link</v>
      </c>
    </row>
    <row r="107">
      <c r="A107" s="103">
        <v>36559.0</v>
      </c>
      <c r="B107" s="104"/>
      <c r="C107" s="105" t="str">
        <f t="shared" si="14"/>
        <v>setlist</v>
      </c>
      <c r="D107" s="181" t="s">
        <v>3528</v>
      </c>
      <c r="E107" s="181" t="s">
        <v>773</v>
      </c>
      <c r="F107" s="107" t="s">
        <v>472</v>
      </c>
      <c r="G107" s="107" t="s">
        <v>36</v>
      </c>
      <c r="H107" s="105" t="str">
        <f>HYPERLINK("http://www.mediafire.com/?9l3qzsqx7vbkr", "download link")</f>
        <v>download link</v>
      </c>
      <c r="I107" s="260"/>
    </row>
    <row r="108">
      <c r="A108" s="110">
        <v>36560.0</v>
      </c>
      <c r="B108" s="111"/>
      <c r="C108" s="116" t="str">
        <f t="shared" si="14"/>
        <v>setlist</v>
      </c>
      <c r="D108" s="183" t="s">
        <v>1076</v>
      </c>
      <c r="E108" s="183" t="s">
        <v>471</v>
      </c>
      <c r="F108" s="114" t="s">
        <v>472</v>
      </c>
      <c r="G108" s="111"/>
      <c r="H108" s="138"/>
    </row>
    <row r="109">
      <c r="A109" s="103">
        <v>36561.0</v>
      </c>
      <c r="B109" s="104"/>
      <c r="C109" s="105" t="str">
        <f>HYPERLINK("http://phish.net/sideshows/jon-fishman/?showid=1324420361", "setlist")</f>
        <v>setlist</v>
      </c>
      <c r="D109" s="181" t="s">
        <v>884</v>
      </c>
      <c r="E109" s="181" t="s">
        <v>885</v>
      </c>
      <c r="F109" s="107" t="s">
        <v>886</v>
      </c>
      <c r="G109" s="107" t="s">
        <v>36</v>
      </c>
      <c r="H109" s="105" t="str">
        <f>HYPERLINK("http://www.mediafire.com/?18d7hdjdvx05a", "download link")</f>
        <v>download link</v>
      </c>
      <c r="I109" s="260"/>
    </row>
    <row r="110">
      <c r="A110" s="110">
        <v>36562.0</v>
      </c>
      <c r="B110" s="111"/>
      <c r="C110" s="116" t="str">
        <f t="shared" ref="C110:C121" si="15">HYPERLINK("http://phish.net/sideshows/jon-fishman/?d="&amp;RIGHT(TEXT(A110,"mm/dd/yyyy"),4)&amp;"-"&amp;LEFT(TEXT(A110,"mm/dd/yyyy"),2)&amp;"-"&amp;MID(TEXT(A110,"mm/dd/yyyy"),4,2), "setlist")</f>
        <v>setlist</v>
      </c>
      <c r="D110" s="183" t="s">
        <v>890</v>
      </c>
      <c r="E110" s="183" t="s">
        <v>891</v>
      </c>
      <c r="F110" s="114" t="s">
        <v>892</v>
      </c>
      <c r="G110" s="111"/>
      <c r="H110" s="138"/>
    </row>
    <row r="111">
      <c r="A111" s="103">
        <v>36563.0</v>
      </c>
      <c r="B111" s="104"/>
      <c r="C111" s="105" t="str">
        <f t="shared" si="15"/>
        <v>setlist</v>
      </c>
      <c r="D111" s="181" t="s">
        <v>3529</v>
      </c>
      <c r="E111" s="181" t="s">
        <v>1200</v>
      </c>
      <c r="F111" s="107" t="s">
        <v>1201</v>
      </c>
      <c r="G111" s="104"/>
      <c r="H111" s="108"/>
      <c r="I111" s="260"/>
    </row>
    <row r="112">
      <c r="A112" s="110">
        <v>36565.0</v>
      </c>
      <c r="B112" s="111"/>
      <c r="C112" s="116" t="str">
        <f t="shared" si="15"/>
        <v>setlist</v>
      </c>
      <c r="D112" s="183" t="s">
        <v>601</v>
      </c>
      <c r="E112" s="183" t="s">
        <v>485</v>
      </c>
      <c r="F112" s="114" t="s">
        <v>486</v>
      </c>
      <c r="G112" s="111"/>
      <c r="H112" s="138"/>
    </row>
    <row r="113">
      <c r="A113" s="103">
        <v>36566.0</v>
      </c>
      <c r="B113" s="104"/>
      <c r="C113" s="105" t="str">
        <f t="shared" si="15"/>
        <v>setlist</v>
      </c>
      <c r="D113" s="181" t="s">
        <v>3530</v>
      </c>
      <c r="E113" s="181" t="s">
        <v>482</v>
      </c>
      <c r="F113" s="107" t="s">
        <v>483</v>
      </c>
      <c r="G113" s="104"/>
      <c r="H113" s="108"/>
      <c r="I113" s="260"/>
    </row>
    <row r="114">
      <c r="A114" s="110">
        <v>36567.0</v>
      </c>
      <c r="B114" s="111"/>
      <c r="C114" s="116" t="str">
        <f t="shared" si="15"/>
        <v>setlist</v>
      </c>
      <c r="D114" s="183" t="s">
        <v>3531</v>
      </c>
      <c r="E114" s="183" t="s">
        <v>3532</v>
      </c>
      <c r="F114" s="114" t="s">
        <v>480</v>
      </c>
      <c r="G114" s="114" t="s">
        <v>36</v>
      </c>
      <c r="H114" s="135" t="str">
        <f>HYPERLINK("http://www.mediafire.com/?hzn8y74cat5ka", "download link")</f>
        <v>download link</v>
      </c>
    </row>
    <row r="115">
      <c r="A115" s="103">
        <v>36568.0</v>
      </c>
      <c r="B115" s="104"/>
      <c r="C115" s="105" t="str">
        <f t="shared" si="15"/>
        <v>setlist</v>
      </c>
      <c r="D115" s="181" t="s">
        <v>2990</v>
      </c>
      <c r="E115" s="181" t="s">
        <v>479</v>
      </c>
      <c r="F115" s="107" t="s">
        <v>480</v>
      </c>
      <c r="G115" s="104"/>
      <c r="H115" s="108"/>
      <c r="I115" s="260"/>
    </row>
    <row r="116">
      <c r="A116" s="110">
        <v>36570.0</v>
      </c>
      <c r="B116" s="111"/>
      <c r="C116" s="116" t="str">
        <f t="shared" si="15"/>
        <v>setlist</v>
      </c>
      <c r="D116" s="183" t="s">
        <v>3533</v>
      </c>
      <c r="E116" s="183" t="s">
        <v>943</v>
      </c>
      <c r="F116" s="114" t="s">
        <v>472</v>
      </c>
      <c r="G116" s="111"/>
      <c r="H116" s="138"/>
    </row>
    <row r="117">
      <c r="A117" s="103">
        <v>36571.0</v>
      </c>
      <c r="B117" s="104"/>
      <c r="C117" s="105" t="str">
        <f t="shared" si="15"/>
        <v>setlist</v>
      </c>
      <c r="D117" s="181" t="s">
        <v>3335</v>
      </c>
      <c r="E117" s="181" t="s">
        <v>1289</v>
      </c>
      <c r="F117" s="107" t="s">
        <v>508</v>
      </c>
      <c r="G117" s="104"/>
      <c r="H117" s="108"/>
      <c r="I117" s="260"/>
    </row>
    <row r="118">
      <c r="A118" s="110">
        <v>36572.0</v>
      </c>
      <c r="B118" s="111"/>
      <c r="C118" s="116" t="str">
        <f t="shared" si="15"/>
        <v>setlist</v>
      </c>
      <c r="D118" s="183" t="s">
        <v>3534</v>
      </c>
      <c r="E118" s="183" t="s">
        <v>1421</v>
      </c>
      <c r="F118" s="114" t="s">
        <v>712</v>
      </c>
      <c r="G118" s="114" t="s">
        <v>36</v>
      </c>
      <c r="H118" s="135" t="str">
        <f>HYPERLINK("http://www.mediafire.com/?uz69ha4adzkkh", "download link")</f>
        <v>download link</v>
      </c>
    </row>
    <row r="119">
      <c r="A119" s="103">
        <v>36573.0</v>
      </c>
      <c r="B119" s="107" t="s">
        <v>32</v>
      </c>
      <c r="C119" s="105" t="str">
        <f t="shared" si="15"/>
        <v>setlist</v>
      </c>
      <c r="D119" s="181" t="s">
        <v>3534</v>
      </c>
      <c r="E119" s="181" t="s">
        <v>1421</v>
      </c>
      <c r="F119" s="107" t="s">
        <v>712</v>
      </c>
      <c r="G119" s="107" t="s">
        <v>36</v>
      </c>
      <c r="H119" s="105" t="str">
        <f>HYPERLINK("http://www.mediafire.com/?u8aijsrugtrds", "download link")</f>
        <v>download link</v>
      </c>
      <c r="I119" s="260"/>
    </row>
    <row r="120">
      <c r="A120" s="110">
        <v>36574.0</v>
      </c>
      <c r="B120" s="111"/>
      <c r="C120" s="116" t="str">
        <f t="shared" si="15"/>
        <v>setlist</v>
      </c>
      <c r="D120" s="183" t="s">
        <v>3535</v>
      </c>
      <c r="E120" s="183" t="s">
        <v>1090</v>
      </c>
      <c r="F120" s="114" t="s">
        <v>1091</v>
      </c>
      <c r="G120" s="111"/>
      <c r="H120" s="138"/>
    </row>
    <row r="121">
      <c r="A121" s="103">
        <v>36575.0</v>
      </c>
      <c r="B121" s="104"/>
      <c r="C121" s="105" t="str">
        <f t="shared" si="15"/>
        <v>setlist</v>
      </c>
      <c r="D121" s="181" t="s">
        <v>1112</v>
      </c>
      <c r="E121" s="181" t="s">
        <v>330</v>
      </c>
      <c r="F121" s="107" t="s">
        <v>129</v>
      </c>
      <c r="G121" s="104"/>
      <c r="H121" s="108"/>
      <c r="I121" s="260"/>
    </row>
    <row r="122">
      <c r="A122" s="350"/>
      <c r="B122" s="351"/>
      <c r="C122" s="352"/>
      <c r="D122" s="356" t="s">
        <v>3507</v>
      </c>
      <c r="E122" s="357"/>
      <c r="F122" s="351"/>
      <c r="G122" s="351"/>
      <c r="H122" s="358"/>
      <c r="I122" s="357"/>
    </row>
    <row r="123">
      <c r="A123" s="110">
        <v>36609.0</v>
      </c>
      <c r="B123" s="111"/>
      <c r="C123" s="116" t="str">
        <f t="shared" ref="C123:C142" si="16">HYPERLINK("http://phish.net/sideshows/jon-fishman/?d="&amp;RIGHT(TEXT(A123,"mm/dd/yyyy"),4)&amp;"-"&amp;LEFT(TEXT(A123,"mm/dd/yyyy"),2)&amp;"-"&amp;MID(TEXT(A123,"mm/dd/yyyy"),4,2), "setlist")</f>
        <v>setlist</v>
      </c>
      <c r="D123" s="183" t="s">
        <v>3536</v>
      </c>
      <c r="E123" s="183" t="s">
        <v>3537</v>
      </c>
      <c r="F123" s="114" t="s">
        <v>35</v>
      </c>
      <c r="G123" s="111"/>
      <c r="H123" s="138"/>
    </row>
    <row r="124">
      <c r="A124" s="103">
        <v>36610.0</v>
      </c>
      <c r="B124" s="104"/>
      <c r="C124" s="105" t="str">
        <f t="shared" si="16"/>
        <v>setlist</v>
      </c>
      <c r="D124" s="181" t="s">
        <v>301</v>
      </c>
      <c r="E124" s="181" t="s">
        <v>247</v>
      </c>
      <c r="F124" s="107" t="s">
        <v>95</v>
      </c>
      <c r="G124" s="104"/>
      <c r="H124" s="108"/>
      <c r="I124" s="260"/>
    </row>
    <row r="125">
      <c r="A125" s="110">
        <v>36611.0</v>
      </c>
      <c r="B125" s="111"/>
      <c r="C125" s="116" t="str">
        <f t="shared" si="16"/>
        <v>setlist</v>
      </c>
      <c r="D125" s="183" t="s">
        <v>3520</v>
      </c>
      <c r="E125" s="183" t="s">
        <v>279</v>
      </c>
      <c r="F125" s="114" t="s">
        <v>257</v>
      </c>
      <c r="G125" s="111"/>
      <c r="H125" s="138"/>
    </row>
    <row r="126">
      <c r="A126" s="103">
        <v>36613.0</v>
      </c>
      <c r="B126" s="104"/>
      <c r="C126" s="105" t="str">
        <f t="shared" si="16"/>
        <v>setlist</v>
      </c>
      <c r="D126" s="181" t="s">
        <v>3538</v>
      </c>
      <c r="E126" s="181" t="s">
        <v>94</v>
      </c>
      <c r="F126" s="107" t="s">
        <v>95</v>
      </c>
      <c r="G126" s="104"/>
      <c r="H126" s="108"/>
      <c r="I126" s="260"/>
    </row>
    <row r="127">
      <c r="A127" s="110">
        <v>36614.0</v>
      </c>
      <c r="B127" s="111"/>
      <c r="C127" s="116" t="str">
        <f t="shared" si="16"/>
        <v>setlist</v>
      </c>
      <c r="D127" s="183" t="s">
        <v>2817</v>
      </c>
      <c r="E127" s="183" t="s">
        <v>854</v>
      </c>
      <c r="F127" s="114" t="s">
        <v>35</v>
      </c>
      <c r="G127" s="111"/>
      <c r="H127" s="138"/>
    </row>
    <row r="128">
      <c r="A128" s="103">
        <v>36615.0</v>
      </c>
      <c r="B128" s="104"/>
      <c r="C128" s="105" t="str">
        <f t="shared" si="16"/>
        <v>setlist</v>
      </c>
      <c r="D128" s="181" t="s">
        <v>630</v>
      </c>
      <c r="E128" s="181" t="s">
        <v>631</v>
      </c>
      <c r="F128" s="107" t="s">
        <v>35</v>
      </c>
      <c r="G128" s="107" t="s">
        <v>36</v>
      </c>
      <c r="H128" s="105" t="str">
        <f>HYPERLINK("http://www.mediafire.com/?2ktw1h464ptfq", "download link")</f>
        <v>download link</v>
      </c>
      <c r="I128" s="260"/>
    </row>
    <row r="129">
      <c r="A129" s="110">
        <v>36616.0</v>
      </c>
      <c r="B129" s="111"/>
      <c r="C129" s="116" t="str">
        <f t="shared" si="16"/>
        <v>setlist</v>
      </c>
      <c r="D129" s="183" t="s">
        <v>3224</v>
      </c>
      <c r="E129" s="183" t="s">
        <v>871</v>
      </c>
      <c r="F129" s="114" t="s">
        <v>212</v>
      </c>
      <c r="G129" s="111"/>
      <c r="H129" s="138"/>
    </row>
    <row r="130">
      <c r="A130" s="103">
        <v>36617.0</v>
      </c>
      <c r="B130" s="104"/>
      <c r="C130" s="105" t="str">
        <f t="shared" si="16"/>
        <v>setlist</v>
      </c>
      <c r="D130" s="181" t="s">
        <v>3377</v>
      </c>
      <c r="E130" s="181" t="s">
        <v>297</v>
      </c>
      <c r="F130" s="107" t="s">
        <v>298</v>
      </c>
      <c r="G130" s="104"/>
      <c r="H130" s="108"/>
      <c r="I130" s="260"/>
    </row>
    <row r="131">
      <c r="A131" s="110">
        <v>36618.0</v>
      </c>
      <c r="B131" s="111"/>
      <c r="C131" s="116" t="str">
        <f t="shared" si="16"/>
        <v>setlist</v>
      </c>
      <c r="D131" s="183" t="s">
        <v>458</v>
      </c>
      <c r="E131" s="183" t="s">
        <v>459</v>
      </c>
      <c r="F131" s="114" t="s">
        <v>171</v>
      </c>
      <c r="G131" s="111"/>
      <c r="H131" s="138"/>
    </row>
    <row r="132">
      <c r="A132" s="103">
        <v>36620.0</v>
      </c>
      <c r="B132" s="104"/>
      <c r="C132" s="105" t="str">
        <f t="shared" si="16"/>
        <v>setlist</v>
      </c>
      <c r="D132" s="181" t="s">
        <v>271</v>
      </c>
      <c r="E132" s="181" t="s">
        <v>162</v>
      </c>
      <c r="F132" s="107" t="s">
        <v>129</v>
      </c>
      <c r="G132" s="104"/>
      <c r="H132" s="108"/>
      <c r="I132" s="260"/>
    </row>
    <row r="133">
      <c r="A133" s="110">
        <v>36621.0</v>
      </c>
      <c r="B133" s="111"/>
      <c r="C133" s="116" t="str">
        <f t="shared" si="16"/>
        <v>setlist</v>
      </c>
      <c r="D133" s="183" t="s">
        <v>3539</v>
      </c>
      <c r="E133" s="183" t="s">
        <v>311</v>
      </c>
      <c r="F133" s="114" t="s">
        <v>129</v>
      </c>
      <c r="G133" s="111"/>
      <c r="H133" s="138"/>
    </row>
    <row r="134">
      <c r="A134" s="103">
        <v>36622.0</v>
      </c>
      <c r="B134" s="104"/>
      <c r="C134" s="105" t="str">
        <f t="shared" si="16"/>
        <v>setlist</v>
      </c>
      <c r="D134" s="181" t="s">
        <v>3526</v>
      </c>
      <c r="E134" s="181" t="s">
        <v>718</v>
      </c>
      <c r="F134" s="107" t="s">
        <v>129</v>
      </c>
      <c r="G134" s="104"/>
      <c r="H134" s="108"/>
      <c r="I134" s="260"/>
    </row>
    <row r="135">
      <c r="A135" s="110">
        <v>36623.0</v>
      </c>
      <c r="B135" s="111"/>
      <c r="C135" s="116" t="str">
        <f t="shared" si="16"/>
        <v>setlist</v>
      </c>
      <c r="D135" s="183" t="s">
        <v>3528</v>
      </c>
      <c r="E135" s="183" t="s">
        <v>773</v>
      </c>
      <c r="F135" s="114" t="s">
        <v>472</v>
      </c>
      <c r="G135" s="111"/>
      <c r="H135" s="138"/>
    </row>
    <row r="136">
      <c r="A136" s="103">
        <v>36624.0</v>
      </c>
      <c r="B136" s="104"/>
      <c r="C136" s="105" t="str">
        <f t="shared" si="16"/>
        <v>setlist</v>
      </c>
      <c r="D136" s="181" t="s">
        <v>1076</v>
      </c>
      <c r="E136" s="181" t="s">
        <v>471</v>
      </c>
      <c r="F136" s="107" t="s">
        <v>472</v>
      </c>
      <c r="G136" s="104"/>
      <c r="H136" s="108"/>
      <c r="I136" s="260"/>
    </row>
    <row r="137">
      <c r="A137" s="110">
        <v>36625.0</v>
      </c>
      <c r="B137" s="111"/>
      <c r="C137" s="116" t="str">
        <f t="shared" si="16"/>
        <v>setlist</v>
      </c>
      <c r="D137" s="183" t="s">
        <v>3337</v>
      </c>
      <c r="E137" s="183" t="s">
        <v>711</v>
      </c>
      <c r="F137" s="114" t="s">
        <v>712</v>
      </c>
      <c r="G137" s="111"/>
      <c r="H137" s="138"/>
    </row>
    <row r="138">
      <c r="A138" s="103">
        <v>36627.0</v>
      </c>
      <c r="B138" s="104"/>
      <c r="C138" s="105" t="str">
        <f t="shared" si="16"/>
        <v>setlist</v>
      </c>
      <c r="D138" s="181" t="s">
        <v>3358</v>
      </c>
      <c r="E138" s="181" t="s">
        <v>1511</v>
      </c>
      <c r="F138" s="107" t="s">
        <v>508</v>
      </c>
      <c r="G138" s="104"/>
      <c r="H138" s="108"/>
      <c r="I138" s="260"/>
    </row>
    <row r="139">
      <c r="A139" s="110">
        <v>36628.0</v>
      </c>
      <c r="B139" s="111"/>
      <c r="C139" s="116" t="str">
        <f t="shared" si="16"/>
        <v>setlist</v>
      </c>
      <c r="D139" s="183" t="s">
        <v>888</v>
      </c>
      <c r="E139" s="183" t="s">
        <v>439</v>
      </c>
      <c r="F139" s="114" t="s">
        <v>886</v>
      </c>
      <c r="G139" s="114" t="s">
        <v>36</v>
      </c>
      <c r="H139" s="135" t="str">
        <f>HYPERLINK("http://www.mediafire.com/?i4qx7yixogjr5", "download link")</f>
        <v>download link</v>
      </c>
      <c r="I139" s="183" t="s">
        <v>3508</v>
      </c>
    </row>
    <row r="140">
      <c r="A140" s="103">
        <v>36629.0</v>
      </c>
      <c r="B140" s="104"/>
      <c r="C140" s="105" t="str">
        <f t="shared" si="16"/>
        <v>setlist</v>
      </c>
      <c r="D140" s="181" t="s">
        <v>3540</v>
      </c>
      <c r="E140" s="181" t="s">
        <v>885</v>
      </c>
      <c r="F140" s="107" t="s">
        <v>886</v>
      </c>
      <c r="G140" s="104"/>
      <c r="H140" s="108"/>
      <c r="I140" s="260"/>
    </row>
    <row r="141">
      <c r="A141" s="110">
        <v>36630.0</v>
      </c>
      <c r="B141" s="111"/>
      <c r="C141" s="116" t="str">
        <f t="shared" si="16"/>
        <v>setlist</v>
      </c>
      <c r="D141" s="183" t="s">
        <v>935</v>
      </c>
      <c r="E141" s="183" t="s">
        <v>936</v>
      </c>
      <c r="F141" s="114" t="s">
        <v>483</v>
      </c>
      <c r="G141" s="111"/>
      <c r="H141" s="138"/>
    </row>
    <row r="142">
      <c r="A142" s="103">
        <v>36631.0</v>
      </c>
      <c r="B142" s="104"/>
      <c r="C142" s="105" t="str">
        <f t="shared" si="16"/>
        <v>setlist</v>
      </c>
      <c r="D142" s="181" t="s">
        <v>3541</v>
      </c>
      <c r="E142" s="181" t="s">
        <v>479</v>
      </c>
      <c r="F142" s="107" t="s">
        <v>480</v>
      </c>
      <c r="G142" s="104"/>
      <c r="H142" s="108"/>
      <c r="I142" s="260"/>
    </row>
    <row r="143">
      <c r="A143" s="350"/>
      <c r="B143" s="351"/>
      <c r="C143" s="352"/>
      <c r="D143" s="356" t="s">
        <v>3198</v>
      </c>
      <c r="E143" s="357"/>
      <c r="F143" s="351"/>
      <c r="G143" s="351"/>
      <c r="H143" s="358"/>
      <c r="I143" s="357"/>
    </row>
    <row r="144">
      <c r="A144" s="110">
        <v>36717.0</v>
      </c>
      <c r="B144" s="111"/>
      <c r="C144" s="116" t="str">
        <f>HYPERLINK("http://phish.net/sideshows/guest-appearance/?showid=1335110264", "setlist")</f>
        <v>setlist</v>
      </c>
      <c r="D144" s="183" t="s">
        <v>3199</v>
      </c>
      <c r="E144" s="183" t="s">
        <v>1289</v>
      </c>
      <c r="F144" s="114" t="s">
        <v>508</v>
      </c>
      <c r="G144" s="111"/>
      <c r="H144" s="138"/>
    </row>
    <row r="145">
      <c r="A145" s="350"/>
      <c r="B145" s="351"/>
      <c r="C145" s="352"/>
      <c r="D145" s="356" t="s">
        <v>3507</v>
      </c>
      <c r="E145" s="357"/>
      <c r="F145" s="351"/>
      <c r="G145" s="351"/>
      <c r="H145" s="358"/>
      <c r="I145" s="357"/>
    </row>
    <row r="146">
      <c r="A146" s="110">
        <v>36742.0</v>
      </c>
      <c r="B146" s="111"/>
      <c r="C146" s="116" t="str">
        <f t="shared" ref="C146:C148" si="17">HYPERLINK("http://phish.net/sideshows/jon-fishman/?d="&amp;RIGHT(TEXT(A146,"mm/dd/yyyy"),4)&amp;"-"&amp;LEFT(TEXT(A146,"mm/dd/yyyy"),2)&amp;"-"&amp;MID(TEXT(A146,"mm/dd/yyyy"),4,2), "setlist")</f>
        <v>setlist</v>
      </c>
      <c r="D146" s="183" t="s">
        <v>3542</v>
      </c>
      <c r="E146" s="183" t="s">
        <v>34</v>
      </c>
      <c r="F146" s="114" t="s">
        <v>35</v>
      </c>
      <c r="G146" s="111"/>
      <c r="H146" s="138"/>
    </row>
    <row r="147">
      <c r="A147" s="103">
        <v>36755.0</v>
      </c>
      <c r="B147" s="104"/>
      <c r="C147" s="105" t="str">
        <f t="shared" si="17"/>
        <v>setlist</v>
      </c>
      <c r="D147" s="181" t="s">
        <v>2817</v>
      </c>
      <c r="E147" s="181" t="s">
        <v>854</v>
      </c>
      <c r="F147" s="107" t="s">
        <v>35</v>
      </c>
      <c r="G147" s="104"/>
      <c r="H147" s="108"/>
      <c r="I147" s="260"/>
    </row>
    <row r="148">
      <c r="A148" s="110">
        <v>36888.0</v>
      </c>
      <c r="B148" s="111"/>
      <c r="C148" s="116" t="str">
        <f t="shared" si="17"/>
        <v>setlist</v>
      </c>
      <c r="D148" s="183" t="s">
        <v>2817</v>
      </c>
      <c r="E148" s="183" t="s">
        <v>854</v>
      </c>
      <c r="F148" s="114" t="s">
        <v>35</v>
      </c>
      <c r="G148" s="111"/>
      <c r="H148" s="138"/>
    </row>
    <row r="149">
      <c r="A149" s="350"/>
      <c r="B149" s="351"/>
      <c r="C149" s="352"/>
      <c r="D149" s="356" t="s">
        <v>3507</v>
      </c>
      <c r="E149" s="357"/>
      <c r="F149" s="351"/>
      <c r="G149" s="351"/>
      <c r="H149" s="358"/>
      <c r="I149" s="357"/>
    </row>
    <row r="150">
      <c r="A150" s="110">
        <v>36986.0</v>
      </c>
      <c r="B150" s="111"/>
      <c r="C150" s="116" t="str">
        <f t="shared" ref="C150:C152" si="18">HYPERLINK("http://phish.net/sideshows/jon-fishman/?d="&amp;RIGHT(TEXT(A150,"mm/dd/yyyy"),4)&amp;"-"&amp;LEFT(TEXT(A150,"mm/dd/yyyy"),2)&amp;"-"&amp;MID(TEXT(A150,"mm/dd/yyyy"),4,2), "setlist")</f>
        <v>setlist</v>
      </c>
      <c r="D150" s="183" t="s">
        <v>301</v>
      </c>
      <c r="E150" s="183" t="s">
        <v>247</v>
      </c>
      <c r="F150" s="114" t="s">
        <v>95</v>
      </c>
      <c r="G150" s="111"/>
      <c r="H150" s="138"/>
    </row>
    <row r="151">
      <c r="A151" s="103">
        <v>36987.0</v>
      </c>
      <c r="B151" s="104"/>
      <c r="C151" s="105" t="str">
        <f t="shared" si="18"/>
        <v>setlist</v>
      </c>
      <c r="D151" s="181" t="s">
        <v>260</v>
      </c>
      <c r="E151" s="181" t="s">
        <v>94</v>
      </c>
      <c r="F151" s="107" t="s">
        <v>95</v>
      </c>
      <c r="G151" s="104"/>
      <c r="H151" s="108"/>
      <c r="I151" s="260"/>
    </row>
    <row r="152">
      <c r="A152" s="110">
        <v>36988.0</v>
      </c>
      <c r="B152" s="111"/>
      <c r="C152" s="116" t="str">
        <f t="shared" si="18"/>
        <v>setlist</v>
      </c>
      <c r="D152" s="183" t="s">
        <v>3377</v>
      </c>
      <c r="E152" s="183" t="s">
        <v>297</v>
      </c>
      <c r="F152" s="114" t="s">
        <v>298</v>
      </c>
      <c r="G152" s="111"/>
      <c r="H152" s="138"/>
    </row>
    <row r="153">
      <c r="A153" s="103">
        <v>36993.0</v>
      </c>
      <c r="B153" s="104"/>
      <c r="C153" s="105" t="str">
        <f>HYPERLINK("http://phish.net/sideshows/jon-fishman/?showid=1324578610", "setlist")</f>
        <v>setlist</v>
      </c>
      <c r="D153" s="181" t="s">
        <v>458</v>
      </c>
      <c r="E153" s="181" t="s">
        <v>459</v>
      </c>
      <c r="F153" s="107" t="s">
        <v>171</v>
      </c>
      <c r="G153" s="104"/>
      <c r="H153" s="108"/>
      <c r="I153" s="260"/>
    </row>
    <row r="154">
      <c r="A154" s="110">
        <v>36994.0</v>
      </c>
      <c r="B154" s="111"/>
      <c r="C154" s="116" t="str">
        <f>HYPERLINK("http://phish.net/sideshows/jon-fishman/?showid=1324578678", "setlist")</f>
        <v>setlist</v>
      </c>
      <c r="D154" s="183" t="s">
        <v>3543</v>
      </c>
      <c r="E154" s="183" t="s">
        <v>311</v>
      </c>
      <c r="F154" s="114" t="s">
        <v>129</v>
      </c>
      <c r="G154" s="111"/>
      <c r="H154" s="138"/>
    </row>
    <row r="155">
      <c r="A155" s="103">
        <v>36995.0</v>
      </c>
      <c r="B155" s="104"/>
      <c r="C155" s="105" t="str">
        <f t="shared" ref="C155:C162" si="19">HYPERLINK("http://phish.net/sideshows/jon-fishman/?d="&amp;RIGHT(TEXT(A155,"mm/dd/yyyy"),4)&amp;"-"&amp;LEFT(TEXT(A155,"mm/dd/yyyy"),2)&amp;"-"&amp;MID(TEXT(A155,"mm/dd/yyyy"),4,2), "setlist")</f>
        <v>setlist</v>
      </c>
      <c r="D155" s="181" t="s">
        <v>3526</v>
      </c>
      <c r="E155" s="181" t="s">
        <v>718</v>
      </c>
      <c r="F155" s="107" t="s">
        <v>129</v>
      </c>
      <c r="G155" s="104"/>
      <c r="H155" s="108"/>
      <c r="I155" s="260"/>
    </row>
    <row r="156">
      <c r="A156" s="110">
        <v>37000.0</v>
      </c>
      <c r="B156" s="111"/>
      <c r="C156" s="116" t="str">
        <f t="shared" si="19"/>
        <v>setlist</v>
      </c>
      <c r="D156" s="183" t="s">
        <v>2817</v>
      </c>
      <c r="E156" s="183" t="s">
        <v>854</v>
      </c>
      <c r="F156" s="114" t="s">
        <v>35</v>
      </c>
      <c r="G156" s="111"/>
      <c r="H156" s="138"/>
    </row>
    <row r="157">
      <c r="A157" s="103">
        <v>37001.0</v>
      </c>
      <c r="B157" s="104"/>
      <c r="C157" s="105" t="str">
        <f t="shared" si="19"/>
        <v>setlist</v>
      </c>
      <c r="D157" s="181" t="s">
        <v>3544</v>
      </c>
      <c r="E157" s="181" t="s">
        <v>1011</v>
      </c>
      <c r="F157" s="107" t="s">
        <v>35</v>
      </c>
      <c r="G157" s="104"/>
      <c r="H157" s="108"/>
      <c r="I157" s="260"/>
    </row>
    <row r="158">
      <c r="A158" s="110">
        <v>37002.0</v>
      </c>
      <c r="B158" s="111"/>
      <c r="C158" s="116" t="str">
        <f t="shared" si="19"/>
        <v>setlist</v>
      </c>
      <c r="D158" s="183" t="s">
        <v>630</v>
      </c>
      <c r="E158" s="183" t="s">
        <v>631</v>
      </c>
      <c r="F158" s="114" t="s">
        <v>35</v>
      </c>
      <c r="G158" s="111"/>
      <c r="H158" s="138"/>
    </row>
    <row r="159">
      <c r="A159" s="103">
        <v>37006.0</v>
      </c>
      <c r="B159" s="104"/>
      <c r="C159" s="105" t="str">
        <f t="shared" si="19"/>
        <v>setlist</v>
      </c>
      <c r="D159" s="181" t="s">
        <v>3223</v>
      </c>
      <c r="E159" s="181" t="s">
        <v>162</v>
      </c>
      <c r="F159" s="107" t="s">
        <v>129</v>
      </c>
      <c r="G159" s="104"/>
      <c r="H159" s="108"/>
      <c r="I159" s="260"/>
    </row>
    <row r="160">
      <c r="A160" s="110">
        <v>37007.0</v>
      </c>
      <c r="B160" s="111"/>
      <c r="C160" s="116" t="str">
        <f t="shared" si="19"/>
        <v>setlist</v>
      </c>
      <c r="D160" s="183" t="s">
        <v>3224</v>
      </c>
      <c r="E160" s="183" t="s">
        <v>871</v>
      </c>
      <c r="F160" s="114" t="s">
        <v>212</v>
      </c>
      <c r="G160" s="111"/>
      <c r="H160" s="138"/>
    </row>
    <row r="161">
      <c r="A161" s="385">
        <v>37008.0</v>
      </c>
      <c r="B161" s="386"/>
      <c r="C161" s="340" t="str">
        <f t="shared" si="19"/>
        <v>setlist</v>
      </c>
      <c r="D161" s="387" t="s">
        <v>3521</v>
      </c>
      <c r="E161" s="387" t="s">
        <v>3522</v>
      </c>
      <c r="F161" s="388" t="s">
        <v>43</v>
      </c>
      <c r="G161" s="386"/>
      <c r="H161" s="389"/>
      <c r="I161" s="390"/>
    </row>
    <row r="162">
      <c r="A162" s="110">
        <v>37009.0</v>
      </c>
      <c r="B162" s="111"/>
      <c r="C162" s="116" t="str">
        <f t="shared" si="19"/>
        <v>setlist</v>
      </c>
      <c r="D162" s="183" t="s">
        <v>3545</v>
      </c>
      <c r="E162" s="183" t="s">
        <v>3546</v>
      </c>
      <c r="F162" s="114" t="s">
        <v>43</v>
      </c>
      <c r="G162" s="114" t="s">
        <v>36</v>
      </c>
      <c r="H162" s="135" t="str">
        <f>HYPERLINK("http://www.mediafire.com/?chcdbwwhawwh4", "download link")</f>
        <v>download link</v>
      </c>
    </row>
    <row r="163">
      <c r="A163" s="350"/>
      <c r="B163" s="351"/>
      <c r="C163" s="352"/>
      <c r="D163" s="356" t="s">
        <v>3547</v>
      </c>
      <c r="E163" s="357"/>
      <c r="F163" s="351"/>
      <c r="G163" s="351"/>
      <c r="H163" s="358"/>
      <c r="I163" s="357"/>
    </row>
    <row r="164">
      <c r="A164" s="110">
        <v>37013.0</v>
      </c>
      <c r="B164" s="111"/>
      <c r="C164" s="116" t="str">
        <f t="shared" ref="C164:C165" si="20">HYPERLINK("http://phish.net/sideshows/jon-fishman/?d="&amp;RIGHT(TEXT(A164,"mm/dd/yyyy"),4)&amp;"-"&amp;LEFT(TEXT(A164,"mm/dd/yyyy"),2)&amp;"-"&amp;MID(TEXT(A164,"mm/dd/yyyy"),4,2), "setlist")</f>
        <v>setlist</v>
      </c>
      <c r="D164" s="183" t="s">
        <v>3548</v>
      </c>
      <c r="E164" s="183" t="s">
        <v>585</v>
      </c>
      <c r="F164" s="114" t="s">
        <v>586</v>
      </c>
      <c r="G164" s="111"/>
      <c r="H164" s="138"/>
    </row>
    <row r="165">
      <c r="A165" s="103">
        <v>37014.0</v>
      </c>
      <c r="B165" s="104"/>
      <c r="C165" s="105" t="str">
        <f t="shared" si="20"/>
        <v>setlist</v>
      </c>
      <c r="D165" s="181" t="s">
        <v>3548</v>
      </c>
      <c r="E165" s="181" t="s">
        <v>585</v>
      </c>
      <c r="F165" s="107" t="s">
        <v>586</v>
      </c>
      <c r="G165" s="107" t="s">
        <v>36</v>
      </c>
      <c r="H165" s="105" t="str">
        <f>HYPERLINK("http://www.mediafire.com/?1j7vtrk48iqor", "download link")</f>
        <v>download link</v>
      </c>
      <c r="I165" s="260"/>
    </row>
    <row r="166">
      <c r="A166" s="350"/>
      <c r="B166" s="351"/>
      <c r="C166" s="352"/>
      <c r="D166" s="356" t="s">
        <v>2793</v>
      </c>
      <c r="E166" s="357"/>
      <c r="F166" s="351"/>
      <c r="G166" s="351"/>
      <c r="H166" s="358"/>
      <c r="I166" s="357"/>
    </row>
    <row r="167">
      <c r="A167" s="110">
        <v>37121.0</v>
      </c>
      <c r="B167" s="111"/>
      <c r="C167" s="116" t="str">
        <f t="shared" ref="C167:C181" si="21">HYPERLINK("http://phish.net/sideshows/jon-fishman/?d="&amp;RIGHT(TEXT(A167,"mm/dd/yyyy"),4)&amp;"-"&amp;LEFT(TEXT(A167,"mm/dd/yyyy"),2)&amp;"-"&amp;MID(TEXT(A167,"mm/dd/yyyy"),4,2), "setlist")</f>
        <v>setlist</v>
      </c>
      <c r="D167" s="183" t="s">
        <v>3281</v>
      </c>
      <c r="E167" s="183" t="s">
        <v>3282</v>
      </c>
      <c r="F167" s="114" t="s">
        <v>129</v>
      </c>
      <c r="G167" s="114" t="s">
        <v>36</v>
      </c>
      <c r="H167" s="135" t="str">
        <f>HYPERLINK("http://www.mediafire.com/download/nn5ap2go114cfah/2001-08-18_-_Indian_Lookout_Country_Club_-_Mariaville,_NY.rar", "download link")</f>
        <v>download link</v>
      </c>
    </row>
    <row r="168">
      <c r="A168" s="103">
        <v>37122.0</v>
      </c>
      <c r="B168" s="104"/>
      <c r="C168" s="105" t="str">
        <f t="shared" si="21"/>
        <v>setlist</v>
      </c>
      <c r="D168" s="181" t="s">
        <v>3281</v>
      </c>
      <c r="E168" s="181" t="s">
        <v>3282</v>
      </c>
      <c r="F168" s="107" t="s">
        <v>129</v>
      </c>
      <c r="G168" s="107" t="s">
        <v>36</v>
      </c>
      <c r="H168" s="105" t="str">
        <f>HYPERLINK("http://www.mediafire.com/download/cc8epj8g8c67d5i/2001-08-19_-_Indian_Lookout_Country_Club_-_Mariaville,_NY.rar", "download link")</f>
        <v>download link</v>
      </c>
      <c r="I168" s="260"/>
    </row>
    <row r="169">
      <c r="A169" s="110">
        <v>37170.0</v>
      </c>
      <c r="B169" s="111"/>
      <c r="C169" s="116" t="str">
        <f t="shared" si="21"/>
        <v>setlist</v>
      </c>
      <c r="D169" s="183" t="s">
        <v>897</v>
      </c>
      <c r="E169" s="183" t="s">
        <v>488</v>
      </c>
      <c r="F169" s="114" t="s">
        <v>203</v>
      </c>
      <c r="G169" s="111"/>
      <c r="H169" s="138"/>
    </row>
    <row r="170">
      <c r="A170" s="103">
        <v>37171.0</v>
      </c>
      <c r="B170" s="104"/>
      <c r="C170" s="105" t="str">
        <f t="shared" si="21"/>
        <v>setlist</v>
      </c>
      <c r="D170" s="181" t="s">
        <v>897</v>
      </c>
      <c r="E170" s="181" t="s">
        <v>488</v>
      </c>
      <c r="F170" s="107" t="s">
        <v>203</v>
      </c>
      <c r="G170" s="104"/>
      <c r="H170" s="108"/>
      <c r="I170" s="260"/>
    </row>
    <row r="171">
      <c r="A171" s="110">
        <v>37172.0</v>
      </c>
      <c r="B171" s="111"/>
      <c r="C171" s="116" t="str">
        <f t="shared" si="21"/>
        <v>setlist</v>
      </c>
      <c r="D171" s="183" t="s">
        <v>3549</v>
      </c>
      <c r="E171" s="183" t="s">
        <v>3550</v>
      </c>
      <c r="F171" s="114" t="s">
        <v>3551</v>
      </c>
      <c r="G171" s="111"/>
      <c r="H171" s="138"/>
    </row>
    <row r="172">
      <c r="A172" s="103">
        <v>37173.0</v>
      </c>
      <c r="B172" s="104"/>
      <c r="C172" s="105" t="str">
        <f t="shared" si="21"/>
        <v>setlist</v>
      </c>
      <c r="D172" s="181" t="s">
        <v>3552</v>
      </c>
      <c r="E172" s="181" t="s">
        <v>1522</v>
      </c>
      <c r="F172" s="107" t="s">
        <v>1523</v>
      </c>
      <c r="G172" s="104"/>
      <c r="H172" s="108"/>
      <c r="I172" s="260"/>
    </row>
    <row r="173">
      <c r="A173" s="110">
        <v>37174.0</v>
      </c>
      <c r="B173" s="111"/>
      <c r="C173" s="116" t="str">
        <f t="shared" si="21"/>
        <v>setlist</v>
      </c>
      <c r="D173" s="183" t="s">
        <v>3553</v>
      </c>
      <c r="E173" s="183" t="s">
        <v>1605</v>
      </c>
      <c r="F173" s="114" t="s">
        <v>1523</v>
      </c>
      <c r="G173" s="111"/>
      <c r="H173" s="138"/>
    </row>
    <row r="174">
      <c r="A174" s="103">
        <v>37175.0</v>
      </c>
      <c r="B174" s="104"/>
      <c r="C174" s="105" t="str">
        <f t="shared" si="21"/>
        <v>setlist</v>
      </c>
      <c r="D174" s="181" t="s">
        <v>3092</v>
      </c>
      <c r="E174" s="181" t="s">
        <v>791</v>
      </c>
      <c r="F174" s="107" t="s">
        <v>701</v>
      </c>
      <c r="G174" s="104"/>
      <c r="H174" s="108"/>
      <c r="I174" s="260"/>
    </row>
    <row r="175">
      <c r="A175" s="110">
        <v>37176.0</v>
      </c>
      <c r="B175" s="111"/>
      <c r="C175" s="116" t="str">
        <f t="shared" si="21"/>
        <v>setlist</v>
      </c>
      <c r="D175" s="183" t="s">
        <v>3413</v>
      </c>
      <c r="E175" s="183" t="s">
        <v>279</v>
      </c>
      <c r="F175" s="114" t="s">
        <v>692</v>
      </c>
      <c r="G175" s="114" t="s">
        <v>36</v>
      </c>
      <c r="H175" s="135" t="str">
        <f>HYPERLINK("http://www.mediafire.com/?p57p7014413ph", "download link")</f>
        <v>download link</v>
      </c>
    </row>
    <row r="176">
      <c r="A176" s="103">
        <v>37177.0</v>
      </c>
      <c r="B176" s="104"/>
      <c r="C176" s="105" t="str">
        <f t="shared" si="21"/>
        <v>setlist</v>
      </c>
      <c r="D176" s="181" t="s">
        <v>809</v>
      </c>
      <c r="E176" s="181" t="s">
        <v>922</v>
      </c>
      <c r="F176" s="107" t="s">
        <v>679</v>
      </c>
      <c r="G176" s="107" t="s">
        <v>36</v>
      </c>
      <c r="H176" s="105" t="str">
        <f>HYPERLINK("http://www.mediafire.com/?xzxr1dqyx3w6y", "download link")</f>
        <v>download link</v>
      </c>
      <c r="I176" s="260"/>
    </row>
    <row r="177">
      <c r="A177" s="110">
        <v>37180.0</v>
      </c>
      <c r="B177" s="111"/>
      <c r="C177" s="116" t="str">
        <f t="shared" si="21"/>
        <v>setlist</v>
      </c>
      <c r="D177" s="183" t="s">
        <v>3554</v>
      </c>
      <c r="E177" s="183" t="s">
        <v>1534</v>
      </c>
      <c r="F177" s="114" t="s">
        <v>679</v>
      </c>
      <c r="G177" s="111"/>
      <c r="H177" s="138"/>
    </row>
    <row r="178">
      <c r="A178" s="103">
        <v>37181.0</v>
      </c>
      <c r="B178" s="104"/>
      <c r="C178" s="105" t="str">
        <f t="shared" si="21"/>
        <v>setlist</v>
      </c>
      <c r="D178" s="181" t="s">
        <v>3555</v>
      </c>
      <c r="E178" s="181" t="s">
        <v>3556</v>
      </c>
      <c r="F178" s="107" t="s">
        <v>679</v>
      </c>
      <c r="G178" s="104"/>
      <c r="H178" s="108"/>
      <c r="I178" s="260"/>
    </row>
    <row r="179">
      <c r="A179" s="110">
        <v>37182.0</v>
      </c>
      <c r="B179" s="111"/>
      <c r="C179" s="116" t="str">
        <f t="shared" si="21"/>
        <v>setlist</v>
      </c>
      <c r="D179" s="183" t="s">
        <v>799</v>
      </c>
      <c r="E179" s="183" t="s">
        <v>683</v>
      </c>
      <c r="F179" s="114" t="s">
        <v>679</v>
      </c>
      <c r="G179" s="111"/>
      <c r="H179" s="138"/>
    </row>
    <row r="180">
      <c r="A180" s="103">
        <v>37183.0</v>
      </c>
      <c r="B180" s="104"/>
      <c r="C180" s="105" t="str">
        <f t="shared" si="21"/>
        <v>setlist</v>
      </c>
      <c r="D180" s="181" t="s">
        <v>799</v>
      </c>
      <c r="E180" s="181" t="s">
        <v>683</v>
      </c>
      <c r="F180" s="107" t="s">
        <v>679</v>
      </c>
      <c r="G180" s="104"/>
      <c r="H180" s="108"/>
      <c r="I180" s="260"/>
    </row>
    <row r="181">
      <c r="A181" s="110">
        <v>37184.0</v>
      </c>
      <c r="B181" s="111"/>
      <c r="C181" s="116" t="str">
        <f t="shared" si="21"/>
        <v>setlist</v>
      </c>
      <c r="D181" s="183" t="s">
        <v>2990</v>
      </c>
      <c r="E181" s="183" t="s">
        <v>3257</v>
      </c>
      <c r="F181" s="114" t="s">
        <v>679</v>
      </c>
      <c r="G181" s="111"/>
      <c r="H181" s="138"/>
    </row>
    <row r="182">
      <c r="A182" s="103">
        <v>37185.0</v>
      </c>
      <c r="B182" s="104"/>
      <c r="C182" s="105" t="str">
        <f>HYPERLINK("http://phish.net/sideshows/jon-fishman/?showid=1324432923", "setlist")</f>
        <v>setlist</v>
      </c>
      <c r="D182" s="181" t="s">
        <v>2950</v>
      </c>
      <c r="E182" s="181" t="s">
        <v>1381</v>
      </c>
      <c r="F182" s="107" t="s">
        <v>679</v>
      </c>
      <c r="G182" s="104"/>
      <c r="H182" s="108"/>
      <c r="I182" s="260"/>
    </row>
    <row r="183">
      <c r="A183" s="110">
        <v>37187.0</v>
      </c>
      <c r="B183" s="111"/>
      <c r="C183" s="116" t="str">
        <f>HYPERLINK("http://phish.net/sideshows/jon-fishman/?showid=1324433022", "setlist")</f>
        <v>setlist</v>
      </c>
      <c r="D183" s="183" t="s">
        <v>3557</v>
      </c>
      <c r="E183" s="183" t="s">
        <v>804</v>
      </c>
      <c r="F183" s="114" t="s">
        <v>805</v>
      </c>
      <c r="G183" s="111"/>
      <c r="H183" s="138"/>
    </row>
    <row r="184">
      <c r="A184" s="103">
        <v>37189.0</v>
      </c>
      <c r="B184" s="104"/>
      <c r="C184" s="105" t="str">
        <f>HYPERLINK("http://phish.net/sideshows/jon-fishman/?d="&amp;RIGHT(TEXT(A184,"mm/dd/yyyy"),4)&amp;"-"&amp;LEFT(TEXT(A184,"mm/dd/yyyy"),2)&amp;"-"&amp;MID(TEXT(A184,"mm/dd/yyyy"),4,2), "setlist")</f>
        <v>setlist</v>
      </c>
      <c r="D184" s="181" t="s">
        <v>3251</v>
      </c>
      <c r="E184" s="181" t="s">
        <v>3252</v>
      </c>
      <c r="F184" s="107" t="s">
        <v>805</v>
      </c>
      <c r="G184" s="104"/>
      <c r="H184" s="108"/>
      <c r="I184" s="260"/>
    </row>
    <row r="185">
      <c r="A185" s="110">
        <v>37190.0</v>
      </c>
      <c r="B185" s="111"/>
      <c r="C185" s="116" t="str">
        <f>HYPERLINK("http://phish.net/sideshows/jon-fishman/?showid=1324433086", "setlist")</f>
        <v>setlist</v>
      </c>
      <c r="D185" s="183" t="s">
        <v>664</v>
      </c>
      <c r="E185" s="183" t="s">
        <v>665</v>
      </c>
      <c r="F185" s="114" t="s">
        <v>203</v>
      </c>
      <c r="G185" s="111"/>
      <c r="H185" s="138"/>
    </row>
    <row r="186">
      <c r="A186" s="103">
        <v>37191.0</v>
      </c>
      <c r="B186" s="104"/>
      <c r="C186" s="105" t="str">
        <f>HYPERLINK("http://phish.net/sideshows/jon-fishman/?showid=1324433124", "setlist")</f>
        <v>setlist</v>
      </c>
      <c r="D186" s="181" t="s">
        <v>664</v>
      </c>
      <c r="E186" s="181" t="s">
        <v>665</v>
      </c>
      <c r="F186" s="107" t="s">
        <v>203</v>
      </c>
      <c r="G186" s="104"/>
      <c r="H186" s="108"/>
      <c r="I186" s="260"/>
    </row>
    <row r="187">
      <c r="A187" s="110">
        <v>37192.0</v>
      </c>
      <c r="B187" s="111"/>
      <c r="C187" s="116" t="str">
        <f>HYPERLINK("http://phish.net/sideshows/jon-fishman/?d="&amp;RIGHT(TEXT(A187,"mm/dd/yyyy"),4)&amp;"-"&amp;LEFT(TEXT(A187,"mm/dd/yyyy"),2)&amp;"-"&amp;MID(TEXT(A187,"mm/dd/yyyy"),4,2), "setlist")</f>
        <v>setlist</v>
      </c>
      <c r="D187" s="183" t="s">
        <v>3558</v>
      </c>
      <c r="E187" s="183" t="s">
        <v>502</v>
      </c>
      <c r="F187" s="114" t="s">
        <v>203</v>
      </c>
      <c r="G187" s="111"/>
      <c r="H187" s="138"/>
    </row>
    <row r="188">
      <c r="A188" s="103">
        <v>37194.0</v>
      </c>
      <c r="B188" s="104"/>
      <c r="C188" s="105" t="str">
        <f>HYPERLINK("http://phish.net/sideshows/jon-fishman/?showid=1324433242", "setlist")</f>
        <v>setlist</v>
      </c>
      <c r="D188" s="181" t="s">
        <v>890</v>
      </c>
      <c r="E188" s="181" t="s">
        <v>891</v>
      </c>
      <c r="F188" s="107" t="s">
        <v>892</v>
      </c>
      <c r="G188" s="104"/>
      <c r="H188" s="108"/>
      <c r="I188" s="260"/>
    </row>
    <row r="189">
      <c r="A189" s="110">
        <v>37195.0</v>
      </c>
      <c r="B189" s="111"/>
      <c r="C189" s="116" t="str">
        <f>HYPERLINK("http://phish.net/sideshows/jon-fishman/?showid=1324433403", "setlist")</f>
        <v>setlist</v>
      </c>
      <c r="D189" s="183" t="s">
        <v>3559</v>
      </c>
      <c r="E189" s="183" t="s">
        <v>1099</v>
      </c>
      <c r="F189" s="114" t="s">
        <v>886</v>
      </c>
      <c r="G189" s="111"/>
      <c r="H189" s="138"/>
    </row>
    <row r="190">
      <c r="A190" s="103">
        <v>37196.0</v>
      </c>
      <c r="B190" s="104"/>
      <c r="C190" s="105" t="str">
        <f>HYPERLINK("http://phish.net/sideshows/jon-fishman/?d="&amp;RIGHT(TEXT(A190,"mm/dd/yyyy"),4)&amp;"-"&amp;LEFT(TEXT(A190,"mm/dd/yyyy"),2)&amp;"-"&amp;MID(TEXT(A190,"mm/dd/yyyy"),4,2), "setlist")</f>
        <v>setlist</v>
      </c>
      <c r="D190" s="181" t="s">
        <v>3322</v>
      </c>
      <c r="E190" s="181" t="s">
        <v>3560</v>
      </c>
      <c r="F190" s="107" t="s">
        <v>586</v>
      </c>
      <c r="G190" s="104"/>
      <c r="H190" s="108"/>
      <c r="I190" s="260"/>
    </row>
    <row r="191">
      <c r="A191" s="110">
        <v>37197.0</v>
      </c>
      <c r="B191" s="111"/>
      <c r="C191" s="116" t="str">
        <f>HYPERLINK("http://phish.net/sideshows/jon-fishman/?showid=1324433668", "setlist")</f>
        <v>setlist</v>
      </c>
      <c r="D191" s="183" t="s">
        <v>3561</v>
      </c>
      <c r="E191" s="183" t="s">
        <v>585</v>
      </c>
      <c r="F191" s="114" t="s">
        <v>586</v>
      </c>
      <c r="G191" s="111"/>
      <c r="H191" s="138"/>
    </row>
    <row r="192">
      <c r="A192" s="103">
        <v>37198.0</v>
      </c>
      <c r="B192" s="104"/>
      <c r="C192" s="105" t="str">
        <f>HYPERLINK("http://phish.net/sideshows/jon-fishman/?showid=1324433711", "setlist")</f>
        <v>setlist</v>
      </c>
      <c r="D192" s="181" t="s">
        <v>655</v>
      </c>
      <c r="E192" s="181" t="s">
        <v>656</v>
      </c>
      <c r="F192" s="107" t="s">
        <v>650</v>
      </c>
      <c r="G192" s="104"/>
      <c r="H192" s="108"/>
      <c r="I192" s="260"/>
    </row>
    <row r="193">
      <c r="A193" s="110">
        <v>37200.0</v>
      </c>
      <c r="B193" s="111"/>
      <c r="C193" s="116" t="str">
        <f>HYPERLINK("http://phish.net/sideshows/jon-fishman/?d="&amp;RIGHT(TEXT(A193,"mm/dd/yyyy"),4)&amp;"-"&amp;LEFT(TEXT(A193,"mm/dd/yyyy"),2)&amp;"-"&amp;MID(TEXT(A193,"mm/dd/yyyy"),4,2), "setlist")</f>
        <v>setlist</v>
      </c>
      <c r="D193" s="183" t="s">
        <v>761</v>
      </c>
      <c r="E193" s="183" t="s">
        <v>437</v>
      </c>
      <c r="F193" s="114" t="s">
        <v>433</v>
      </c>
      <c r="G193" s="111"/>
      <c r="H193" s="138"/>
    </row>
    <row r="194">
      <c r="A194" s="103">
        <v>37201.0</v>
      </c>
      <c r="B194" s="104"/>
      <c r="C194" s="105" t="str">
        <f>HYPERLINK("http://phish.net/sideshows/jon-fishman/?showid=1324433787", "setlist")</f>
        <v>setlist</v>
      </c>
      <c r="D194" s="181" t="s">
        <v>825</v>
      </c>
      <c r="E194" s="181" t="s">
        <v>429</v>
      </c>
      <c r="F194" s="107" t="s">
        <v>430</v>
      </c>
      <c r="G194" s="104"/>
      <c r="H194" s="108"/>
      <c r="I194" s="260"/>
    </row>
    <row r="195">
      <c r="A195" s="110">
        <v>37202.0</v>
      </c>
      <c r="B195" s="111"/>
      <c r="C195" s="116" t="str">
        <f>HYPERLINK("http://phish.net/sideshows/jon-fishman/?showid=1324433852", "setlist")</f>
        <v>setlist</v>
      </c>
      <c r="D195" s="183" t="s">
        <v>878</v>
      </c>
      <c r="E195" s="183" t="s">
        <v>879</v>
      </c>
      <c r="F195" s="114" t="s">
        <v>443</v>
      </c>
      <c r="G195" s="114" t="s">
        <v>36</v>
      </c>
      <c r="H195" s="135" t="str">
        <f>HYPERLINK("http://www.mediafire.com/?09rzxpaf3g2y8", "download link")</f>
        <v>download link</v>
      </c>
    </row>
    <row r="196">
      <c r="A196" s="350"/>
      <c r="B196" s="351"/>
      <c r="C196" s="352"/>
      <c r="D196" s="356" t="s">
        <v>3507</v>
      </c>
      <c r="E196" s="357"/>
      <c r="F196" s="351"/>
      <c r="G196" s="351"/>
      <c r="H196" s="358"/>
      <c r="I196" s="357"/>
    </row>
    <row r="197">
      <c r="A197" s="110">
        <v>37256.0</v>
      </c>
      <c r="B197" s="111"/>
      <c r="C197" s="392" t="s">
        <v>40</v>
      </c>
      <c r="D197" s="183" t="s">
        <v>2817</v>
      </c>
      <c r="E197" s="183" t="s">
        <v>854</v>
      </c>
      <c r="F197" s="114" t="s">
        <v>35</v>
      </c>
      <c r="G197" s="111"/>
      <c r="H197" s="138"/>
    </row>
    <row r="198">
      <c r="A198" s="350"/>
      <c r="B198" s="351"/>
      <c r="C198" s="352"/>
      <c r="D198" s="356" t="s">
        <v>2793</v>
      </c>
      <c r="E198" s="357"/>
      <c r="F198" s="351"/>
      <c r="G198" s="351"/>
      <c r="H198" s="358"/>
      <c r="I198" s="357"/>
    </row>
    <row r="199">
      <c r="A199" s="110">
        <v>37456.0</v>
      </c>
      <c r="B199" s="111"/>
      <c r="C199" s="116" t="str">
        <f>HYPERLINK("http://phish.net/sideshows/jon-fishman/?showid=1324493370", "setlist")</f>
        <v>setlist</v>
      </c>
      <c r="D199" s="183" t="s">
        <v>3562</v>
      </c>
      <c r="E199" s="183" t="s">
        <v>3563</v>
      </c>
      <c r="F199" s="114" t="s">
        <v>874</v>
      </c>
      <c r="G199" s="114">
        <v>128.0</v>
      </c>
      <c r="H199" s="135" t="str">
        <f>HYPERLINK("http://www.mediafire.com/?wn4ekqbz29m3o", "download link")</f>
        <v>download link</v>
      </c>
    </row>
    <row r="200">
      <c r="A200" s="103">
        <v>37457.0</v>
      </c>
      <c r="B200" s="104"/>
      <c r="C200" s="105" t="str">
        <f>HYPERLINK("http://phish.net/sideshows/jon-fishman/?showid=1324493484", "setlist")</f>
        <v>setlist</v>
      </c>
      <c r="D200" s="181" t="s">
        <v>3564</v>
      </c>
      <c r="E200" s="181" t="s">
        <v>445</v>
      </c>
      <c r="F200" s="107" t="s">
        <v>446</v>
      </c>
      <c r="G200" s="107" t="s">
        <v>36</v>
      </c>
      <c r="H200" s="105" t="str">
        <f>HYPERLINK("http://www.mediafire.com/?hogbcqjyn8lpp", "download link")</f>
        <v>download link</v>
      </c>
      <c r="I200" s="260"/>
    </row>
    <row r="201">
      <c r="A201" s="110">
        <v>37462.0</v>
      </c>
      <c r="B201" s="111"/>
      <c r="C201" s="116" t="str">
        <f>HYPERLINK("http://phish.net/sideshows/jon-fishman/?showid=1324493563", "setlist")</f>
        <v>setlist</v>
      </c>
      <c r="D201" s="183" t="s">
        <v>3565</v>
      </c>
      <c r="E201" s="183" t="s">
        <v>3451</v>
      </c>
      <c r="F201" s="114" t="s">
        <v>43</v>
      </c>
      <c r="G201" s="111"/>
      <c r="H201" s="138"/>
    </row>
    <row r="202">
      <c r="A202" s="103">
        <v>37463.0</v>
      </c>
      <c r="B202" s="104"/>
      <c r="C202" s="105" t="str">
        <f>HYPERLINK("http://phish.net/sideshows/jon-fishman/?showid=1324493593", "setlist")</f>
        <v>setlist</v>
      </c>
      <c r="D202" s="181" t="s">
        <v>3210</v>
      </c>
      <c r="E202" s="181" t="s">
        <v>162</v>
      </c>
      <c r="F202" s="107" t="s">
        <v>129</v>
      </c>
      <c r="G202" s="104"/>
      <c r="H202" s="108"/>
      <c r="I202" s="260"/>
    </row>
    <row r="203">
      <c r="A203" s="110">
        <v>37464.0</v>
      </c>
      <c r="B203" s="111"/>
      <c r="C203" s="116" t="str">
        <f>HYPERLINK("http://phish.net/sideshows/jon-fishman/?showid=1324493634", "setlist")</f>
        <v>setlist</v>
      </c>
      <c r="D203" s="183" t="s">
        <v>2903</v>
      </c>
      <c r="E203" s="183" t="s">
        <v>871</v>
      </c>
      <c r="F203" s="114" t="s">
        <v>212</v>
      </c>
      <c r="G203" s="111"/>
      <c r="H203" s="138"/>
    </row>
    <row r="204">
      <c r="A204" s="103">
        <v>37469.0</v>
      </c>
      <c r="B204" s="104"/>
      <c r="C204" s="105" t="str">
        <f t="shared" ref="C204:C212" si="22">HYPERLINK("http://phish.net/sideshows/jon-fishman/?d="&amp;RIGHT(TEXT(A204,"mm/dd/yyyy"),4)&amp;"-"&amp;LEFT(TEXT(A204,"mm/dd/yyyy"),2)&amp;"-"&amp;MID(TEXT(A204,"mm/dd/yyyy"),4,2), "setlist")</f>
        <v>setlist</v>
      </c>
      <c r="D204" s="181" t="s">
        <v>3566</v>
      </c>
      <c r="E204" s="181" t="s">
        <v>3567</v>
      </c>
      <c r="F204" s="107" t="s">
        <v>3568</v>
      </c>
      <c r="G204" s="104"/>
      <c r="H204" s="108"/>
      <c r="I204" s="260"/>
    </row>
    <row r="205">
      <c r="A205" s="110">
        <v>37470.0</v>
      </c>
      <c r="B205" s="111"/>
      <c r="C205" s="116" t="str">
        <f t="shared" si="22"/>
        <v>setlist</v>
      </c>
      <c r="D205" s="183" t="s">
        <v>3569</v>
      </c>
      <c r="E205" s="183" t="s">
        <v>3567</v>
      </c>
      <c r="F205" s="114" t="s">
        <v>3568</v>
      </c>
      <c r="G205" s="111"/>
      <c r="H205" s="138"/>
    </row>
    <row r="206">
      <c r="A206" s="103">
        <v>37471.0</v>
      </c>
      <c r="B206" s="104"/>
      <c r="C206" s="105" t="str">
        <f t="shared" si="22"/>
        <v>setlist</v>
      </c>
      <c r="D206" s="181" t="s">
        <v>3570</v>
      </c>
      <c r="E206" s="181" t="s">
        <v>3571</v>
      </c>
      <c r="F206" s="107" t="s">
        <v>3568</v>
      </c>
      <c r="G206" s="104"/>
      <c r="H206" s="108"/>
      <c r="I206" s="260"/>
    </row>
    <row r="207">
      <c r="A207" s="110">
        <v>37474.0</v>
      </c>
      <c r="B207" s="111"/>
      <c r="C207" s="116" t="str">
        <f t="shared" si="22"/>
        <v>setlist</v>
      </c>
      <c r="D207" s="183" t="s">
        <v>2173</v>
      </c>
      <c r="E207" s="183" t="s">
        <v>2174</v>
      </c>
      <c r="F207" s="114" t="s">
        <v>2085</v>
      </c>
      <c r="G207" s="111"/>
      <c r="H207" s="138"/>
    </row>
    <row r="208">
      <c r="A208" s="103">
        <v>37476.0</v>
      </c>
      <c r="B208" s="104"/>
      <c r="C208" s="105" t="str">
        <f t="shared" si="22"/>
        <v>setlist</v>
      </c>
      <c r="D208" s="181" t="s">
        <v>3572</v>
      </c>
      <c r="E208" s="181" t="s">
        <v>2168</v>
      </c>
      <c r="F208" s="107" t="s">
        <v>2085</v>
      </c>
      <c r="G208" s="104"/>
      <c r="H208" s="108"/>
      <c r="I208" s="260"/>
    </row>
    <row r="209">
      <c r="A209" s="110">
        <v>37477.0</v>
      </c>
      <c r="B209" s="111"/>
      <c r="C209" s="116" t="str">
        <f t="shared" si="22"/>
        <v>setlist</v>
      </c>
      <c r="D209" s="183" t="s">
        <v>2167</v>
      </c>
      <c r="E209" s="183" t="s">
        <v>2162</v>
      </c>
      <c r="F209" s="114" t="s">
        <v>2085</v>
      </c>
      <c r="G209" s="111"/>
      <c r="H209" s="138"/>
    </row>
    <row r="210">
      <c r="A210" s="103">
        <v>37478.0</v>
      </c>
      <c r="B210" s="104"/>
      <c r="C210" s="105" t="str">
        <f t="shared" si="22"/>
        <v>setlist</v>
      </c>
      <c r="D210" s="181" t="s">
        <v>2167</v>
      </c>
      <c r="E210" s="181" t="s">
        <v>2162</v>
      </c>
      <c r="F210" s="107" t="s">
        <v>2085</v>
      </c>
      <c r="G210" s="104"/>
      <c r="H210" s="108"/>
      <c r="I210" s="260"/>
    </row>
    <row r="211">
      <c r="A211" s="110">
        <v>37479.0</v>
      </c>
      <c r="B211" s="111"/>
      <c r="C211" s="116" t="str">
        <f t="shared" si="22"/>
        <v>setlist</v>
      </c>
      <c r="D211" s="183" t="s">
        <v>3573</v>
      </c>
      <c r="E211" s="183" t="s">
        <v>3574</v>
      </c>
      <c r="F211" s="114" t="s">
        <v>2085</v>
      </c>
      <c r="G211" s="111"/>
      <c r="H211" s="138"/>
    </row>
    <row r="212">
      <c r="A212" s="103">
        <v>37498.0</v>
      </c>
      <c r="B212" s="104"/>
      <c r="C212" s="105" t="str">
        <f t="shared" si="22"/>
        <v>setlist</v>
      </c>
      <c r="D212" s="181" t="s">
        <v>3238</v>
      </c>
      <c r="E212" s="181" t="s">
        <v>3239</v>
      </c>
      <c r="F212" s="107" t="s">
        <v>129</v>
      </c>
      <c r="G212" s="107" t="s">
        <v>36</v>
      </c>
      <c r="H212" s="105" t="str">
        <f>HYPERLINK("http://www.mediafire.com/?zzclpbfihu4w1", "download link")</f>
        <v>download link</v>
      </c>
      <c r="I212" s="260"/>
    </row>
    <row r="213">
      <c r="A213" s="350"/>
      <c r="B213" s="351"/>
      <c r="C213" s="352"/>
      <c r="D213" s="356" t="s">
        <v>3507</v>
      </c>
      <c r="E213" s="357"/>
      <c r="F213" s="351"/>
      <c r="G213" s="351"/>
      <c r="H213" s="358"/>
      <c r="I213" s="357"/>
    </row>
    <row r="214">
      <c r="A214" s="110">
        <v>37538.0</v>
      </c>
      <c r="B214" s="111"/>
      <c r="C214" s="116" t="str">
        <f t="shared" ref="C214:C225" si="23">HYPERLINK("http://phish.net/sideshows/jon-fishman/?d="&amp;RIGHT(TEXT(A214,"mm/dd/yyyy"),4)&amp;"-"&amp;LEFT(TEXT(A214,"mm/dd/yyyy"),2)&amp;"-"&amp;MID(TEXT(A214,"mm/dd/yyyy"),4,2), "setlist")</f>
        <v>setlist</v>
      </c>
      <c r="D214" s="183" t="s">
        <v>3379</v>
      </c>
      <c r="E214" s="183" t="s">
        <v>247</v>
      </c>
      <c r="F214" s="114" t="s">
        <v>446</v>
      </c>
      <c r="G214" s="111"/>
      <c r="H214" s="138"/>
    </row>
    <row r="215">
      <c r="A215" s="103">
        <v>37539.0</v>
      </c>
      <c r="B215" s="104"/>
      <c r="C215" s="105" t="str">
        <f t="shared" si="23"/>
        <v>setlist</v>
      </c>
      <c r="D215" s="181" t="s">
        <v>260</v>
      </c>
      <c r="E215" s="181" t="s">
        <v>94</v>
      </c>
      <c r="F215" s="107" t="s">
        <v>95</v>
      </c>
      <c r="G215" s="104"/>
      <c r="H215" s="108"/>
      <c r="I215" s="260"/>
    </row>
    <row r="216">
      <c r="A216" s="110">
        <v>37540.0</v>
      </c>
      <c r="B216" s="111"/>
      <c r="C216" s="116" t="str">
        <f t="shared" si="23"/>
        <v>setlist</v>
      </c>
      <c r="D216" s="183" t="s">
        <v>3018</v>
      </c>
      <c r="E216" s="183" t="s">
        <v>297</v>
      </c>
      <c r="F216" s="114" t="s">
        <v>298</v>
      </c>
      <c r="G216" s="111"/>
      <c r="H216" s="138"/>
    </row>
    <row r="217">
      <c r="A217" s="103">
        <v>37541.0</v>
      </c>
      <c r="B217" s="104"/>
      <c r="C217" s="105" t="str">
        <f t="shared" si="23"/>
        <v>setlist</v>
      </c>
      <c r="D217" s="181" t="s">
        <v>3223</v>
      </c>
      <c r="E217" s="181" t="s">
        <v>162</v>
      </c>
      <c r="F217" s="107" t="s">
        <v>129</v>
      </c>
      <c r="G217" s="104"/>
      <c r="H217" s="108"/>
      <c r="I217" s="260"/>
    </row>
    <row r="218">
      <c r="A218" s="110">
        <v>37542.0</v>
      </c>
      <c r="B218" s="111"/>
      <c r="C218" s="116" t="str">
        <f t="shared" si="23"/>
        <v>setlist</v>
      </c>
      <c r="D218" s="183" t="s">
        <v>3224</v>
      </c>
      <c r="E218" s="183" t="s">
        <v>871</v>
      </c>
      <c r="F218" s="114" t="s">
        <v>212</v>
      </c>
      <c r="G218" s="111"/>
      <c r="H218" s="138"/>
    </row>
    <row r="219">
      <c r="A219" s="103">
        <v>37544.0</v>
      </c>
      <c r="B219" s="104"/>
      <c r="C219" s="105" t="str">
        <f t="shared" si="23"/>
        <v>setlist</v>
      </c>
      <c r="D219" s="181" t="s">
        <v>3575</v>
      </c>
      <c r="E219" s="181" t="s">
        <v>718</v>
      </c>
      <c r="F219" s="107" t="s">
        <v>129</v>
      </c>
      <c r="G219" s="104"/>
      <c r="H219" s="108"/>
      <c r="I219" s="260"/>
    </row>
    <row r="220">
      <c r="A220" s="110">
        <v>37545.0</v>
      </c>
      <c r="B220" s="111"/>
      <c r="C220" s="116" t="str">
        <f t="shared" si="23"/>
        <v>setlist</v>
      </c>
      <c r="D220" s="183" t="s">
        <v>3528</v>
      </c>
      <c r="E220" s="183" t="s">
        <v>773</v>
      </c>
      <c r="F220" s="114" t="s">
        <v>472</v>
      </c>
      <c r="G220" s="111"/>
      <c r="H220" s="138"/>
    </row>
    <row r="221">
      <c r="A221" s="103">
        <v>37546.0</v>
      </c>
      <c r="B221" s="104"/>
      <c r="C221" s="105" t="str">
        <f t="shared" si="23"/>
        <v>setlist</v>
      </c>
      <c r="D221" s="181" t="s">
        <v>942</v>
      </c>
      <c r="E221" s="181" t="s">
        <v>943</v>
      </c>
      <c r="F221" s="107" t="s">
        <v>472</v>
      </c>
      <c r="G221" s="104"/>
      <c r="H221" s="108"/>
      <c r="I221" s="260"/>
    </row>
    <row r="222">
      <c r="A222" s="110">
        <v>37547.0</v>
      </c>
      <c r="B222" s="111"/>
      <c r="C222" s="116" t="str">
        <f t="shared" si="23"/>
        <v>setlist</v>
      </c>
      <c r="D222" s="183" t="s">
        <v>3337</v>
      </c>
      <c r="E222" s="183" t="s">
        <v>711</v>
      </c>
      <c r="F222" s="114" t="s">
        <v>712</v>
      </c>
      <c r="G222" s="111"/>
      <c r="H222" s="138"/>
    </row>
    <row r="223">
      <c r="A223" s="103">
        <v>37548.0</v>
      </c>
      <c r="B223" s="104"/>
      <c r="C223" s="105" t="str">
        <f t="shared" si="23"/>
        <v>setlist</v>
      </c>
      <c r="D223" s="181" t="s">
        <v>3541</v>
      </c>
      <c r="E223" s="181" t="s">
        <v>479</v>
      </c>
      <c r="F223" s="107" t="s">
        <v>480</v>
      </c>
      <c r="G223" s="107" t="s">
        <v>36</v>
      </c>
      <c r="H223" s="105" t="str">
        <f>HYPERLINK("http://www.mediafire.com/?7u5pl88ljjcdz", "download link")</f>
        <v>download link</v>
      </c>
      <c r="I223" s="260"/>
    </row>
    <row r="224">
      <c r="A224" s="110">
        <v>37550.0</v>
      </c>
      <c r="B224" s="111"/>
      <c r="C224" s="116" t="str">
        <f t="shared" si="23"/>
        <v>setlist</v>
      </c>
      <c r="D224" s="183" t="s">
        <v>932</v>
      </c>
      <c r="E224" s="183" t="s">
        <v>485</v>
      </c>
      <c r="F224" s="114" t="s">
        <v>486</v>
      </c>
      <c r="G224" s="111"/>
      <c r="H224" s="138"/>
    </row>
    <row r="225">
      <c r="A225" s="103">
        <v>37552.0</v>
      </c>
      <c r="B225" s="104"/>
      <c r="C225" s="105" t="str">
        <f t="shared" si="23"/>
        <v>setlist</v>
      </c>
      <c r="D225" s="181" t="s">
        <v>884</v>
      </c>
      <c r="E225" s="181" t="s">
        <v>885</v>
      </c>
      <c r="F225" s="107" t="s">
        <v>886</v>
      </c>
      <c r="G225" s="104"/>
      <c r="H225" s="108"/>
      <c r="I225" s="260"/>
    </row>
    <row r="226">
      <c r="A226" s="110">
        <v>37553.0</v>
      </c>
      <c r="B226" s="111"/>
      <c r="C226" s="116" t="str">
        <f>HYPERLINK("http://phish.net/sideshows/jon-fishman/?showid=1324580328", "setlist")</f>
        <v>setlist</v>
      </c>
      <c r="D226" s="183" t="s">
        <v>888</v>
      </c>
      <c r="E226" s="183" t="s">
        <v>439</v>
      </c>
      <c r="F226" s="114" t="s">
        <v>886</v>
      </c>
      <c r="G226" s="111"/>
      <c r="H226" s="138"/>
    </row>
    <row r="227">
      <c r="A227" s="103">
        <v>37554.0</v>
      </c>
      <c r="B227" s="104"/>
      <c r="C227" s="105" t="str">
        <f>HYPERLINK("http://phish.net/sideshows/jon-fishman/?showid=1324580364", "setlist")</f>
        <v>setlist</v>
      </c>
      <c r="D227" s="181" t="s">
        <v>3374</v>
      </c>
      <c r="E227" s="181" t="s">
        <v>891</v>
      </c>
      <c r="F227" s="107" t="s">
        <v>892</v>
      </c>
      <c r="G227" s="104"/>
      <c r="H227" s="108"/>
      <c r="I227" s="260"/>
    </row>
    <row r="228">
      <c r="A228" s="110">
        <v>37555.0</v>
      </c>
      <c r="B228" s="111"/>
      <c r="C228" s="116" t="str">
        <f>HYPERLINK("http://phish.net/sideshows/jon-fishman/?showid=1324580389", "setlist")</f>
        <v>setlist</v>
      </c>
      <c r="D228" s="183" t="s">
        <v>897</v>
      </c>
      <c r="E228" s="183" t="s">
        <v>488</v>
      </c>
      <c r="F228" s="114" t="s">
        <v>203</v>
      </c>
      <c r="G228" s="111"/>
      <c r="H228" s="138"/>
    </row>
    <row r="229">
      <c r="A229" s="103">
        <v>37557.0</v>
      </c>
      <c r="B229" s="104"/>
      <c r="C229" s="105" t="str">
        <f>HYPERLINK("http://phish.net/sideshows/jon-fishman/?showid=1324580455", "setlist")</f>
        <v>setlist</v>
      </c>
      <c r="D229" s="181" t="s">
        <v>3576</v>
      </c>
      <c r="E229" s="181" t="s">
        <v>1734</v>
      </c>
      <c r="F229" s="107" t="s">
        <v>1302</v>
      </c>
      <c r="G229" s="104"/>
      <c r="H229" s="108"/>
      <c r="I229" s="260"/>
    </row>
    <row r="230">
      <c r="A230" s="110">
        <v>37559.0</v>
      </c>
      <c r="B230" s="111"/>
      <c r="C230" s="116" t="str">
        <f>HYPERLINK("http://phish.net/sideshows/jon-fishman/?d="&amp;RIGHT(TEXT(A230,"mm/dd/yyyy"),4)&amp;"-"&amp;LEFT(TEXT(A230,"mm/dd/yyyy"),2)&amp;"-"&amp;MID(TEXT(A230,"mm/dd/yyyy"),4,2), "setlist")</f>
        <v>setlist</v>
      </c>
      <c r="D230" s="183" t="s">
        <v>3092</v>
      </c>
      <c r="E230" s="183" t="s">
        <v>791</v>
      </c>
      <c r="F230" s="114" t="s">
        <v>701</v>
      </c>
      <c r="G230" s="114" t="s">
        <v>36</v>
      </c>
      <c r="H230" s="135" t="str">
        <f>HYPERLINK("http://www.mediafire.com/?9t023bqq63wl5", "download link")</f>
        <v>download link</v>
      </c>
    </row>
    <row r="231">
      <c r="A231" s="103">
        <v>37560.0</v>
      </c>
      <c r="B231" s="104"/>
      <c r="C231" s="105" t="str">
        <f>HYPERLINK("http://phish.net/sideshows/jon-fishman/?showid=1324580637", "setlist")</f>
        <v>setlist</v>
      </c>
      <c r="D231" s="181" t="s">
        <v>3577</v>
      </c>
      <c r="E231" s="181" t="s">
        <v>279</v>
      </c>
      <c r="F231" s="107" t="s">
        <v>692</v>
      </c>
      <c r="G231" s="104"/>
      <c r="H231" s="108"/>
      <c r="I231" s="260"/>
    </row>
    <row r="232">
      <c r="A232" s="110">
        <v>37560.0</v>
      </c>
      <c r="B232" s="111"/>
      <c r="C232" s="116" t="str">
        <f>HYPERLINK("http://phish.net/sideshows/jon-fishman/?showid=1324580718", "setlist")</f>
        <v>setlist</v>
      </c>
      <c r="D232" s="183" t="s">
        <v>794</v>
      </c>
      <c r="E232" s="183" t="s">
        <v>279</v>
      </c>
      <c r="F232" s="114" t="s">
        <v>692</v>
      </c>
      <c r="G232" s="111"/>
      <c r="H232" s="138"/>
    </row>
    <row r="233">
      <c r="A233" s="103">
        <v>37561.0</v>
      </c>
      <c r="B233" s="104"/>
      <c r="C233" s="105" t="str">
        <f>HYPERLINK("http://phish.net/sideshows/jon-fishman/?showid=1324581105", "setlist")</f>
        <v>setlist</v>
      </c>
      <c r="D233" s="181" t="s">
        <v>3578</v>
      </c>
      <c r="E233" s="181" t="s">
        <v>683</v>
      </c>
      <c r="F233" s="107" t="s">
        <v>679</v>
      </c>
      <c r="G233" s="104"/>
      <c r="H233" s="108"/>
      <c r="I233" s="260"/>
    </row>
    <row r="234">
      <c r="A234" s="110">
        <v>37562.0</v>
      </c>
      <c r="B234" s="111"/>
      <c r="C234" s="116" t="str">
        <f>HYPERLINK("http://phish.net/sideshows/jon-fishman/?showid=1324581135", "setlist")</f>
        <v>setlist</v>
      </c>
      <c r="D234" s="183" t="s">
        <v>3227</v>
      </c>
      <c r="E234" s="183" t="s">
        <v>911</v>
      </c>
      <c r="F234" s="114" t="s">
        <v>679</v>
      </c>
      <c r="G234" s="111"/>
      <c r="H234" s="138"/>
    </row>
    <row r="235">
      <c r="A235" s="103">
        <v>37563.0</v>
      </c>
      <c r="B235" s="104"/>
      <c r="C235" s="105" t="str">
        <f>HYPERLINK("http://phish.net/sideshows/jon-fishman/?d="&amp;RIGHT(TEXT(A235,"mm/dd/yyyy"),4)&amp;"-"&amp;LEFT(TEXT(A235,"mm/dd/yyyy"),2)&amp;"-"&amp;MID(TEXT(A235,"mm/dd/yyyy"),4,2), "setlist")</f>
        <v>setlist</v>
      </c>
      <c r="D235" s="181" t="s">
        <v>3579</v>
      </c>
      <c r="E235" s="181" t="s">
        <v>1804</v>
      </c>
      <c r="F235" s="107" t="s">
        <v>1805</v>
      </c>
      <c r="G235" s="104"/>
      <c r="H235" s="108"/>
      <c r="I235" s="260"/>
    </row>
    <row r="236">
      <c r="A236" s="110">
        <v>37566.0</v>
      </c>
      <c r="B236" s="111"/>
      <c r="C236" s="116" t="str">
        <f>HYPERLINK("http://phish.net/sideshows/jon-fishman/?showid=1324581252", "setlist")</f>
        <v>setlist</v>
      </c>
      <c r="D236" s="183" t="s">
        <v>3580</v>
      </c>
      <c r="E236" s="183" t="s">
        <v>593</v>
      </c>
      <c r="F236" s="114" t="s">
        <v>589</v>
      </c>
      <c r="G236" s="111"/>
      <c r="H236" s="138"/>
    </row>
    <row r="237">
      <c r="A237" s="103">
        <v>37567.0</v>
      </c>
      <c r="B237" s="104"/>
      <c r="C237" s="105" t="str">
        <f>HYPERLINK("http://phish.net/sideshows/jon-fishman/?d="&amp;RIGHT(TEXT(A237,"mm/dd/yyyy"),4)&amp;"-"&amp;LEFT(TEXT(A237,"mm/dd/yyyy"),2)&amp;"-"&amp;MID(TEXT(A237,"mm/dd/yyyy"),4,2), "setlist")</f>
        <v>setlist</v>
      </c>
      <c r="D237" s="181" t="s">
        <v>3581</v>
      </c>
      <c r="E237" s="181" t="s">
        <v>591</v>
      </c>
      <c r="F237" s="107" t="s">
        <v>589</v>
      </c>
      <c r="G237" s="104"/>
      <c r="H237" s="108"/>
      <c r="I237" s="260"/>
    </row>
    <row r="238">
      <c r="A238" s="110">
        <v>37568.0</v>
      </c>
      <c r="B238" s="111"/>
      <c r="C238" s="116" t="str">
        <f>HYPERLINK("http://phish.net/sideshows/jon-fishman/?showid=1324581381", "setlist")</f>
        <v>setlist</v>
      </c>
      <c r="D238" s="183" t="s">
        <v>3561</v>
      </c>
      <c r="E238" s="183" t="s">
        <v>585</v>
      </c>
      <c r="F238" s="114" t="s">
        <v>586</v>
      </c>
      <c r="G238" s="111"/>
      <c r="H238" s="138"/>
    </row>
    <row r="239">
      <c r="A239" s="103">
        <v>37569.0</v>
      </c>
      <c r="B239" s="104"/>
      <c r="C239" s="105" t="str">
        <f>HYPERLINK("http://phish.net/sideshows/jon-fishman/?showid=1324581413", "setlist")</f>
        <v>setlist</v>
      </c>
      <c r="D239" s="181" t="s">
        <v>761</v>
      </c>
      <c r="E239" s="181" t="s">
        <v>437</v>
      </c>
      <c r="F239" s="107" t="s">
        <v>433</v>
      </c>
      <c r="G239" s="104"/>
      <c r="H239" s="108"/>
      <c r="I239" s="260"/>
    </row>
    <row r="240">
      <c r="A240" s="110">
        <v>37570.0</v>
      </c>
      <c r="B240" s="111"/>
      <c r="C240" s="116" t="str">
        <f>HYPERLINK("http://phish.net/sideshows/jon-fishman/?showid=1324581484", "setlist")</f>
        <v>setlist</v>
      </c>
      <c r="D240" s="183" t="s">
        <v>2953</v>
      </c>
      <c r="E240" s="183" t="s">
        <v>2327</v>
      </c>
      <c r="F240" s="114" t="s">
        <v>443</v>
      </c>
      <c r="G240" s="111"/>
      <c r="H240" s="138"/>
    </row>
    <row r="241">
      <c r="A241" s="103">
        <v>37572.0</v>
      </c>
      <c r="B241" s="104"/>
      <c r="C241" s="105" t="str">
        <f>HYPERLINK("http://phish.net/sideshows/jon-fishman/?showid=1324581524", "setlist")</f>
        <v>setlist</v>
      </c>
      <c r="D241" s="181" t="s">
        <v>3261</v>
      </c>
      <c r="E241" s="181" t="s">
        <v>579</v>
      </c>
      <c r="F241" s="107" t="s">
        <v>446</v>
      </c>
      <c r="G241" s="104"/>
      <c r="H241" s="108"/>
      <c r="I241" s="260"/>
    </row>
    <row r="242">
      <c r="A242" s="110">
        <v>37573.0</v>
      </c>
      <c r="B242" s="111"/>
      <c r="C242" s="116" t="str">
        <f>HYPERLINK("http://phish.net/sideshows/jon-fishman/?showid=1324581547", "setlist")</f>
        <v>setlist</v>
      </c>
      <c r="D242" s="183" t="s">
        <v>2838</v>
      </c>
      <c r="E242" s="183" t="s">
        <v>393</v>
      </c>
      <c r="F242" s="114" t="s">
        <v>394</v>
      </c>
      <c r="G242" s="111"/>
      <c r="H242" s="138"/>
    </row>
    <row r="243">
      <c r="A243" s="103">
        <v>37574.0</v>
      </c>
      <c r="B243" s="104"/>
      <c r="C243" s="105" t="str">
        <f>HYPERLINK("http://phish.net/sideshows/jon-fishman/?d="&amp;RIGHT(TEXT(A243,"mm/dd/yyyy"),4)&amp;"-"&amp;LEFT(TEXT(A243,"mm/dd/yyyy"),2)&amp;"-"&amp;MID(TEXT(A243,"mm/dd/yyyy"),4,2), "setlist")</f>
        <v>setlist</v>
      </c>
      <c r="D243" s="181" t="s">
        <v>3545</v>
      </c>
      <c r="E243" s="181" t="s">
        <v>309</v>
      </c>
      <c r="F243" s="107" t="s">
        <v>129</v>
      </c>
      <c r="G243" s="104"/>
      <c r="H243" s="108"/>
      <c r="I243" s="260"/>
    </row>
    <row r="244">
      <c r="A244" s="350"/>
      <c r="B244" s="351"/>
      <c r="C244" s="352"/>
      <c r="D244" s="356" t="s">
        <v>2793</v>
      </c>
      <c r="E244" s="357"/>
      <c r="F244" s="351"/>
      <c r="G244" s="351"/>
      <c r="H244" s="358"/>
      <c r="I244" s="357"/>
    </row>
    <row r="245">
      <c r="A245" s="110">
        <v>37989.0</v>
      </c>
      <c r="B245" s="111"/>
      <c r="C245" s="116" t="str">
        <f>HYPERLINK("http://phish.net/sideshows/jon-fishman/?showid=1324446687", "setlist")</f>
        <v>setlist</v>
      </c>
      <c r="D245" s="183" t="s">
        <v>3471</v>
      </c>
      <c r="E245" s="183" t="s">
        <v>1138</v>
      </c>
      <c r="F245" s="114" t="s">
        <v>1133</v>
      </c>
      <c r="G245" s="114" t="s">
        <v>36</v>
      </c>
      <c r="H245" s="135" t="str">
        <f>HYPERLINK("http://www.mediafire.com/?32i1yofdro33a", "download link")</f>
        <v>download link</v>
      </c>
    </row>
    <row r="246">
      <c r="A246" s="103">
        <v>37990.0</v>
      </c>
      <c r="B246" s="104"/>
      <c r="C246" s="105" t="str">
        <f>HYPERLINK("http://phish.net/sideshows/jon-fishman/?showid=1324446719", "setlist")</f>
        <v>setlist</v>
      </c>
      <c r="D246" s="181" t="s">
        <v>3265</v>
      </c>
      <c r="E246" s="181" t="s">
        <v>3154</v>
      </c>
      <c r="F246" s="107" t="s">
        <v>1133</v>
      </c>
      <c r="G246" s="104"/>
      <c r="H246" s="108"/>
      <c r="I246" s="260"/>
    </row>
    <row r="247">
      <c r="A247" s="110">
        <v>37991.0</v>
      </c>
      <c r="B247" s="111"/>
      <c r="C247" s="116" t="str">
        <f>HYPERLINK("http://phish.net/sideshows/jon-fishman/?showid=1324446753", "setlist")</f>
        <v>setlist</v>
      </c>
      <c r="D247" s="183" t="s">
        <v>1129</v>
      </c>
      <c r="E247" s="183" t="s">
        <v>437</v>
      </c>
      <c r="F247" s="114" t="s">
        <v>433</v>
      </c>
      <c r="G247" s="111"/>
      <c r="H247" s="138"/>
    </row>
    <row r="248">
      <c r="A248" s="103">
        <v>37993.0</v>
      </c>
      <c r="B248" s="104"/>
      <c r="C248" s="105" t="str">
        <f>HYPERLINK("http://phish.net/sideshows/jon-fishman/?showid=1324446817", "setlist")</f>
        <v>setlist</v>
      </c>
      <c r="D248" s="181" t="s">
        <v>2953</v>
      </c>
      <c r="E248" s="181" t="s">
        <v>2327</v>
      </c>
      <c r="F248" s="107" t="s">
        <v>443</v>
      </c>
      <c r="G248" s="107" t="s">
        <v>36</v>
      </c>
      <c r="H248" s="105" t="str">
        <f>HYPERLINK("http://www.mediafire.com/?clyxv5yhyxf8p", "download link")</f>
        <v>download link</v>
      </c>
      <c r="I248" s="260"/>
    </row>
    <row r="249">
      <c r="A249" s="110">
        <v>37994.0</v>
      </c>
      <c r="B249" s="111"/>
      <c r="C249" s="116" t="str">
        <f>HYPERLINK("http://phish.net/sideshows/jon-fishman/?showid=1324446845", "setlist")</f>
        <v>setlist</v>
      </c>
      <c r="D249" s="183" t="s">
        <v>2838</v>
      </c>
      <c r="E249" s="183" t="s">
        <v>393</v>
      </c>
      <c r="F249" s="114" t="s">
        <v>394</v>
      </c>
      <c r="G249" s="114" t="s">
        <v>36</v>
      </c>
      <c r="H249" s="135" t="str">
        <f>HYPERLINK("http://www.mediafire.com/?i987ovp7e17qf", "download link")</f>
        <v>download link</v>
      </c>
    </row>
    <row r="250">
      <c r="A250" s="103">
        <v>37995.0</v>
      </c>
      <c r="B250" s="104"/>
      <c r="C250" s="105" t="str">
        <f>HYPERLINK("http://phish.net/sideshows/jon-fishman/?showid=1324446901", "setlist")</f>
        <v>setlist</v>
      </c>
      <c r="D250" s="181" t="s">
        <v>2903</v>
      </c>
      <c r="E250" s="181" t="s">
        <v>871</v>
      </c>
      <c r="F250" s="107" t="s">
        <v>212</v>
      </c>
      <c r="G250" s="107" t="s">
        <v>36</v>
      </c>
      <c r="H250" s="105" t="str">
        <f>HYPERLINK("http://www.mediafire.com/?8pjpbt47a88bu", "download link")</f>
        <v>download link</v>
      </c>
      <c r="I250" s="260"/>
    </row>
    <row r="251">
      <c r="A251" s="110">
        <v>37996.0</v>
      </c>
      <c r="B251" s="111"/>
      <c r="C251" s="116" t="str">
        <f>HYPERLINK("http://phish.net/sideshows/jon-fishman/?showid=1324446957", "setlist")</f>
        <v>setlist</v>
      </c>
      <c r="D251" s="183" t="s">
        <v>863</v>
      </c>
      <c r="E251" s="183" t="s">
        <v>162</v>
      </c>
      <c r="F251" s="114" t="s">
        <v>129</v>
      </c>
      <c r="G251" s="111"/>
      <c r="H251" s="138"/>
    </row>
    <row r="252">
      <c r="A252" s="103">
        <v>37997.0</v>
      </c>
      <c r="B252" s="104"/>
      <c r="C252" s="105" t="str">
        <f>HYPERLINK("http://phish.net/sideshows/jon-fishman/?d="&amp;RIGHT(TEXT(A252,"mm/dd/yyyy"),4)&amp;"-"&amp;LEFT(TEXT(A252,"mm/dd/yyyy"),2)&amp;"-"&amp;MID(TEXT(A252,"mm/dd/yyyy"),4,2), "setlist")</f>
        <v>setlist</v>
      </c>
      <c r="D252" s="181" t="s">
        <v>3582</v>
      </c>
      <c r="E252" s="181" t="s">
        <v>1073</v>
      </c>
      <c r="F252" s="107" t="s">
        <v>212</v>
      </c>
      <c r="G252" s="104"/>
      <c r="H252" s="108"/>
      <c r="I252" s="260"/>
    </row>
    <row r="253">
      <c r="A253" s="110">
        <v>37998.0</v>
      </c>
      <c r="B253" s="111"/>
      <c r="C253" s="116" t="str">
        <f>HYPERLINK("http://phish.net/sideshows/jon-fishman/?showid=1324478891", "setlist")</f>
        <v>setlist</v>
      </c>
      <c r="D253" s="183" t="s">
        <v>3583</v>
      </c>
      <c r="E253" s="183" t="s">
        <v>943</v>
      </c>
      <c r="F253" s="114" t="s">
        <v>472</v>
      </c>
      <c r="G253" s="111"/>
      <c r="H253" s="138"/>
    </row>
    <row r="254">
      <c r="A254" s="103">
        <v>37998.0</v>
      </c>
      <c r="B254" s="104"/>
      <c r="C254" s="105" t="str">
        <f>HYPERLINK("http://phish.net/sideshows/jon-fishman/?showid=1324478919", "setlist")</f>
        <v>setlist</v>
      </c>
      <c r="D254" s="181" t="s">
        <v>3584</v>
      </c>
      <c r="E254" s="181" t="s">
        <v>943</v>
      </c>
      <c r="F254" s="107" t="s">
        <v>472</v>
      </c>
      <c r="G254" s="104"/>
      <c r="H254" s="108"/>
      <c r="I254" s="260"/>
    </row>
    <row r="255">
      <c r="A255" s="142">
        <v>37999.0</v>
      </c>
      <c r="B255" s="144"/>
      <c r="C255" s="116" t="str">
        <f>HYPERLINK("http://phish.net/sideshows/jon-fishman/?showid=1324478961", "setlist")</f>
        <v>setlist</v>
      </c>
      <c r="D255" s="272" t="s">
        <v>3335</v>
      </c>
      <c r="E255" s="272" t="s">
        <v>1289</v>
      </c>
      <c r="F255" s="115" t="s">
        <v>508</v>
      </c>
      <c r="G255" s="115" t="s">
        <v>36</v>
      </c>
      <c r="H255" s="116" t="str">
        <f>HYPERLINK("http://www.mediafire.com/?hj6uogds5awxi", "download link")</f>
        <v>download link</v>
      </c>
      <c r="I255" s="273"/>
    </row>
    <row r="256">
      <c r="A256" s="103">
        <v>38000.0</v>
      </c>
      <c r="B256" s="104"/>
      <c r="C256" s="105" t="str">
        <f>HYPERLINK("http://phish.net/sideshows/jon-fishman/?showid=1324479044", "setlist")</f>
        <v>setlist</v>
      </c>
      <c r="D256" s="181" t="s">
        <v>3585</v>
      </c>
      <c r="E256" s="181" t="s">
        <v>3586</v>
      </c>
      <c r="F256" s="107" t="s">
        <v>480</v>
      </c>
      <c r="G256" s="104"/>
      <c r="H256" s="108"/>
      <c r="I256" s="260"/>
    </row>
    <row r="257">
      <c r="A257" s="142">
        <v>38001.0</v>
      </c>
      <c r="B257" s="144"/>
      <c r="C257" s="116" t="str">
        <f>HYPERLINK("http://phish.net/sideshows/jon-fishman/?showid=1324479079", "setlist")</f>
        <v>setlist</v>
      </c>
      <c r="D257" s="272" t="s">
        <v>2990</v>
      </c>
      <c r="E257" s="272" t="s">
        <v>479</v>
      </c>
      <c r="F257" s="115" t="s">
        <v>480</v>
      </c>
      <c r="G257" s="144"/>
      <c r="H257" s="145"/>
      <c r="I257" s="273"/>
    </row>
    <row r="258">
      <c r="A258" s="103">
        <v>38002.0</v>
      </c>
      <c r="B258" s="104"/>
      <c r="C258" s="105" t="str">
        <f>HYPERLINK("http://phish.net/sideshows/jon-fishman/?showid=1324479121", "setlist")</f>
        <v>setlist</v>
      </c>
      <c r="D258" s="181" t="s">
        <v>3531</v>
      </c>
      <c r="E258" s="181" t="s">
        <v>3532</v>
      </c>
      <c r="F258" s="107" t="s">
        <v>480</v>
      </c>
      <c r="G258" s="104"/>
      <c r="H258" s="108"/>
      <c r="I258" s="260"/>
    </row>
    <row r="259">
      <c r="A259" s="350"/>
      <c r="B259" s="351"/>
      <c r="C259" s="352"/>
      <c r="D259" s="356" t="s">
        <v>3587</v>
      </c>
      <c r="E259" s="357"/>
      <c r="F259" s="351"/>
      <c r="G259" s="351"/>
      <c r="H259" s="358"/>
      <c r="I259" s="357"/>
    </row>
    <row r="260">
      <c r="A260" s="110">
        <v>38106.0</v>
      </c>
      <c r="B260" s="111"/>
      <c r="C260" s="116" t="str">
        <f>HYPERLINK("http://phish.net/sideshows/guest-appearance/?d=2004-04-29", "setlist")</f>
        <v>setlist</v>
      </c>
      <c r="D260" s="183" t="s">
        <v>3365</v>
      </c>
      <c r="E260" s="183" t="s">
        <v>695</v>
      </c>
      <c r="F260" s="114" t="s">
        <v>692</v>
      </c>
      <c r="G260" s="114" t="s">
        <v>36</v>
      </c>
      <c r="H260" s="135" t="str">
        <f>HYPERLINK("http://www.mediafire.com/?6ok7awdx7cd76", "download link")</f>
        <v>download link</v>
      </c>
    </row>
    <row r="261">
      <c r="A261" s="103">
        <v>38108.0</v>
      </c>
      <c r="B261" s="107" t="s">
        <v>32</v>
      </c>
      <c r="C261" s="105" t="str">
        <f>HYPERLINK("http://phish.net/sideshows/guest-appearance/?d=2004-05-01", "setlist")</f>
        <v>setlist</v>
      </c>
      <c r="D261" s="181" t="s">
        <v>3318</v>
      </c>
      <c r="E261" s="181" t="s">
        <v>279</v>
      </c>
      <c r="F261" s="107" t="s">
        <v>692</v>
      </c>
      <c r="G261" s="107" t="s">
        <v>36</v>
      </c>
      <c r="H261" s="105" t="str">
        <f>HYPERLINK("http://www.mediafire.com/?ec37c3u0g3u0c", "download link")</f>
        <v>download link</v>
      </c>
      <c r="I261" s="260"/>
    </row>
    <row r="262">
      <c r="A262" s="350"/>
      <c r="B262" s="351"/>
      <c r="C262" s="352"/>
      <c r="D262" s="356" t="s">
        <v>2793</v>
      </c>
      <c r="E262" s="357"/>
      <c r="F262" s="351"/>
      <c r="G262" s="351"/>
      <c r="H262" s="358"/>
      <c r="I262" s="357"/>
    </row>
    <row r="263">
      <c r="A263" s="110">
        <v>38134.0</v>
      </c>
      <c r="B263" s="111"/>
      <c r="C263" s="116" t="str">
        <f t="shared" ref="C263:C268" si="24">HYPERLINK("http://phish.net/sideshows/jon-fishman/?d="&amp;RIGHT(TEXT(A263,"mm/dd/yyyy"),4)&amp;"-"&amp;LEFT(TEXT(A263,"mm/dd/yyyy"),2)&amp;"-"&amp;MID(TEXT(A263,"mm/dd/yyyy"),4,2), "setlist")</f>
        <v>setlist</v>
      </c>
      <c r="D263" s="183" t="s">
        <v>3211</v>
      </c>
      <c r="E263" s="183" t="s">
        <v>323</v>
      </c>
      <c r="F263" s="114" t="s">
        <v>171</v>
      </c>
      <c r="G263" s="111"/>
      <c r="H263" s="138"/>
    </row>
    <row r="264">
      <c r="A264" s="103">
        <v>38135.0</v>
      </c>
      <c r="B264" s="104"/>
      <c r="C264" s="105" t="str">
        <f t="shared" si="24"/>
        <v>setlist</v>
      </c>
      <c r="D264" s="181" t="s">
        <v>3224</v>
      </c>
      <c r="E264" s="181" t="s">
        <v>871</v>
      </c>
      <c r="F264" s="107" t="s">
        <v>212</v>
      </c>
      <c r="G264" s="104"/>
      <c r="H264" s="108"/>
      <c r="I264" s="260"/>
    </row>
    <row r="265">
      <c r="A265" s="110">
        <v>38136.0</v>
      </c>
      <c r="B265" s="111"/>
      <c r="C265" s="116" t="str">
        <f t="shared" si="24"/>
        <v>setlist</v>
      </c>
      <c r="D265" s="183" t="s">
        <v>3588</v>
      </c>
      <c r="E265" s="183" t="s">
        <v>1073</v>
      </c>
      <c r="F265" s="114" t="s">
        <v>212</v>
      </c>
      <c r="G265" s="114" t="s">
        <v>36</v>
      </c>
      <c r="H265" s="135" t="str">
        <f>HYPERLINK("http://www.mediafire.com/?fg62z6zbd8d6f", "download link")</f>
        <v>download link</v>
      </c>
    </row>
    <row r="266">
      <c r="A266" s="103">
        <v>38138.0</v>
      </c>
      <c r="B266" s="104"/>
      <c r="C266" s="105" t="str">
        <f t="shared" si="24"/>
        <v>setlist</v>
      </c>
      <c r="D266" s="181" t="s">
        <v>3071</v>
      </c>
      <c r="E266" s="181" t="s">
        <v>3072</v>
      </c>
      <c r="F266" s="107" t="s">
        <v>480</v>
      </c>
      <c r="G266" s="107" t="s">
        <v>36</v>
      </c>
      <c r="H266" s="105" t="str">
        <f>HYPERLINK("http://www.mediafire.com/?f6taycvwxcto3", "download link")</f>
        <v>download link</v>
      </c>
      <c r="I266" s="260"/>
    </row>
    <row r="267">
      <c r="A267" s="110">
        <v>38139.0</v>
      </c>
      <c r="B267" s="111"/>
      <c r="C267" s="116" t="str">
        <f t="shared" si="24"/>
        <v>setlist</v>
      </c>
      <c r="D267" s="183" t="s">
        <v>3589</v>
      </c>
      <c r="E267" s="183" t="s">
        <v>3590</v>
      </c>
      <c r="F267" s="114" t="s">
        <v>811</v>
      </c>
      <c r="G267" s="111"/>
      <c r="H267" s="138"/>
    </row>
    <row r="268">
      <c r="A268" s="103">
        <v>38140.0</v>
      </c>
      <c r="B268" s="104"/>
      <c r="C268" s="105" t="str">
        <f t="shared" si="24"/>
        <v>setlist</v>
      </c>
      <c r="D268" s="181" t="s">
        <v>3591</v>
      </c>
      <c r="E268" s="181" t="s">
        <v>3592</v>
      </c>
      <c r="F268" s="107" t="s">
        <v>805</v>
      </c>
      <c r="G268" s="104"/>
      <c r="H268" s="108"/>
      <c r="I268" s="260"/>
    </row>
    <row r="269">
      <c r="A269" s="110">
        <v>38141.0</v>
      </c>
      <c r="B269" s="111"/>
      <c r="C269" s="116" t="str">
        <f>HYPERLINK("http://phish.net/sideshows/jon-fishman/?showid=1324479740", "setlist")</f>
        <v>setlist</v>
      </c>
      <c r="D269" s="183" t="s">
        <v>2950</v>
      </c>
      <c r="E269" s="183" t="s">
        <v>1381</v>
      </c>
      <c r="F269" s="114" t="s">
        <v>679</v>
      </c>
      <c r="G269" s="111"/>
      <c r="H269" s="138"/>
    </row>
    <row r="270">
      <c r="A270" s="103">
        <v>38142.0</v>
      </c>
      <c r="B270" s="104"/>
      <c r="C270" s="105" t="str">
        <f>HYPERLINK("http://phish.net/sideshows/jon-fishman/?showid=1324479769", "setlist")</f>
        <v>setlist</v>
      </c>
      <c r="D270" s="181" t="s">
        <v>2990</v>
      </c>
      <c r="E270" s="181" t="s">
        <v>3257</v>
      </c>
      <c r="F270" s="107" t="s">
        <v>679</v>
      </c>
      <c r="G270" s="104"/>
      <c r="H270" s="108"/>
      <c r="I270" s="260"/>
    </row>
    <row r="271">
      <c r="A271" s="110">
        <v>38143.0</v>
      </c>
      <c r="B271" s="111"/>
      <c r="C271" s="116" t="str">
        <f>HYPERLINK("http://phish.net/sideshows/jon-fishman/?showid=1324479815", "setlist")</f>
        <v>setlist</v>
      </c>
      <c r="D271" s="183" t="s">
        <v>2020</v>
      </c>
      <c r="E271" s="183" t="s">
        <v>683</v>
      </c>
      <c r="F271" s="114" t="s">
        <v>679</v>
      </c>
      <c r="G271" s="114" t="s">
        <v>36</v>
      </c>
      <c r="H271" s="135" t="str">
        <f>HYPERLINK("http://www.mediafire.com/?ful8ok1el52uv", "download link")</f>
        <v>download link</v>
      </c>
    </row>
    <row r="272">
      <c r="A272" s="103">
        <v>38145.0</v>
      </c>
      <c r="B272" s="104"/>
      <c r="C272" s="105" t="str">
        <f>HYPERLINK("http://phish.net/sideshows/jon-fishman/?showid=1324479855", "setlist")</f>
        <v>setlist</v>
      </c>
      <c r="D272" s="181" t="s">
        <v>897</v>
      </c>
      <c r="E272" s="181" t="s">
        <v>488</v>
      </c>
      <c r="F272" s="107" t="s">
        <v>203</v>
      </c>
      <c r="G272" s="107" t="s">
        <v>36</v>
      </c>
      <c r="H272" s="105" t="str">
        <f>HYPERLINK("http://www.mediafire.com/download/jzhidv4x6oxfyhz/2004-06-07_-_The_Fox_Theatre_-_Boulder,_CO.rar", "download link")</f>
        <v>download link</v>
      </c>
      <c r="I272" s="260"/>
    </row>
    <row r="273">
      <c r="A273" s="110">
        <v>38146.0</v>
      </c>
      <c r="B273" s="111"/>
      <c r="C273" s="116" t="str">
        <f t="shared" ref="C273:C280" si="25">HYPERLINK("http://phish.net/sideshows/jon-fishman/?d="&amp;RIGHT(TEXT(A273,"mm/dd/yyyy"),4)&amp;"-"&amp;LEFT(TEXT(A273,"mm/dd/yyyy"),2)&amp;"-"&amp;MID(TEXT(A273,"mm/dd/yyyy"),4,2), "setlist")</f>
        <v>setlist</v>
      </c>
      <c r="D273" s="183" t="s">
        <v>897</v>
      </c>
      <c r="E273" s="183" t="s">
        <v>488</v>
      </c>
      <c r="F273" s="114" t="s">
        <v>203</v>
      </c>
      <c r="G273" s="114" t="s">
        <v>36</v>
      </c>
      <c r="H273" s="135" t="str">
        <f>HYPERLINK("http://www.mediafire.com/download/qp65vzaua8iqrwk/2004-06-08_-_The_Fox_Theatre_-_Boulder,_CO.rar", "download link")</f>
        <v>download link</v>
      </c>
    </row>
    <row r="274">
      <c r="A274" s="103">
        <v>38147.0</v>
      </c>
      <c r="B274" s="104"/>
      <c r="C274" s="105" t="str">
        <f t="shared" si="25"/>
        <v>setlist</v>
      </c>
      <c r="D274" s="181" t="s">
        <v>3593</v>
      </c>
      <c r="E274" s="181" t="s">
        <v>506</v>
      </c>
      <c r="F274" s="107" t="s">
        <v>203</v>
      </c>
      <c r="G274" s="107" t="s">
        <v>36</v>
      </c>
      <c r="H274" s="105" t="str">
        <f>HYPERLINK("http://www.mediafire.com/?vc5j277der12p", "download link")</f>
        <v>download link</v>
      </c>
      <c r="I274" s="260"/>
    </row>
    <row r="275">
      <c r="A275" s="110">
        <v>38150.0</v>
      </c>
      <c r="B275" s="111"/>
      <c r="C275" s="116" t="str">
        <f t="shared" si="25"/>
        <v>setlist</v>
      </c>
      <c r="D275" s="183" t="s">
        <v>2333</v>
      </c>
      <c r="E275" s="183" t="s">
        <v>2332</v>
      </c>
      <c r="F275" s="114" t="s">
        <v>650</v>
      </c>
      <c r="G275" s="111"/>
      <c r="H275" s="138"/>
    </row>
    <row r="276">
      <c r="A276" s="103">
        <v>38169.0</v>
      </c>
      <c r="B276" s="104"/>
      <c r="C276" s="105" t="str">
        <f t="shared" si="25"/>
        <v>setlist</v>
      </c>
      <c r="D276" s="181" t="s">
        <v>2990</v>
      </c>
      <c r="E276" s="181" t="s">
        <v>479</v>
      </c>
      <c r="F276" s="107" t="s">
        <v>480</v>
      </c>
      <c r="G276" s="107" t="s">
        <v>36</v>
      </c>
      <c r="H276" s="105" t="str">
        <f>HYPERLINK("http://www.mediafire.com/?pc8ztdi29x6xi", "download link")</f>
        <v>download link</v>
      </c>
      <c r="I276" s="260"/>
    </row>
    <row r="277">
      <c r="A277" s="110">
        <v>38170.0</v>
      </c>
      <c r="B277" s="111"/>
      <c r="C277" s="116" t="str">
        <f t="shared" si="25"/>
        <v>setlist</v>
      </c>
      <c r="D277" s="183" t="s">
        <v>3594</v>
      </c>
      <c r="E277" s="183" t="s">
        <v>482</v>
      </c>
      <c r="F277" s="114" t="s">
        <v>483</v>
      </c>
      <c r="G277" s="111"/>
      <c r="H277" s="138"/>
    </row>
    <row r="278">
      <c r="A278" s="103">
        <v>38171.0</v>
      </c>
      <c r="B278" s="104"/>
      <c r="C278" s="105" t="str">
        <f t="shared" si="25"/>
        <v>setlist</v>
      </c>
      <c r="D278" s="181" t="s">
        <v>2927</v>
      </c>
      <c r="E278" s="181" t="s">
        <v>2928</v>
      </c>
      <c r="F278" s="107" t="s">
        <v>486</v>
      </c>
      <c r="G278" s="107" t="s">
        <v>36</v>
      </c>
      <c r="H278" s="105" t="str">
        <f>HYPERLINK("http://www.mediafire.com/?iu4glft8o73pf", "download link")</f>
        <v>download link</v>
      </c>
      <c r="I278" s="260"/>
    </row>
    <row r="279">
      <c r="A279" s="110">
        <v>38172.0</v>
      </c>
      <c r="B279" s="111"/>
      <c r="C279" s="116" t="str">
        <f t="shared" si="25"/>
        <v>setlist</v>
      </c>
      <c r="D279" s="183" t="s">
        <v>2927</v>
      </c>
      <c r="E279" s="183" t="s">
        <v>2928</v>
      </c>
      <c r="F279" s="114" t="s">
        <v>486</v>
      </c>
      <c r="G279" s="111"/>
      <c r="H279" s="138"/>
    </row>
    <row r="280">
      <c r="A280" s="103">
        <v>38178.0</v>
      </c>
      <c r="B280" s="104"/>
      <c r="C280" s="105" t="str">
        <f t="shared" si="25"/>
        <v>setlist</v>
      </c>
      <c r="D280" s="181" t="s">
        <v>2977</v>
      </c>
      <c r="E280" s="181" t="s">
        <v>2978</v>
      </c>
      <c r="F280" s="107" t="s">
        <v>874</v>
      </c>
      <c r="G280" s="107" t="s">
        <v>36</v>
      </c>
      <c r="H280" s="105" t="str">
        <f>HYPERLINK("http://www.mediafire.com/?2mo5rgc59vdh7", "download link")</f>
        <v>download link</v>
      </c>
      <c r="I280" s="260"/>
    </row>
    <row r="281">
      <c r="A281" s="110">
        <v>38352.0</v>
      </c>
      <c r="B281" s="111"/>
      <c r="C281" s="116" t="str">
        <f>HYPERLINK("http://phish.net/sideshows/jon-fishman/?showid=1324480661", "setlist")</f>
        <v>setlist</v>
      </c>
      <c r="D281" s="183" t="s">
        <v>2817</v>
      </c>
      <c r="E281" s="183" t="s">
        <v>2826</v>
      </c>
      <c r="F281" s="114" t="s">
        <v>35</v>
      </c>
      <c r="G281" s="114" t="s">
        <v>36</v>
      </c>
      <c r="H281" s="135" t="str">
        <f>HYPERLINK("http://www.mediafire.com/?0r11q8m6dzfqb", "download link")</f>
        <v>download link</v>
      </c>
    </row>
    <row r="282">
      <c r="A282" s="350"/>
      <c r="B282" s="351"/>
      <c r="C282" s="352"/>
      <c r="D282" s="356" t="s">
        <v>2793</v>
      </c>
      <c r="E282" s="357"/>
      <c r="F282" s="351"/>
      <c r="G282" s="351"/>
      <c r="H282" s="358"/>
      <c r="I282" s="357"/>
    </row>
    <row r="283">
      <c r="A283" s="110">
        <v>38357.0</v>
      </c>
      <c r="B283" s="111"/>
      <c r="C283" s="116" t="str">
        <f t="shared" ref="C283:C284" si="26">HYPERLINK("http://phish.net/sideshows/jon-fishman/?d="&amp;RIGHT(TEXT(A283,"mm/dd/yyyy"),4)&amp;"-"&amp;LEFT(TEXT(A283,"mm/dd/yyyy"),2)&amp;"-"&amp;MID(TEXT(A283,"mm/dd/yyyy"),4,2), "setlist")</f>
        <v>setlist</v>
      </c>
      <c r="D283" s="183" t="s">
        <v>3595</v>
      </c>
      <c r="E283" s="183" t="s">
        <v>3596</v>
      </c>
      <c r="F283" s="111"/>
      <c r="G283" s="111"/>
      <c r="H283" s="138"/>
    </row>
    <row r="284">
      <c r="A284" s="103">
        <v>38358.0</v>
      </c>
      <c r="B284" s="104"/>
      <c r="C284" s="105" t="str">
        <f t="shared" si="26"/>
        <v>setlist</v>
      </c>
      <c r="D284" s="181" t="s">
        <v>3595</v>
      </c>
      <c r="E284" s="181" t="s">
        <v>3596</v>
      </c>
      <c r="F284" s="104"/>
      <c r="G284" s="104"/>
      <c r="H284" s="108"/>
      <c r="I284" s="260"/>
    </row>
    <row r="285">
      <c r="A285" s="350"/>
      <c r="B285" s="351"/>
      <c r="C285" s="352"/>
      <c r="D285" s="356" t="s">
        <v>3587</v>
      </c>
      <c r="E285" s="357"/>
      <c r="F285" s="351"/>
      <c r="G285" s="351"/>
      <c r="H285" s="358"/>
      <c r="I285" s="357"/>
    </row>
    <row r="286">
      <c r="A286" s="110">
        <v>38456.0</v>
      </c>
      <c r="B286" s="111"/>
      <c r="C286" s="116" t="str">
        <f>HYPERLINK("http://phish.net/sideshows/guest-appearance/?d=2005-04-14", "setlist")</f>
        <v>setlist</v>
      </c>
      <c r="D286" s="183" t="s">
        <v>3597</v>
      </c>
      <c r="E286" s="183" t="s">
        <v>279</v>
      </c>
      <c r="F286" s="114" t="s">
        <v>692</v>
      </c>
      <c r="G286" s="111"/>
      <c r="H286" s="138"/>
    </row>
    <row r="287">
      <c r="A287" s="103">
        <v>38457.0</v>
      </c>
      <c r="B287" s="104"/>
      <c r="C287" s="105" t="str">
        <f>HYPERLINK("http://phish.net/sideshows/guest-appearance/?d=2005-04-15", "setlist")</f>
        <v>setlist</v>
      </c>
      <c r="D287" s="181" t="s">
        <v>3597</v>
      </c>
      <c r="E287" s="181" t="s">
        <v>279</v>
      </c>
      <c r="F287" s="107" t="s">
        <v>692</v>
      </c>
      <c r="G287" s="104"/>
      <c r="H287" s="108"/>
      <c r="I287" s="260"/>
    </row>
    <row r="288">
      <c r="A288" s="350"/>
      <c r="B288" s="351"/>
      <c r="C288" s="352"/>
      <c r="D288" s="356" t="s">
        <v>3598</v>
      </c>
      <c r="E288" s="357"/>
      <c r="F288" s="351"/>
      <c r="G288" s="351"/>
      <c r="H288" s="358"/>
      <c r="I288" s="357"/>
    </row>
    <row r="289">
      <c r="A289" s="110">
        <v>38597.0</v>
      </c>
      <c r="B289" s="111"/>
      <c r="C289" s="116" t="str">
        <f>HYPERLINK("http://phish.net/sideshows/jon-fishman/?d=2005-09-02", "setlist")</f>
        <v>setlist</v>
      </c>
      <c r="D289" s="183" t="s">
        <v>3599</v>
      </c>
      <c r="E289" s="183" t="s">
        <v>686</v>
      </c>
      <c r="F289" s="114" t="s">
        <v>679</v>
      </c>
      <c r="G289" s="111"/>
      <c r="H289" s="138"/>
    </row>
    <row r="290">
      <c r="A290" s="103">
        <v>38598.0</v>
      </c>
      <c r="B290" s="104"/>
      <c r="C290" s="105" t="str">
        <f>HYPERLINK("http://phish.net/sideshows/jon-fishman/?showid=1355074063", "setlist")</f>
        <v>setlist</v>
      </c>
      <c r="D290" s="181" t="s">
        <v>3600</v>
      </c>
      <c r="E290" s="181" t="s">
        <v>3601</v>
      </c>
      <c r="F290" s="107" t="s">
        <v>679</v>
      </c>
      <c r="G290" s="104"/>
      <c r="H290" s="108"/>
      <c r="I290" s="260"/>
    </row>
    <row r="291">
      <c r="A291" s="350"/>
      <c r="B291" s="351"/>
      <c r="C291" s="352"/>
      <c r="D291" s="356" t="s">
        <v>3587</v>
      </c>
      <c r="E291" s="357"/>
      <c r="F291" s="351"/>
      <c r="G291" s="351"/>
      <c r="H291" s="358"/>
      <c r="I291" s="357"/>
    </row>
    <row r="292">
      <c r="A292" s="110">
        <v>38794.0</v>
      </c>
      <c r="B292" s="111"/>
      <c r="C292" s="116" t="str">
        <f>HYPERLINK("http://phish.net/sideshows/guest-appearance/?showid=1335641961", "setlist")</f>
        <v>setlist</v>
      </c>
      <c r="D292" s="183" t="s">
        <v>3602</v>
      </c>
      <c r="E292" s="183" t="s">
        <v>1681</v>
      </c>
      <c r="F292" s="114" t="s">
        <v>129</v>
      </c>
      <c r="G292" s="114" t="s">
        <v>36</v>
      </c>
      <c r="H292" s="135" t="str">
        <f>HYPERLINK("http://www.mediafire.com/?m2d949newlk5n", "download link")</f>
        <v>download link</v>
      </c>
    </row>
    <row r="293">
      <c r="A293" s="103">
        <v>38821.0</v>
      </c>
      <c r="B293" s="104"/>
      <c r="C293" s="105" t="str">
        <f>HYPERLINK("http://phish.net/sideshows/guest-appearance/?d=2006-04-14", "setlist")</f>
        <v>setlist</v>
      </c>
      <c r="D293" s="181" t="s">
        <v>3597</v>
      </c>
      <c r="E293" s="181" t="s">
        <v>279</v>
      </c>
      <c r="F293" s="107" t="s">
        <v>692</v>
      </c>
      <c r="G293" s="104"/>
      <c r="H293" s="108"/>
      <c r="I293" s="260"/>
    </row>
    <row r="294">
      <c r="A294" s="110">
        <v>38822.0</v>
      </c>
      <c r="B294" s="111"/>
      <c r="C294" s="116" t="str">
        <f>HYPERLINK("http://phish.net/sideshows/guest-appearance/?d=2006-04-15", "setlist")</f>
        <v>setlist</v>
      </c>
      <c r="D294" s="183" t="s">
        <v>3597</v>
      </c>
      <c r="E294" s="183" t="s">
        <v>279</v>
      </c>
      <c r="F294" s="114" t="s">
        <v>692</v>
      </c>
      <c r="G294" s="111"/>
      <c r="H294" s="138"/>
    </row>
    <row r="295">
      <c r="A295" s="350"/>
      <c r="B295" s="351"/>
      <c r="C295" s="352"/>
      <c r="D295" s="356" t="s">
        <v>3474</v>
      </c>
      <c r="E295" s="357"/>
      <c r="F295" s="351"/>
      <c r="G295" s="351"/>
      <c r="H295" s="358"/>
      <c r="I295" s="357"/>
    </row>
    <row r="296">
      <c r="A296" s="110">
        <v>38961.0</v>
      </c>
      <c r="B296" s="111"/>
      <c r="C296" s="116" t="str">
        <f>HYPERLINK("http://phish.net/sideshows/guest-appearance/?showid=1328586860", "setlist")</f>
        <v>setlist</v>
      </c>
      <c r="D296" s="183" t="s">
        <v>3475</v>
      </c>
      <c r="E296" s="183" t="s">
        <v>3239</v>
      </c>
      <c r="F296" s="114" t="s">
        <v>129</v>
      </c>
      <c r="G296" s="114">
        <v>192.0</v>
      </c>
      <c r="H296" s="135" t="str">
        <f>HYPERLINK("http://www.mediafire.com/?0xeura3ioiicm", "download link")</f>
        <v>download link</v>
      </c>
    </row>
    <row r="297">
      <c r="A297" s="350"/>
      <c r="B297" s="351"/>
      <c r="C297" s="352"/>
      <c r="D297" s="356" t="s">
        <v>3587</v>
      </c>
      <c r="E297" s="357"/>
      <c r="F297" s="351"/>
      <c r="G297" s="351"/>
      <c r="H297" s="358"/>
      <c r="I297" s="357"/>
    </row>
    <row r="298">
      <c r="A298" s="110">
        <v>38993.0</v>
      </c>
      <c r="B298" s="111"/>
      <c r="C298" s="116" t="str">
        <f>HYPERLINK("http://phish.net/sideshows/guest-appearance/?d=2006-10-03", "setlist")</f>
        <v>setlist</v>
      </c>
      <c r="D298" s="183" t="s">
        <v>301</v>
      </c>
      <c r="E298" s="183" t="s">
        <v>247</v>
      </c>
      <c r="F298" s="114" t="s">
        <v>95</v>
      </c>
      <c r="G298" s="111"/>
      <c r="H298" s="138"/>
    </row>
    <row r="299">
      <c r="A299" s="103">
        <v>38994.0</v>
      </c>
      <c r="B299" s="104"/>
      <c r="C299" s="105" t="str">
        <f>HYPERLINK("http://phish.net/sideshows/guest-appearance/?d=2006-10-04", "setlist")</f>
        <v>setlist</v>
      </c>
      <c r="D299" s="181" t="s">
        <v>260</v>
      </c>
      <c r="E299" s="181" t="s">
        <v>94</v>
      </c>
      <c r="F299" s="107" t="s">
        <v>95</v>
      </c>
      <c r="G299" s="107" t="s">
        <v>36</v>
      </c>
      <c r="H299" s="105" t="str">
        <f>HYPERLINK("http://www.mediafire.com/download/4pwyc89a924njev/2006-10-04_-_The_Paradise_-_Boston,_MA.rar", "download link")</f>
        <v>download link</v>
      </c>
      <c r="I299" s="260"/>
    </row>
    <row r="300">
      <c r="A300" s="110">
        <v>38995.0</v>
      </c>
      <c r="B300" s="111"/>
      <c r="C300" s="116" t="str">
        <f>HYPERLINK("http://phish.net/sideshows/guest-appearance/?d=2006-10-05", "setlist")</f>
        <v>setlist</v>
      </c>
      <c r="D300" s="183" t="s">
        <v>458</v>
      </c>
      <c r="E300" s="183" t="s">
        <v>459</v>
      </c>
      <c r="F300" s="114" t="s">
        <v>171</v>
      </c>
      <c r="G300" s="114" t="s">
        <v>36</v>
      </c>
      <c r="H300" s="135" t="str">
        <f>HYPERLINK("http://www.mediafire.com/download/f1wvt7iqyhfig94/2006-10-05_-_Toad&amp;#39;s_Place_-_New_Haven,_CT.rar", "download link")</f>
        <v>download link</v>
      </c>
    </row>
    <row r="301">
      <c r="A301" s="103">
        <v>38996.0</v>
      </c>
      <c r="B301" s="104"/>
      <c r="C301" s="105" t="str">
        <f>HYPERLINK("http://phish.net/sideshows/guest-appearance/?showid=1335646858", "setlist")</f>
        <v>setlist</v>
      </c>
      <c r="D301" s="181" t="s">
        <v>3524</v>
      </c>
      <c r="E301" s="181" t="s">
        <v>3525</v>
      </c>
      <c r="F301" s="107" t="s">
        <v>397</v>
      </c>
      <c r="G301" s="107" t="s">
        <v>36</v>
      </c>
      <c r="H301" s="105" t="str">
        <f>HYPERLINK("http://www.mediafire.com/?r4wr2yrczl144", "download link")</f>
        <v>download link</v>
      </c>
      <c r="I301" s="260"/>
    </row>
    <row r="302">
      <c r="A302" s="110">
        <v>38997.0</v>
      </c>
      <c r="B302" s="111"/>
      <c r="C302" s="116" t="str">
        <f>HYPERLINK("http://phish.net/sideshows/guest-appearance/?d=2006-10-07", "setlist")</f>
        <v>setlist</v>
      </c>
      <c r="D302" s="183" t="s">
        <v>1193</v>
      </c>
      <c r="E302" s="183" t="s">
        <v>3263</v>
      </c>
      <c r="F302" s="114" t="s">
        <v>446</v>
      </c>
      <c r="G302" s="114" t="s">
        <v>36</v>
      </c>
      <c r="H302" s="135" t="str">
        <f>HYPERLINK("http://www.mediafire.com/?cz8g3z2avh2t6", "download link")</f>
        <v>download link</v>
      </c>
    </row>
    <row r="303">
      <c r="A303" s="103">
        <v>38998.0</v>
      </c>
      <c r="B303" s="104"/>
      <c r="C303" s="105" t="str">
        <f>HYPERLINK("http://phish.net/sideshows/guest-appearance/?showid=1335647280", "setlist")</f>
        <v>setlist</v>
      </c>
      <c r="D303" s="181" t="s">
        <v>2990</v>
      </c>
      <c r="E303" s="181" t="s">
        <v>2421</v>
      </c>
      <c r="F303" s="107" t="s">
        <v>43</v>
      </c>
      <c r="G303" s="104"/>
      <c r="H303" s="108"/>
      <c r="I303" s="260"/>
    </row>
    <row r="304">
      <c r="A304" s="350"/>
      <c r="B304" s="351"/>
      <c r="C304" s="352"/>
      <c r="D304" s="356" t="s">
        <v>3603</v>
      </c>
      <c r="E304" s="357"/>
      <c r="F304" s="351"/>
      <c r="G304" s="351"/>
      <c r="H304" s="358"/>
      <c r="I304" s="357"/>
    </row>
    <row r="305">
      <c r="A305" s="110">
        <v>39002.0</v>
      </c>
      <c r="B305" s="111"/>
      <c r="C305" s="116" t="str">
        <f>HYPERLINK("http://phish.net/sideshows/jon-fishman/?d="&amp;RIGHT(TEXT(A305,"mm/dd/yyyy"),4)&amp;"-"&amp;LEFT(TEXT(A305,"mm/dd/yyyy"),2)&amp;"-"&amp;MID(TEXT(A305,"mm/dd/yyyy"),4,2), "setlist")</f>
        <v>setlist</v>
      </c>
      <c r="D305" s="183" t="s">
        <v>3604</v>
      </c>
      <c r="E305" s="183" t="s">
        <v>279</v>
      </c>
      <c r="F305" s="114" t="s">
        <v>257</v>
      </c>
      <c r="G305" s="111"/>
      <c r="H305" s="138"/>
    </row>
    <row r="306">
      <c r="A306" s="103">
        <v>39003.0</v>
      </c>
      <c r="B306" s="104"/>
      <c r="C306" s="105" t="str">
        <f>HYPERLINK("http://phish.net/sideshows/jon-fishman/?showid=1335205645", "setlist")</f>
        <v>setlist</v>
      </c>
      <c r="D306" s="181" t="s">
        <v>3605</v>
      </c>
      <c r="E306" s="181" t="s">
        <v>297</v>
      </c>
      <c r="F306" s="107" t="s">
        <v>298</v>
      </c>
      <c r="G306" s="104"/>
      <c r="H306" s="108"/>
      <c r="I306" s="260"/>
    </row>
    <row r="307">
      <c r="A307" s="110">
        <v>39004.0</v>
      </c>
      <c r="B307" s="111"/>
      <c r="C307" s="116" t="str">
        <f>HYPERLINK("http://phish.net/sideshows/jon-fishman/?showid=1335205947", "setlist")</f>
        <v>setlist</v>
      </c>
      <c r="D307" s="183" t="s">
        <v>3606</v>
      </c>
      <c r="E307" s="183" t="s">
        <v>162</v>
      </c>
      <c r="F307" s="114" t="s">
        <v>129</v>
      </c>
      <c r="G307" s="111"/>
      <c r="H307" s="138"/>
    </row>
    <row r="308">
      <c r="A308" s="103">
        <v>39005.0</v>
      </c>
      <c r="B308" s="104"/>
      <c r="C308" s="105" t="str">
        <f>HYPERLINK("http://phish.net/sideshows/jon-fishman/?showid=1335206072", "setlist")</f>
        <v>setlist</v>
      </c>
      <c r="D308" s="181" t="s">
        <v>3607</v>
      </c>
      <c r="E308" s="181" t="s">
        <v>309</v>
      </c>
      <c r="F308" s="107" t="s">
        <v>129</v>
      </c>
      <c r="G308" s="104"/>
      <c r="H308" s="108"/>
      <c r="I308" s="260"/>
    </row>
    <row r="309">
      <c r="A309" s="350"/>
      <c r="B309" s="351"/>
      <c r="C309" s="352"/>
      <c r="D309" s="356" t="s">
        <v>3587</v>
      </c>
      <c r="E309" s="357"/>
      <c r="F309" s="351"/>
      <c r="G309" s="351"/>
      <c r="H309" s="358"/>
      <c r="I309" s="357"/>
    </row>
    <row r="310">
      <c r="A310" s="110">
        <v>39455.0</v>
      </c>
      <c r="B310" s="111"/>
      <c r="C310" s="116" t="str">
        <f>HYPERLINK("http://phish.net/sideshows/guest-appearance/?d=2008-01-08", "setlist")</f>
        <v>setlist</v>
      </c>
      <c r="D310" s="183" t="s">
        <v>3608</v>
      </c>
      <c r="E310" s="183" t="s">
        <v>3609</v>
      </c>
      <c r="F310" s="114" t="s">
        <v>2603</v>
      </c>
      <c r="G310" s="114" t="s">
        <v>36</v>
      </c>
      <c r="H310" s="135" t="str">
        <f>HYPERLINK("http://www.mediafire.com/?02vt1fbb4t4a6", "download link")</f>
        <v>download link</v>
      </c>
    </row>
    <row r="311">
      <c r="A311" s="350"/>
      <c r="B311" s="351"/>
      <c r="C311" s="352"/>
      <c r="D311" s="356" t="s">
        <v>3603</v>
      </c>
      <c r="E311" s="357"/>
      <c r="F311" s="351"/>
      <c r="G311" s="351"/>
      <c r="H311" s="358"/>
      <c r="I311" s="357"/>
    </row>
    <row r="312">
      <c r="A312" s="110">
        <v>39584.0</v>
      </c>
      <c r="B312" s="111"/>
      <c r="C312" s="116" t="str">
        <f>HYPERLINK("http://phish.net/sideshows/jon-fishman/?d="&amp;RIGHT(TEXT(A312,"mm/dd/yyyy"),4)&amp;"-"&amp;LEFT(TEXT(A312,"mm/dd/yyyy"),2)&amp;"-"&amp;MID(TEXT(A312,"mm/dd/yyyy"),4,2), "setlist")</f>
        <v>setlist</v>
      </c>
      <c r="D312" s="183" t="s">
        <v>2804</v>
      </c>
      <c r="E312" s="183" t="s">
        <v>34</v>
      </c>
      <c r="F312" s="114" t="s">
        <v>35</v>
      </c>
      <c r="G312" s="111"/>
      <c r="H312" s="138"/>
    </row>
    <row r="313">
      <c r="A313" s="350"/>
      <c r="B313" s="351"/>
      <c r="C313" s="352"/>
      <c r="D313" s="356" t="s">
        <v>3610</v>
      </c>
      <c r="E313" s="357"/>
      <c r="F313" s="351"/>
      <c r="G313" s="351"/>
      <c r="H313" s="358"/>
      <c r="I313" s="357"/>
    </row>
    <row r="314">
      <c r="A314" s="110">
        <v>39592.0</v>
      </c>
      <c r="B314" s="111"/>
      <c r="C314" s="392" t="s">
        <v>40</v>
      </c>
      <c r="D314" s="183" t="s">
        <v>3069</v>
      </c>
      <c r="E314" s="183" t="s">
        <v>3070</v>
      </c>
      <c r="F314" s="114" t="s">
        <v>397</v>
      </c>
      <c r="G314" s="114" t="s">
        <v>36</v>
      </c>
      <c r="H314" s="135" t="str">
        <f>HYPERLINK("http://www.mediafire.com/?r58ikhvchh4q1", "download link")</f>
        <v>download link</v>
      </c>
    </row>
    <row r="315">
      <c r="A315" s="350"/>
      <c r="B315" s="351"/>
      <c r="C315" s="352"/>
      <c r="D315" s="356" t="s">
        <v>3587</v>
      </c>
      <c r="E315" s="357"/>
      <c r="F315" s="351"/>
      <c r="G315" s="351"/>
      <c r="H315" s="358"/>
      <c r="I315" s="357"/>
    </row>
    <row r="316">
      <c r="A316" s="110">
        <v>39668.0</v>
      </c>
      <c r="B316" s="114" t="s">
        <v>32</v>
      </c>
      <c r="C316" s="116" t="str">
        <f>HYPERLINK("http://phish.net/sideshows/guest-appearance/?showid=1335661992", "setlist")</f>
        <v>setlist</v>
      </c>
      <c r="D316" s="183" t="s">
        <v>3611</v>
      </c>
      <c r="E316" s="183" t="s">
        <v>3612</v>
      </c>
      <c r="F316" s="114" t="s">
        <v>257</v>
      </c>
      <c r="G316" s="114" t="s">
        <v>36</v>
      </c>
      <c r="H316" s="135" t="str">
        <f>HYPERLINK("http://www.mediafire.com/?zlznagbvin56r", "download link")</f>
        <v>download link</v>
      </c>
    </row>
    <row r="317">
      <c r="A317" s="110">
        <v>39733.0</v>
      </c>
      <c r="B317" s="114" t="s">
        <v>32</v>
      </c>
      <c r="C317" s="116" t="str">
        <f>HYPERLINK("http://phish.net/sideshows/guest-appearance/?d=2008-10-12", "setlist")</f>
        <v>setlist</v>
      </c>
      <c r="D317" s="183" t="s">
        <v>3613</v>
      </c>
      <c r="E317" s="183" t="s">
        <v>3614</v>
      </c>
      <c r="F317" s="114" t="s">
        <v>443</v>
      </c>
      <c r="G317" s="114" t="s">
        <v>36</v>
      </c>
      <c r="H317" s="135" t="str">
        <f>HYPERLINK("http://www.mediafire.com/?rkugsk9yycakc", "download link")</f>
        <v>download link</v>
      </c>
      <c r="I317" s="183" t="s">
        <v>3508</v>
      </c>
    </row>
    <row r="318">
      <c r="A318" s="350"/>
      <c r="B318" s="351"/>
      <c r="C318" s="352"/>
      <c r="D318" s="356" t="s">
        <v>3615</v>
      </c>
      <c r="E318" s="357"/>
      <c r="F318" s="351"/>
      <c r="G318" s="351"/>
      <c r="H318" s="358"/>
      <c r="I318" s="357"/>
    </row>
    <row r="319">
      <c r="A319" s="110">
        <v>39759.0</v>
      </c>
      <c r="B319" s="111"/>
      <c r="C319" s="116" t="str">
        <f t="shared" ref="C319:C322" si="27">HYPERLINK("http://phish.net/sideshows/jon-fishman/?d="&amp;RIGHT(TEXT(A319,"mm/dd/yyyy"),4)&amp;"-"&amp;LEFT(TEXT(A319,"mm/dd/yyyy"),2)&amp;"-"&amp;MID(TEXT(A319,"mm/dd/yyyy"),4,2), "setlist")</f>
        <v>setlist</v>
      </c>
      <c r="D319" s="183" t="s">
        <v>3616</v>
      </c>
      <c r="E319" s="183" t="s">
        <v>323</v>
      </c>
      <c r="F319" s="114" t="s">
        <v>171</v>
      </c>
      <c r="G319" s="114" t="s">
        <v>36</v>
      </c>
      <c r="H319" s="135" t="str">
        <f>HYPERLINK("http://www.mediafire.com/?hlimt552h7se1", "download link")</f>
        <v>download link</v>
      </c>
    </row>
    <row r="320">
      <c r="A320" s="103">
        <v>39760.0</v>
      </c>
      <c r="B320" s="104"/>
      <c r="C320" s="105" t="str">
        <f t="shared" si="27"/>
        <v>setlist</v>
      </c>
      <c r="D320" s="181" t="s">
        <v>3617</v>
      </c>
      <c r="E320" s="181" t="s">
        <v>162</v>
      </c>
      <c r="F320" s="107" t="s">
        <v>129</v>
      </c>
      <c r="G320" s="104"/>
      <c r="H320" s="108"/>
      <c r="I320" s="260"/>
    </row>
    <row r="321">
      <c r="A321" s="110">
        <v>39761.0</v>
      </c>
      <c r="B321" s="111"/>
      <c r="C321" s="116" t="str">
        <f t="shared" si="27"/>
        <v>setlist</v>
      </c>
      <c r="D321" s="183" t="s">
        <v>3618</v>
      </c>
      <c r="E321" s="183" t="s">
        <v>3619</v>
      </c>
      <c r="F321" s="114" t="s">
        <v>43</v>
      </c>
      <c r="G321" s="111"/>
      <c r="H321" s="138"/>
    </row>
    <row r="322">
      <c r="A322" s="103">
        <v>39762.0</v>
      </c>
      <c r="B322" s="104"/>
      <c r="C322" s="105" t="str">
        <f t="shared" si="27"/>
        <v>setlist</v>
      </c>
      <c r="D322" s="181" t="s">
        <v>3620</v>
      </c>
      <c r="E322" s="181" t="s">
        <v>34</v>
      </c>
      <c r="F322" s="107" t="s">
        <v>35</v>
      </c>
      <c r="G322" s="104"/>
      <c r="H322" s="108"/>
      <c r="I322" s="260"/>
    </row>
    <row r="323">
      <c r="A323" s="350"/>
      <c r="B323" s="351"/>
      <c r="C323" s="352"/>
      <c r="D323" s="356" t="s">
        <v>3587</v>
      </c>
      <c r="E323" s="357"/>
      <c r="F323" s="351"/>
      <c r="G323" s="351"/>
      <c r="H323" s="358"/>
      <c r="I323" s="357"/>
    </row>
    <row r="324">
      <c r="A324" s="110">
        <v>39766.0</v>
      </c>
      <c r="B324" s="111"/>
      <c r="C324" s="116" t="str">
        <f>HYPERLINK("http://phish.net/sideshows/guest-appearance/?d=2008-11-14", "setlist")</f>
        <v>setlist</v>
      </c>
      <c r="D324" s="183" t="s">
        <v>3621</v>
      </c>
      <c r="E324" s="183" t="s">
        <v>3050</v>
      </c>
      <c r="F324" s="114" t="s">
        <v>1133</v>
      </c>
      <c r="G324" s="114" t="s">
        <v>36</v>
      </c>
      <c r="H324" s="135" t="str">
        <f>HYPERLINK("http://www.mediafire.com/?vvk8qkh74kq07", "download link")</f>
        <v>download link</v>
      </c>
    </row>
    <row r="325">
      <c r="A325" s="350"/>
      <c r="B325" s="351"/>
      <c r="C325" s="352"/>
      <c r="D325" s="356" t="s">
        <v>2793</v>
      </c>
      <c r="E325" s="357"/>
      <c r="F325" s="351"/>
      <c r="G325" s="351"/>
      <c r="H325" s="358"/>
      <c r="I325" s="357"/>
    </row>
    <row r="326">
      <c r="A326" s="110">
        <v>39863.0</v>
      </c>
      <c r="B326" s="111"/>
      <c r="C326" s="116" t="str">
        <f t="shared" ref="C326:C327" si="28">HYPERLINK("http://phish.net/sideshows/jon-fishman/?d="&amp;RIGHT(TEXT(A326,"mm/dd/yyyy"),4)&amp;"-"&amp;LEFT(TEXT(A326,"mm/dd/yyyy"),2)&amp;"-"&amp;MID(TEXT(A326,"mm/dd/yyyy"),4,2), "setlist")</f>
        <v>setlist</v>
      </c>
      <c r="D326" s="183" t="s">
        <v>3329</v>
      </c>
      <c r="E326" s="183" t="s">
        <v>279</v>
      </c>
      <c r="F326" s="114" t="s">
        <v>257</v>
      </c>
      <c r="G326" s="139" t="s">
        <v>36</v>
      </c>
      <c r="H326" s="135" t="str">
        <f>HYPERLINK("http://www.mediafire.com/file/6i5vqw7zhhnq5v5/2009-02-19_-_Port_City_Music_Hall_-_Portland%2C_ME.rar", "download link")</f>
        <v>download link</v>
      </c>
    </row>
    <row r="327">
      <c r="A327" s="103">
        <v>39864.0</v>
      </c>
      <c r="B327" s="104"/>
      <c r="C327" s="105" t="str">
        <f t="shared" si="28"/>
        <v>setlist</v>
      </c>
      <c r="D327" s="181" t="s">
        <v>2804</v>
      </c>
      <c r="E327" s="181" t="s">
        <v>34</v>
      </c>
      <c r="F327" s="107" t="s">
        <v>35</v>
      </c>
      <c r="G327" s="107" t="s">
        <v>36</v>
      </c>
      <c r="H327" s="105" t="str">
        <f>HYPERLINK("http://www.mediafire.com/?9vlxh3ooe8oxv", "download link")</f>
        <v>download link</v>
      </c>
      <c r="I327" s="260"/>
    </row>
    <row r="328">
      <c r="A328" s="350"/>
      <c r="B328" s="351"/>
      <c r="C328" s="352"/>
      <c r="D328" s="356" t="s">
        <v>3603</v>
      </c>
      <c r="E328" s="357"/>
      <c r="F328" s="351"/>
      <c r="G328" s="351"/>
      <c r="H328" s="358"/>
      <c r="I328" s="357"/>
    </row>
    <row r="329">
      <c r="A329" s="110">
        <v>39923.0</v>
      </c>
      <c r="B329" s="111"/>
      <c r="C329" s="116" t="str">
        <f>HYPERLINK("http://phish.net/sideshows/jon-fishman/?d="&amp;RIGHT(TEXT(A329,"mm/dd/yyyy"),4)&amp;"-"&amp;LEFT(TEXT(A329,"mm/dd/yyyy"),2)&amp;"-"&amp;MID(TEXT(A329,"mm/dd/yyyy"),4,2), "setlist")</f>
        <v>setlist</v>
      </c>
      <c r="D329" s="183" t="s">
        <v>2804</v>
      </c>
      <c r="E329" s="183" t="s">
        <v>34</v>
      </c>
      <c r="F329" s="114" t="s">
        <v>35</v>
      </c>
      <c r="G329" s="111"/>
      <c r="H329" s="138"/>
    </row>
    <row r="330">
      <c r="A330" s="350"/>
      <c r="B330" s="351"/>
      <c r="C330" s="352"/>
      <c r="D330" s="356" t="s">
        <v>2793</v>
      </c>
      <c r="E330" s="357"/>
      <c r="F330" s="351"/>
      <c r="G330" s="351"/>
      <c r="H330" s="358"/>
      <c r="I330" s="357"/>
    </row>
    <row r="331">
      <c r="A331" s="110">
        <v>40292.0</v>
      </c>
      <c r="B331" s="111"/>
      <c r="C331" s="116" t="str">
        <f>HYPERLINK("http://phish.net/sideshows/jon-fishman/?d="&amp;RIGHT(TEXT(A331,"mm/dd/yyyy"),4)&amp;"-"&amp;LEFT(TEXT(A331,"mm/dd/yyyy"),2)&amp;"-"&amp;MID(TEXT(A331,"mm/dd/yyyy"),4,2), "setlist")</f>
        <v>setlist</v>
      </c>
      <c r="D331" s="183" t="s">
        <v>3622</v>
      </c>
      <c r="E331" s="183" t="s">
        <v>3623</v>
      </c>
      <c r="F331" s="114" t="s">
        <v>257</v>
      </c>
      <c r="G331" s="111"/>
      <c r="H331" s="138"/>
    </row>
    <row r="332">
      <c r="A332" s="380"/>
      <c r="B332" s="381"/>
      <c r="C332" s="366"/>
      <c r="D332" s="356" t="s">
        <v>3624</v>
      </c>
      <c r="E332" s="391"/>
      <c r="F332" s="381"/>
      <c r="G332" s="381"/>
      <c r="H332" s="358"/>
      <c r="I332" s="391"/>
    </row>
    <row r="333">
      <c r="A333" s="110">
        <v>41013.0</v>
      </c>
      <c r="B333" s="111"/>
      <c r="C333" s="116" t="str">
        <f>HYPERLINK("http://phish.net/sideshows/jon-fishman/?d="&amp;RIGHT(TEXT(A333,"mm/dd/yyyy"),4)&amp;"-"&amp;LEFT(TEXT(A333,"mm/dd/yyyy"),2)&amp;"-"&amp;MID(TEXT(A333,"mm/dd/yyyy"),4,2), "setlist")</f>
        <v>setlist</v>
      </c>
      <c r="D333" s="183" t="s">
        <v>3625</v>
      </c>
      <c r="E333" s="113" t="s">
        <v>34</v>
      </c>
      <c r="F333" s="114" t="s">
        <v>35</v>
      </c>
      <c r="G333" s="156"/>
      <c r="H333" s="145"/>
      <c r="I333" s="80"/>
    </row>
    <row r="334">
      <c r="A334" s="380"/>
      <c r="B334" s="381"/>
      <c r="C334" s="366"/>
      <c r="D334" s="356" t="s">
        <v>3603</v>
      </c>
      <c r="E334" s="391"/>
      <c r="F334" s="381"/>
      <c r="G334" s="381"/>
      <c r="H334" s="358"/>
      <c r="I334" s="391"/>
    </row>
    <row r="335">
      <c r="A335" s="110">
        <v>41019.0</v>
      </c>
      <c r="B335" s="111"/>
      <c r="C335" s="116" t="str">
        <f>HYPERLINK("http://phish.net/sideshows/jon-fishman/?d="&amp;RIGHT(TEXT(A335,"mm/dd/yyyy"),4)&amp;"-"&amp;LEFT(TEXT(A335,"mm/dd/yyyy"),2)&amp;"-"&amp;MID(TEXT(A335,"mm/dd/yyyy"),4,2), "setlist")</f>
        <v>setlist</v>
      </c>
      <c r="D335" s="183" t="s">
        <v>54</v>
      </c>
      <c r="E335" s="113" t="s">
        <v>34</v>
      </c>
      <c r="F335" s="114" t="s">
        <v>35</v>
      </c>
      <c r="G335" s="156"/>
      <c r="H335" s="145"/>
      <c r="I335" s="80"/>
    </row>
    <row r="336">
      <c r="A336" s="380"/>
      <c r="B336" s="381"/>
      <c r="C336" s="366"/>
      <c r="D336" s="356" t="s">
        <v>3587</v>
      </c>
      <c r="E336" s="391"/>
      <c r="F336" s="381"/>
      <c r="G336" s="381"/>
      <c r="H336" s="358"/>
      <c r="I336" s="391"/>
    </row>
    <row r="337">
      <c r="A337" s="110">
        <v>41208.0</v>
      </c>
      <c r="B337" s="111"/>
      <c r="C337" s="116" t="str">
        <f>HYPERLINK("http://phish.net/sideshows/jon-fishman/?showid=1347041518", "setlist")</f>
        <v>setlist</v>
      </c>
      <c r="D337" s="183" t="s">
        <v>3626</v>
      </c>
      <c r="E337" s="113" t="s">
        <v>162</v>
      </c>
      <c r="F337" s="114" t="s">
        <v>129</v>
      </c>
      <c r="G337" s="156"/>
      <c r="H337" s="145"/>
      <c r="I337" s="80"/>
    </row>
    <row r="338">
      <c r="A338" s="103">
        <v>41209.0</v>
      </c>
      <c r="B338" s="104"/>
      <c r="C338" s="105" t="str">
        <f>HYPERLINK("http://phish.net/sideshows/jon-fishman/?showid=1347041415", "setlist")</f>
        <v>setlist</v>
      </c>
      <c r="D338" s="181" t="s">
        <v>3626</v>
      </c>
      <c r="E338" s="106" t="s">
        <v>162</v>
      </c>
      <c r="F338" s="107" t="s">
        <v>129</v>
      </c>
      <c r="G338" s="133" t="s">
        <v>36</v>
      </c>
      <c r="H338" s="105" t="str">
        <f>HYPERLINK("http://www.mediafire.com/?u9ru4m1w4mat1", "download link")</f>
        <v>download link</v>
      </c>
      <c r="I338" s="109"/>
    </row>
    <row r="339">
      <c r="A339" s="380"/>
      <c r="B339" s="381"/>
      <c r="C339" s="366"/>
      <c r="D339" s="356" t="s">
        <v>3603</v>
      </c>
      <c r="E339" s="391"/>
      <c r="F339" s="381"/>
      <c r="G339" s="381"/>
      <c r="H339" s="358"/>
      <c r="I339" s="391"/>
    </row>
    <row r="340">
      <c r="A340" s="142">
        <v>41274.0</v>
      </c>
      <c r="B340" s="144"/>
      <c r="C340" s="394" t="s">
        <v>40</v>
      </c>
      <c r="D340" s="272" t="s">
        <v>3627</v>
      </c>
      <c r="E340" s="118" t="s">
        <v>162</v>
      </c>
      <c r="F340" s="115" t="s">
        <v>129</v>
      </c>
      <c r="G340" s="156"/>
      <c r="H340" s="145"/>
      <c r="I340" s="146"/>
    </row>
    <row r="341">
      <c r="A341" s="380"/>
      <c r="B341" s="381"/>
      <c r="C341" s="366"/>
      <c r="D341" s="356" t="s">
        <v>3507</v>
      </c>
      <c r="E341" s="391"/>
      <c r="F341" s="381"/>
      <c r="G341" s="381"/>
      <c r="H341" s="358"/>
      <c r="I341" s="391"/>
    </row>
    <row r="342">
      <c r="A342" s="142">
        <v>41311.0</v>
      </c>
      <c r="B342" s="144"/>
      <c r="C342" s="116" t="str">
        <f>HYPERLINK("http://phish.net/sideshows/jon-fishman/?d=2013-02-06", "setlist")</f>
        <v>setlist</v>
      </c>
      <c r="D342" s="272" t="s">
        <v>2817</v>
      </c>
      <c r="E342" s="118" t="s">
        <v>2826</v>
      </c>
      <c r="F342" s="115" t="s">
        <v>35</v>
      </c>
      <c r="G342" s="156"/>
      <c r="H342" s="145"/>
      <c r="I342" s="146"/>
    </row>
    <row r="343">
      <c r="A343" s="380"/>
      <c r="B343" s="381"/>
      <c r="C343" s="366"/>
      <c r="D343" s="356" t="s">
        <v>3603</v>
      </c>
      <c r="E343" s="391"/>
      <c r="F343" s="381"/>
      <c r="G343" s="381"/>
      <c r="H343" s="358"/>
      <c r="I343" s="391"/>
    </row>
    <row r="344">
      <c r="A344" s="142">
        <v>41382.0</v>
      </c>
      <c r="B344" s="144"/>
      <c r="C344" s="116" t="str">
        <f>HYPERLINK("http://phish.net/sideshows/jon-fishman/?d="&amp;RIGHT(TEXT(A344,"mm/dd/yyyy"),4)&amp;"-"&amp;LEFT(TEXT(A344,"mm/dd/yyyy"),2)&amp;"-"&amp;MID(TEXT(A344,"mm/dd/yyyy"),4,2), "setlist")</f>
        <v>setlist</v>
      </c>
      <c r="D344" s="272" t="s">
        <v>3628</v>
      </c>
      <c r="E344" s="118" t="s">
        <v>3629</v>
      </c>
      <c r="F344" s="115" t="s">
        <v>212</v>
      </c>
      <c r="G344" s="196" t="s">
        <v>36</v>
      </c>
      <c r="H344" s="116" t="str">
        <f>HYPERLINK("http://www.mediafire.com/file/9a4grgabj7z1jup/2013-04-18_-_The_River_St._Jazz_Cafe_-_Wilkes-Barre%2C_PA.rar", "download link")</f>
        <v>download link</v>
      </c>
      <c r="I344" s="146"/>
    </row>
    <row r="345">
      <c r="A345" s="103">
        <v>41383.0</v>
      </c>
      <c r="B345" s="104"/>
      <c r="C345" s="105" t="str">
        <f>HYPERLINK("http://phish.net/sideshows/jon-fishman/?showid=1363660078", "setlist")</f>
        <v>setlist</v>
      </c>
      <c r="D345" s="181" t="s">
        <v>3630</v>
      </c>
      <c r="E345" s="106" t="s">
        <v>417</v>
      </c>
      <c r="F345" s="107" t="s">
        <v>95</v>
      </c>
      <c r="G345" s="131"/>
      <c r="H345" s="108"/>
      <c r="I345" s="109"/>
    </row>
    <row r="346">
      <c r="A346" s="142">
        <v>41384.0</v>
      </c>
      <c r="B346" s="144"/>
      <c r="C346" s="116" t="str">
        <f>HYPERLINK("http://phish.net/sideshows/jon-fishman/?showid=1360609270", "setlist")</f>
        <v>setlist</v>
      </c>
      <c r="D346" s="272" t="s">
        <v>54</v>
      </c>
      <c r="E346" s="118" t="s">
        <v>34</v>
      </c>
      <c r="F346" s="115" t="s">
        <v>35</v>
      </c>
      <c r="G346" s="156"/>
      <c r="H346" s="145"/>
      <c r="I346" s="146"/>
    </row>
    <row r="347">
      <c r="A347" s="380"/>
      <c r="B347" s="381"/>
      <c r="C347" s="366"/>
      <c r="D347" s="356" t="s">
        <v>3631</v>
      </c>
      <c r="E347" s="391"/>
      <c r="F347" s="381"/>
      <c r="G347" s="381"/>
      <c r="H347" s="358"/>
      <c r="I347" s="391"/>
    </row>
    <row r="348">
      <c r="A348" s="142">
        <v>41429.0</v>
      </c>
      <c r="B348" s="144"/>
      <c r="C348" s="116" t="str">
        <f>HYPERLINK("http://phish.net/sideshows/jon-fishman/?d="&amp;RIGHT(TEXT(A348,"mm/dd/yyyy"),4)&amp;"-"&amp;LEFT(TEXT(A348,"mm/dd/yyyy"),2)&amp;"-"&amp;MID(TEXT(A348,"mm/dd/yyyy"),4,2), "setlist")</f>
        <v>setlist</v>
      </c>
      <c r="D348" s="272" t="s">
        <v>2804</v>
      </c>
      <c r="E348" s="118" t="s">
        <v>34</v>
      </c>
      <c r="F348" s="115" t="s">
        <v>35</v>
      </c>
      <c r="G348" s="156"/>
      <c r="H348" s="145"/>
      <c r="I348" s="146"/>
    </row>
    <row r="349">
      <c r="A349" s="380"/>
      <c r="B349" s="381"/>
      <c r="C349" s="366"/>
      <c r="D349" s="356" t="s">
        <v>3507</v>
      </c>
      <c r="E349" s="391"/>
      <c r="F349" s="381"/>
      <c r="G349" s="381"/>
      <c r="H349" s="358"/>
      <c r="I349" s="391"/>
    </row>
    <row r="350">
      <c r="A350" s="142">
        <v>41504.0</v>
      </c>
      <c r="B350" s="144"/>
      <c r="C350" s="116" t="str">
        <f>HYPERLINK("http://phish.net/sideshows/jon-fishman/?d="&amp;RIGHT(TEXT(A350,"mm/dd/yyyy"),4)&amp;"-"&amp;LEFT(TEXT(A350,"mm/dd/yyyy"),2)&amp;"-"&amp;MID(TEXT(A350,"mm/dd/yyyy"),4,2), "setlist")</f>
        <v>setlist</v>
      </c>
      <c r="D350" s="272" t="s">
        <v>3632</v>
      </c>
      <c r="E350" s="118" t="s">
        <v>3633</v>
      </c>
      <c r="F350" s="115" t="s">
        <v>212</v>
      </c>
      <c r="G350" s="156"/>
      <c r="H350" s="145"/>
      <c r="I350" s="146"/>
    </row>
    <row r="351">
      <c r="A351" s="103">
        <v>41523.0</v>
      </c>
      <c r="B351" s="104"/>
      <c r="C351" s="105" t="str">
        <f>HYPERLINK("http://phish.net/sideshows/jon-fishman/?showid=1369933326", "setlist")</f>
        <v>setlist</v>
      </c>
      <c r="D351" s="181" t="s">
        <v>2817</v>
      </c>
      <c r="E351" s="106" t="s">
        <v>2826</v>
      </c>
      <c r="F351" s="107" t="s">
        <v>35</v>
      </c>
      <c r="G351" s="131"/>
      <c r="H351" s="108"/>
      <c r="I351" s="109"/>
    </row>
    <row r="352">
      <c r="A352" s="142">
        <v>41643.0</v>
      </c>
      <c r="B352" s="144"/>
      <c r="C352" s="116" t="str">
        <f>HYPERLINK("http://phish.net/sideshows/jon-fishman/?d="&amp;RIGHT(TEXT(A352,"mm/dd/yyyy"),4)&amp;"-"&amp;LEFT(TEXT(A352,"mm/dd/yyyy"),2)&amp;"-"&amp;MID(TEXT(A352,"mm/dd/yyyy"),4,2), "setlist")</f>
        <v>setlist</v>
      </c>
      <c r="D352" s="272" t="s">
        <v>3634</v>
      </c>
      <c r="E352" s="146"/>
      <c r="F352" s="115" t="s">
        <v>3635</v>
      </c>
      <c r="G352" s="156"/>
      <c r="H352" s="145"/>
      <c r="I352" s="146"/>
    </row>
    <row r="353">
      <c r="A353" s="380"/>
      <c r="B353" s="381"/>
      <c r="C353" s="366"/>
      <c r="D353" s="356" t="s">
        <v>3636</v>
      </c>
      <c r="E353" s="391"/>
      <c r="F353" s="381"/>
      <c r="G353" s="381"/>
      <c r="H353" s="358"/>
      <c r="I353" s="391"/>
    </row>
    <row r="354">
      <c r="A354" s="142">
        <v>41663.0</v>
      </c>
      <c r="B354" s="144"/>
      <c r="C354" s="116" t="str">
        <f>HYPERLINK("http://phish.net/sideshows/jon-fishman/?d="&amp;RIGHT(TEXT(A354,"mm/dd/yyyy"),4)&amp;"-"&amp;LEFT(TEXT(A354,"mm/dd/yyyy"),2)&amp;"-"&amp;MID(TEXT(A354,"mm/dd/yyyy"),4,2), "setlist")</f>
        <v>setlist</v>
      </c>
      <c r="D354" s="272" t="s">
        <v>3637</v>
      </c>
      <c r="E354" s="118" t="s">
        <v>174</v>
      </c>
      <c r="F354" s="115" t="s">
        <v>35</v>
      </c>
      <c r="G354" s="156"/>
      <c r="H354" s="145"/>
      <c r="I354" s="146"/>
    </row>
    <row r="355">
      <c r="A355" s="380"/>
      <c r="B355" s="381"/>
      <c r="C355" s="366"/>
      <c r="D355" s="356" t="s">
        <v>3603</v>
      </c>
      <c r="E355" s="391"/>
      <c r="F355" s="381"/>
      <c r="G355" s="381"/>
      <c r="H355" s="358"/>
      <c r="I355" s="391"/>
    </row>
    <row r="356">
      <c r="A356" s="142">
        <v>41749.0</v>
      </c>
      <c r="B356" s="144"/>
      <c r="C356" s="116" t="str">
        <f t="shared" ref="C356:C358" si="29">HYPERLINK("http://phish.net/sideshows/jon-fishman/?d="&amp;RIGHT(TEXT(A356,"mm/dd/yyyy"),4)&amp;"-"&amp;LEFT(TEXT(A356,"mm/dd/yyyy"),2)&amp;"-"&amp;MID(TEXT(A356,"mm/dd/yyyy"),4,2), "setlist")</f>
        <v>setlist</v>
      </c>
      <c r="D356" s="272" t="s">
        <v>2804</v>
      </c>
      <c r="E356" s="118" t="s">
        <v>34</v>
      </c>
      <c r="F356" s="115" t="s">
        <v>35</v>
      </c>
      <c r="G356" s="156"/>
      <c r="H356" s="145"/>
      <c r="I356" s="146"/>
    </row>
    <row r="357">
      <c r="A357" s="103">
        <v>41880.0</v>
      </c>
      <c r="B357" s="104"/>
      <c r="C357" s="105" t="str">
        <f t="shared" si="29"/>
        <v>setlist</v>
      </c>
      <c r="D357" s="181" t="s">
        <v>3483</v>
      </c>
      <c r="E357" s="181" t="s">
        <v>499</v>
      </c>
      <c r="F357" s="107" t="s">
        <v>203</v>
      </c>
      <c r="G357" s="104"/>
      <c r="H357" s="108"/>
      <c r="I357" s="260"/>
    </row>
    <row r="358">
      <c r="A358" s="110">
        <v>41881.0</v>
      </c>
      <c r="B358" s="111"/>
      <c r="C358" s="116" t="str">
        <f t="shared" si="29"/>
        <v>setlist</v>
      </c>
      <c r="D358" s="183" t="s">
        <v>3483</v>
      </c>
      <c r="E358" s="183" t="s">
        <v>499</v>
      </c>
      <c r="F358" s="114" t="s">
        <v>203</v>
      </c>
      <c r="G358" s="111"/>
      <c r="H358" s="138"/>
    </row>
    <row r="359">
      <c r="A359" s="380"/>
      <c r="B359" s="381"/>
      <c r="C359" s="366"/>
      <c r="D359" s="356" t="s">
        <v>3638</v>
      </c>
      <c r="E359" s="391"/>
      <c r="F359" s="381"/>
      <c r="G359" s="381"/>
      <c r="H359" s="358"/>
      <c r="I359" s="391"/>
    </row>
    <row r="360">
      <c r="A360" s="142">
        <v>41938.0</v>
      </c>
      <c r="B360" s="144"/>
      <c r="C360" s="116" t="str">
        <f>HYPERLINK("http://phish.net/sideshows/jon-fishman/?showid=1413304942", "setlist")</f>
        <v>setlist</v>
      </c>
      <c r="D360" s="272" t="s">
        <v>3639</v>
      </c>
      <c r="E360" s="118" t="s">
        <v>3556</v>
      </c>
      <c r="F360" s="115" t="s">
        <v>679</v>
      </c>
      <c r="G360" s="156"/>
      <c r="H360" s="145"/>
      <c r="I360" s="146"/>
    </row>
    <row r="361">
      <c r="A361" s="380"/>
      <c r="B361" s="381"/>
      <c r="C361" s="366"/>
      <c r="D361" s="383" t="s">
        <v>3640</v>
      </c>
      <c r="E361" s="391"/>
      <c r="F361" s="381"/>
      <c r="G361" s="381"/>
      <c r="H361" s="358"/>
      <c r="I361" s="391"/>
    </row>
    <row r="362">
      <c r="A362" s="142">
        <v>42027.0</v>
      </c>
      <c r="B362" s="144"/>
      <c r="C362" s="116" t="str">
        <f>HYPERLINK("http://phish.net/sideshows/jon-fishman/?d=2015-01-23", "setlist")</f>
        <v>setlist</v>
      </c>
      <c r="D362" s="272" t="s">
        <v>3637</v>
      </c>
      <c r="E362" s="118" t="s">
        <v>174</v>
      </c>
      <c r="F362" s="115" t="s">
        <v>35</v>
      </c>
      <c r="G362" s="156"/>
      <c r="H362" s="145"/>
      <c r="I362" s="146"/>
    </row>
    <row r="363">
      <c r="A363" s="103">
        <v>42089.0</v>
      </c>
      <c r="B363" s="104"/>
      <c r="C363" s="105" t="str">
        <f>HYPERLINK("http://phish.net/sideshows/jon-fishman/?d=2015-03-26", "setlist")</f>
        <v>setlist</v>
      </c>
      <c r="D363" s="266" t="s">
        <v>54</v>
      </c>
      <c r="E363" s="134" t="s">
        <v>34</v>
      </c>
      <c r="F363" s="141" t="s">
        <v>35</v>
      </c>
      <c r="G363" s="131"/>
      <c r="H363" s="108"/>
      <c r="I363" s="109"/>
    </row>
    <row r="364">
      <c r="A364" s="142">
        <v>42090.0</v>
      </c>
      <c r="B364" s="144"/>
      <c r="C364" s="116" t="str">
        <f>HYPERLINK("http://phish.net/sideshows/jon-fishman/?d=2015-03-27", "setlist")</f>
        <v>setlist</v>
      </c>
      <c r="D364" s="271" t="s">
        <v>3641</v>
      </c>
      <c r="E364" s="117" t="s">
        <v>3642</v>
      </c>
      <c r="F364" s="165" t="s">
        <v>35</v>
      </c>
      <c r="G364" s="156"/>
      <c r="H364" s="145"/>
      <c r="I364" s="146"/>
    </row>
    <row r="365">
      <c r="A365" s="103">
        <v>42166.0</v>
      </c>
      <c r="B365" s="104"/>
      <c r="C365" s="105" t="str">
        <f>HYPERLINK("http://phish.net/sideshows/jon-fishman/?d=2015-06-11", "setlist")</f>
        <v>setlist</v>
      </c>
      <c r="D365" s="266" t="s">
        <v>3643</v>
      </c>
      <c r="E365" s="134" t="s">
        <v>34</v>
      </c>
      <c r="F365" s="141" t="s">
        <v>35</v>
      </c>
      <c r="G365" s="131"/>
      <c r="H365" s="108"/>
      <c r="I365" s="109"/>
    </row>
    <row r="366">
      <c r="A366" s="380"/>
      <c r="B366" s="381"/>
      <c r="C366" s="366"/>
      <c r="D366" s="356" t="s">
        <v>3603</v>
      </c>
      <c r="E366" s="391"/>
      <c r="F366" s="381"/>
      <c r="G366" s="381"/>
      <c r="H366" s="358"/>
      <c r="I366" s="391"/>
    </row>
    <row r="367">
      <c r="A367" s="142">
        <v>42212.0</v>
      </c>
      <c r="B367" s="144"/>
      <c r="C367" s="116" t="str">
        <f>HYPERLINK("http://phish.net/sideshows/jon-fishman/?d=2015-07-27", "setlist")</f>
        <v>setlist</v>
      </c>
      <c r="D367" s="271" t="s">
        <v>3644</v>
      </c>
      <c r="E367" s="117" t="s">
        <v>591</v>
      </c>
      <c r="F367" s="165" t="s">
        <v>589</v>
      </c>
      <c r="G367" s="156"/>
      <c r="H367" s="145"/>
      <c r="I367" s="146"/>
    </row>
    <row r="368">
      <c r="A368" s="103">
        <v>42228.0</v>
      </c>
      <c r="B368" s="104"/>
      <c r="C368" s="105" t="str">
        <f>HYPERLINK("http://phish.net/sideshows/jon-fishman/?d=2015-08-12", "setlist")</f>
        <v>setlist</v>
      </c>
      <c r="D368" s="266" t="s">
        <v>3645</v>
      </c>
      <c r="E368" s="134" t="s">
        <v>387</v>
      </c>
      <c r="F368" s="141" t="s">
        <v>212</v>
      </c>
      <c r="G368" s="131"/>
      <c r="H368" s="108"/>
      <c r="I368" s="109"/>
    </row>
    <row r="369">
      <c r="A369" s="380"/>
      <c r="B369" s="381"/>
      <c r="C369" s="366"/>
      <c r="D369" s="383" t="s">
        <v>3646</v>
      </c>
      <c r="E369" s="391"/>
      <c r="F369" s="381"/>
      <c r="G369" s="381"/>
      <c r="H369" s="358"/>
      <c r="I369" s="391"/>
    </row>
    <row r="370">
      <c r="A370" s="142">
        <v>42259.0</v>
      </c>
      <c r="B370" s="144"/>
      <c r="C370" s="116" t="str">
        <f>HYPERLINK("http://phish.net/sideshows/jon-fishman/?d=2015-09-12", "setlist")</f>
        <v>setlist</v>
      </c>
      <c r="D370" s="271" t="s">
        <v>3647</v>
      </c>
      <c r="E370" s="117" t="s">
        <v>71</v>
      </c>
      <c r="F370" s="165" t="s">
        <v>35</v>
      </c>
      <c r="G370" s="156"/>
      <c r="H370" s="145"/>
      <c r="I370" s="146"/>
    </row>
    <row r="371">
      <c r="A371" s="380"/>
      <c r="B371" s="381"/>
      <c r="C371" s="366"/>
      <c r="D371" s="383" t="s">
        <v>3640</v>
      </c>
      <c r="E371" s="391"/>
      <c r="F371" s="381"/>
      <c r="G371" s="381"/>
      <c r="H371" s="358"/>
      <c r="I371" s="391"/>
    </row>
    <row r="372">
      <c r="A372" s="142">
        <v>42301.0</v>
      </c>
      <c r="B372" s="144"/>
      <c r="C372" s="116" t="str">
        <f>HYPERLINK("http://phish.net/sideshows/jon-fishman/?d=2015-10-24", "setlist")</f>
        <v>setlist</v>
      </c>
      <c r="D372" s="271" t="s">
        <v>3648</v>
      </c>
      <c r="E372" s="117" t="s">
        <v>3132</v>
      </c>
      <c r="F372" s="165" t="s">
        <v>35</v>
      </c>
      <c r="G372" s="156"/>
      <c r="H372" s="145"/>
      <c r="I372" s="146"/>
    </row>
    <row r="373">
      <c r="A373" s="103">
        <v>42329.0</v>
      </c>
      <c r="B373" s="104"/>
      <c r="C373" s="105" t="str">
        <f>HYPERLINK("http://phish.net/sideshows/jon-fishman/?d=2015-11-21", "setlist")</f>
        <v>setlist</v>
      </c>
      <c r="D373" s="266" t="s">
        <v>97</v>
      </c>
      <c r="E373" s="134" t="s">
        <v>71</v>
      </c>
      <c r="F373" s="141" t="s">
        <v>35</v>
      </c>
      <c r="G373" s="131"/>
      <c r="H373" s="108"/>
      <c r="I373" s="109"/>
    </row>
    <row r="374">
      <c r="A374" s="380"/>
      <c r="B374" s="381"/>
      <c r="C374" s="366"/>
      <c r="D374" s="383" t="s">
        <v>3603</v>
      </c>
      <c r="E374" s="391"/>
      <c r="F374" s="381"/>
      <c r="G374" s="381"/>
      <c r="H374" s="358"/>
      <c r="I374" s="391"/>
    </row>
    <row r="375">
      <c r="A375" s="142">
        <v>42371.0</v>
      </c>
      <c r="B375" s="144"/>
      <c r="C375" s="116" t="str">
        <f>HYPERLINK("http://phish.net/sideshows/jon-fishman/?showid=1452222451", "setlist")</f>
        <v>setlist</v>
      </c>
      <c r="D375" s="271" t="s">
        <v>3649</v>
      </c>
      <c r="E375" s="117" t="s">
        <v>162</v>
      </c>
      <c r="F375" s="165" t="s">
        <v>129</v>
      </c>
      <c r="G375" s="156"/>
      <c r="H375" s="145"/>
      <c r="I375" s="146"/>
    </row>
    <row r="376">
      <c r="A376" s="103">
        <v>42371.0</v>
      </c>
      <c r="B376" s="104"/>
      <c r="C376" s="105" t="str">
        <f>HYPERLINK("http://phish.net/sideshows/jon-fishman/?showid=1450758138", "setlist")</f>
        <v>setlist</v>
      </c>
      <c r="D376" s="266" t="s">
        <v>3650</v>
      </c>
      <c r="E376" s="134" t="s">
        <v>162</v>
      </c>
      <c r="F376" s="141" t="s">
        <v>129</v>
      </c>
      <c r="G376" s="131"/>
      <c r="H376" s="108"/>
      <c r="I376" s="109"/>
    </row>
    <row r="377">
      <c r="A377" s="380"/>
      <c r="B377" s="381"/>
      <c r="C377" s="366"/>
      <c r="D377" s="383" t="s">
        <v>3640</v>
      </c>
      <c r="E377" s="391"/>
      <c r="F377" s="381"/>
      <c r="G377" s="381"/>
      <c r="H377" s="358"/>
      <c r="I377" s="391"/>
    </row>
    <row r="378">
      <c r="A378" s="142">
        <v>42403.0</v>
      </c>
      <c r="B378" s="144"/>
      <c r="C378" s="116" t="str">
        <f>HYPERLINK("http://phish.net/sideshows/jon-fishman/?showid=1454034297", "setlist")</f>
        <v>setlist</v>
      </c>
      <c r="D378" s="271" t="s">
        <v>3651</v>
      </c>
      <c r="E378" s="117" t="s">
        <v>3129</v>
      </c>
      <c r="F378" s="165" t="s">
        <v>95</v>
      </c>
      <c r="G378" s="156"/>
      <c r="H378" s="145"/>
      <c r="I378" s="146"/>
    </row>
    <row r="379">
      <c r="A379" s="103">
        <v>42404.0</v>
      </c>
      <c r="B379" s="104"/>
      <c r="C379" s="105" t="str">
        <f>HYPERLINK("http://phish.net/sideshows/jon-fishman/?d=2016-02-04", "setlist")</f>
        <v>setlist</v>
      </c>
      <c r="D379" s="266" t="s">
        <v>3652</v>
      </c>
      <c r="E379" s="134" t="s">
        <v>279</v>
      </c>
      <c r="F379" s="141" t="s">
        <v>257</v>
      </c>
      <c r="G379" s="131"/>
      <c r="H379" s="108"/>
      <c r="I379" s="109"/>
    </row>
    <row r="380">
      <c r="A380" s="142">
        <v>42405.0</v>
      </c>
      <c r="B380" s="144"/>
      <c r="C380" s="116" t="str">
        <f>HYPERLINK("http://phish.net/sideshows/jon-fishman/?showid=1454034343", "setlist")</f>
        <v>setlist</v>
      </c>
      <c r="D380" s="271" t="s">
        <v>3653</v>
      </c>
      <c r="E380" s="117" t="s">
        <v>634</v>
      </c>
      <c r="F380" s="165" t="s">
        <v>182</v>
      </c>
      <c r="G380" s="156"/>
      <c r="H380" s="145"/>
      <c r="I380" s="146"/>
    </row>
    <row r="381">
      <c r="A381" s="103">
        <v>42406.0</v>
      </c>
      <c r="B381" s="104"/>
      <c r="C381" s="105" t="str">
        <f>HYPERLINK("http://phish.net/sideshows/jon-fishman/?showid=1454034371", "setlist")</f>
        <v>setlist</v>
      </c>
      <c r="D381" s="266" t="s">
        <v>2804</v>
      </c>
      <c r="E381" s="134" t="s">
        <v>34</v>
      </c>
      <c r="F381" s="141" t="s">
        <v>35</v>
      </c>
      <c r="G381" s="131"/>
      <c r="H381" s="108"/>
      <c r="I381" s="109"/>
    </row>
    <row r="382">
      <c r="A382" s="380"/>
      <c r="B382" s="381"/>
      <c r="C382" s="366"/>
      <c r="D382" s="383" t="s">
        <v>3654</v>
      </c>
      <c r="E382" s="391"/>
      <c r="F382" s="381"/>
      <c r="G382" s="381"/>
      <c r="H382" s="358"/>
      <c r="I382" s="391"/>
    </row>
    <row r="383">
      <c r="A383" s="142">
        <v>42434.0</v>
      </c>
      <c r="B383" s="144"/>
      <c r="C383" s="116" t="str">
        <f>HYPERLINK("http://phish.net/sideshows/jon-fishman/?showid=1457493619", "setlist")</f>
        <v>setlist</v>
      </c>
      <c r="D383" s="271" t="s">
        <v>3655</v>
      </c>
      <c r="E383" s="117" t="s">
        <v>3656</v>
      </c>
      <c r="F383" s="165" t="s">
        <v>257</v>
      </c>
      <c r="G383" s="156"/>
      <c r="H383" s="145"/>
      <c r="I383" s="146"/>
    </row>
    <row r="384">
      <c r="A384" s="103">
        <v>42457.0</v>
      </c>
      <c r="B384" s="104"/>
      <c r="C384" s="105" t="str">
        <f>HYPERLINK("http://phish.net/sideshows/jon-fishman/?d=2016-03-28", "setlist")</f>
        <v>setlist</v>
      </c>
      <c r="D384" s="266" t="s">
        <v>3657</v>
      </c>
      <c r="E384" s="134" t="s">
        <v>871</v>
      </c>
      <c r="F384" s="141" t="s">
        <v>212</v>
      </c>
      <c r="G384" s="131"/>
      <c r="H384" s="108"/>
      <c r="I384" s="109"/>
    </row>
    <row r="385">
      <c r="A385" s="380"/>
      <c r="B385" s="381"/>
      <c r="C385" s="366"/>
      <c r="D385" s="383" t="s">
        <v>3494</v>
      </c>
      <c r="E385" s="391"/>
      <c r="F385" s="381"/>
      <c r="G385" s="381"/>
      <c r="H385" s="358"/>
      <c r="I385" s="391"/>
    </row>
    <row r="386">
      <c r="A386" s="142">
        <v>42609.0</v>
      </c>
      <c r="B386" s="144"/>
      <c r="C386" s="116" t="str">
        <f>HYPERLINK("http://phish.net/sideshows/page-mcconnell/?d=2016-08-27", "setlist")</f>
        <v>setlist</v>
      </c>
      <c r="D386" s="271" t="s">
        <v>2626</v>
      </c>
      <c r="E386" s="117" t="s">
        <v>2627</v>
      </c>
      <c r="F386" s="165" t="s">
        <v>446</v>
      </c>
      <c r="G386" s="196" t="s">
        <v>36</v>
      </c>
      <c r="H386" s="135" t="str">
        <f>HYPERLINK("http://www.mediafire.com/download/e52l63pc5z2pfn5/2016-08-27_-_Oak_Ridge_Farm_-_Arrington%2C_VA.rar", "download link")</f>
        <v>download link</v>
      </c>
      <c r="I386" s="146"/>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80.75"/>
  </cols>
  <sheetData>
    <row r="1">
      <c r="A1" s="77"/>
      <c r="B1" s="78"/>
      <c r="C1" s="78"/>
      <c r="D1" s="82"/>
      <c r="E1" s="82"/>
      <c r="F1" s="78"/>
      <c r="G1" s="78"/>
      <c r="H1" s="81"/>
      <c r="I1" s="82"/>
    </row>
    <row r="2">
      <c r="A2" s="60" t="s">
        <v>22</v>
      </c>
      <c r="B2" s="60" t="s">
        <v>23</v>
      </c>
      <c r="C2" s="60" t="s">
        <v>40</v>
      </c>
      <c r="D2" s="60" t="s">
        <v>25</v>
      </c>
      <c r="E2" s="60" t="s">
        <v>26</v>
      </c>
      <c r="F2" s="60" t="s">
        <v>27</v>
      </c>
      <c r="G2" s="60" t="s">
        <v>28</v>
      </c>
      <c r="H2" s="60" t="s">
        <v>29</v>
      </c>
      <c r="I2" s="83" t="s">
        <v>2145</v>
      </c>
    </row>
    <row r="3">
      <c r="A3" s="324"/>
      <c r="B3" s="126"/>
      <c r="C3" s="126"/>
      <c r="D3" s="126"/>
      <c r="E3" s="126"/>
      <c r="F3" s="126"/>
      <c r="G3" s="126"/>
      <c r="H3" s="126"/>
      <c r="I3" s="129"/>
    </row>
    <row r="4">
      <c r="A4" s="350"/>
      <c r="B4" s="351"/>
      <c r="C4" s="362"/>
      <c r="D4" s="356" t="s">
        <v>3658</v>
      </c>
      <c r="E4" s="350"/>
      <c r="F4" s="351"/>
      <c r="G4" s="351"/>
      <c r="H4" s="351"/>
      <c r="I4" s="350"/>
    </row>
    <row r="5">
      <c r="A5" s="110">
        <v>30800.0</v>
      </c>
      <c r="B5" s="111"/>
      <c r="C5" s="135" t="str">
        <f>HYPERLINK("http://phish.net/sideshows/guest-appearance/?d=1984-04-28", "setlist")</f>
        <v>setlist</v>
      </c>
      <c r="D5" s="183" t="s">
        <v>51</v>
      </c>
      <c r="E5" s="183" t="s">
        <v>34</v>
      </c>
      <c r="F5" s="114" t="s">
        <v>35</v>
      </c>
      <c r="G5" s="111"/>
      <c r="H5" s="111"/>
      <c r="I5" s="113" t="s">
        <v>3659</v>
      </c>
    </row>
    <row r="6">
      <c r="A6" s="350"/>
      <c r="B6" s="351"/>
      <c r="C6" s="362"/>
      <c r="D6" s="356" t="s">
        <v>3660</v>
      </c>
      <c r="E6" s="350"/>
      <c r="F6" s="351"/>
      <c r="G6" s="351"/>
      <c r="H6" s="351"/>
      <c r="I6" s="350"/>
    </row>
    <row r="7">
      <c r="A7" s="110">
        <v>33263.0</v>
      </c>
      <c r="B7" s="111"/>
      <c r="C7" s="135" t="str">
        <f>HYPERLINK("http://phish.net/sideshows/guest-appearance/?d=1991-01-25", "setlist")</f>
        <v>setlist</v>
      </c>
      <c r="D7" s="183" t="s">
        <v>2895</v>
      </c>
      <c r="E7" s="183" t="s">
        <v>34</v>
      </c>
      <c r="F7" s="114" t="s">
        <v>35</v>
      </c>
      <c r="G7" s="111"/>
      <c r="H7" s="111"/>
      <c r="I7" s="113" t="s">
        <v>3661</v>
      </c>
    </row>
    <row r="8">
      <c r="A8" s="350"/>
      <c r="B8" s="351"/>
      <c r="C8" s="362"/>
      <c r="D8" s="356" t="s">
        <v>3662</v>
      </c>
      <c r="E8" s="350"/>
      <c r="F8" s="351"/>
      <c r="G8" s="351"/>
      <c r="H8" s="351"/>
      <c r="I8" s="350"/>
    </row>
    <row r="9">
      <c r="A9" s="110">
        <v>33344.0</v>
      </c>
      <c r="B9" s="111"/>
      <c r="C9" s="135" t="str">
        <f>HYPERLINK("http://phish.net/sideshows/guest-appearance/?showid=1326776977", "setlist")</f>
        <v>setlist</v>
      </c>
      <c r="D9" s="183" t="s">
        <v>710</v>
      </c>
      <c r="E9" s="183" t="s">
        <v>711</v>
      </c>
      <c r="F9" s="114" t="s">
        <v>712</v>
      </c>
      <c r="G9" s="111"/>
      <c r="H9" s="111"/>
      <c r="I9" s="113" t="s">
        <v>3661</v>
      </c>
    </row>
    <row r="10">
      <c r="A10" s="350"/>
      <c r="B10" s="351"/>
      <c r="C10" s="362"/>
      <c r="D10" s="356" t="s">
        <v>3663</v>
      </c>
      <c r="E10" s="350"/>
      <c r="F10" s="351"/>
      <c r="G10" s="351"/>
      <c r="H10" s="351"/>
      <c r="I10" s="350"/>
    </row>
    <row r="11">
      <c r="A11" s="110">
        <v>33572.0</v>
      </c>
      <c r="B11" s="111"/>
      <c r="C11" s="135" t="str">
        <f>HYPERLINK("http://phish.net/sideshows/guest-appearance/?showid=1326731601", "setlist")</f>
        <v>setlist</v>
      </c>
      <c r="D11" s="183" t="s">
        <v>570</v>
      </c>
      <c r="E11" s="183" t="s">
        <v>571</v>
      </c>
      <c r="F11" s="114" t="s">
        <v>129</v>
      </c>
      <c r="G11" s="111"/>
      <c r="H11" s="111"/>
      <c r="I11" s="113" t="s">
        <v>3664</v>
      </c>
    </row>
    <row r="12">
      <c r="A12" s="103">
        <v>33635.0</v>
      </c>
      <c r="B12" s="107" t="s">
        <v>32</v>
      </c>
      <c r="C12" s="105" t="str">
        <f>HYPERLINK("http://phish.net/sideshows//?d=1992-02-01", "setlist")</f>
        <v>setlist</v>
      </c>
      <c r="D12" s="181" t="s">
        <v>3665</v>
      </c>
      <c r="E12" s="181" t="s">
        <v>34</v>
      </c>
      <c r="F12" s="107" t="s">
        <v>35</v>
      </c>
      <c r="G12" s="107" t="s">
        <v>36</v>
      </c>
      <c r="H12" s="105" t="str">
        <f>HYPERLINK("http://www.mediafire.com/?va7f7w64b71gr", "download link")</f>
        <v>download link</v>
      </c>
      <c r="I12" s="106" t="s">
        <v>3666</v>
      </c>
    </row>
    <row r="13">
      <c r="A13" s="350"/>
      <c r="B13" s="351"/>
      <c r="C13" s="352"/>
      <c r="D13" s="356" t="s">
        <v>3667</v>
      </c>
      <c r="E13" s="357"/>
      <c r="F13" s="351"/>
      <c r="G13" s="351"/>
      <c r="H13" s="358"/>
      <c r="I13" s="357"/>
    </row>
    <row r="14">
      <c r="A14" s="110">
        <v>33792.0</v>
      </c>
      <c r="B14" s="114" t="s">
        <v>32</v>
      </c>
      <c r="C14" s="135" t="str">
        <f>HYPERLINK("http://phish.net/sideshows/guest-appearance/?d=1992-07-07", "setlist")</f>
        <v>setlist</v>
      </c>
      <c r="D14" s="183" t="s">
        <v>3665</v>
      </c>
      <c r="E14" s="183" t="s">
        <v>34</v>
      </c>
      <c r="F14" s="114" t="s">
        <v>35</v>
      </c>
      <c r="G14" s="114" t="s">
        <v>36</v>
      </c>
      <c r="H14" s="116" t="str">
        <f>HYPERLINK("http://www.mediafire.com/?c3ao585tns141", "download link")</f>
        <v>download link</v>
      </c>
      <c r="I14" s="183" t="s">
        <v>3668</v>
      </c>
    </row>
    <row r="15">
      <c r="A15" s="350"/>
      <c r="B15" s="351"/>
      <c r="C15" s="362"/>
      <c r="D15" s="356" t="s">
        <v>3669</v>
      </c>
      <c r="E15" s="350"/>
      <c r="F15" s="351"/>
      <c r="G15" s="351"/>
      <c r="H15" s="351"/>
      <c r="I15" s="350"/>
    </row>
    <row r="16">
      <c r="A16" s="110">
        <v>33804.0</v>
      </c>
      <c r="B16" s="111"/>
      <c r="C16" s="135" t="str">
        <f>HYPERLINK("http://phish.net/sideshows/guest-appearance/?showid=1326560320", "setlist")</f>
        <v>setlist</v>
      </c>
      <c r="D16" s="183" t="s">
        <v>991</v>
      </c>
      <c r="E16" s="183" t="s">
        <v>992</v>
      </c>
      <c r="F16" s="114" t="s">
        <v>43</v>
      </c>
      <c r="G16" s="111"/>
      <c r="H16" s="111"/>
      <c r="I16" s="113" t="s">
        <v>3670</v>
      </c>
    </row>
    <row r="17">
      <c r="A17" s="103">
        <v>33807.0</v>
      </c>
      <c r="B17" s="104"/>
      <c r="C17" s="105" t="str">
        <f>HYPERLINK("http://phish.net/sideshows/guest-appearance/?showid=1326560859", "setlist")</f>
        <v>setlist</v>
      </c>
      <c r="D17" s="181" t="s">
        <v>1005</v>
      </c>
      <c r="E17" s="181" t="s">
        <v>1006</v>
      </c>
      <c r="F17" s="107" t="s">
        <v>182</v>
      </c>
      <c r="G17" s="141" t="s">
        <v>36</v>
      </c>
      <c r="H17" s="395" t="str">
        <f>HYPERLINK("http://www.mediafire.com/file/4e65d6mvq3wludh/1992-07-22_-_Holman_Stadium_-_Nashua%2C_NH.rar", "download link")</f>
        <v>download link</v>
      </c>
      <c r="I17" s="106" t="s">
        <v>3671</v>
      </c>
    </row>
    <row r="18">
      <c r="A18" s="110">
        <v>33809.0</v>
      </c>
      <c r="B18" s="111"/>
      <c r="C18" s="135" t="str">
        <f>HYPERLINK("http://phish.net/sideshows/guest-appearance/?showid=1324154208", "setlist")</f>
        <v>setlist</v>
      </c>
      <c r="D18" s="183" t="s">
        <v>993</v>
      </c>
      <c r="E18" s="183" t="s">
        <v>994</v>
      </c>
      <c r="F18" s="114" t="s">
        <v>129</v>
      </c>
      <c r="G18" s="111"/>
      <c r="H18" s="111"/>
      <c r="I18" s="113" t="s">
        <v>3672</v>
      </c>
    </row>
    <row r="19">
      <c r="A19" s="103">
        <v>33810.0</v>
      </c>
      <c r="B19" s="104"/>
      <c r="C19" s="105" t="str">
        <f>HYPERLINK("http://phish.net/sideshows/guest-appearance/?showid=1324506508", "setlist")</f>
        <v>setlist</v>
      </c>
      <c r="D19" s="181" t="s">
        <v>1010</v>
      </c>
      <c r="E19" s="181" t="s">
        <v>1011</v>
      </c>
      <c r="F19" s="107" t="s">
        <v>35</v>
      </c>
      <c r="G19" s="104"/>
      <c r="H19" s="104"/>
      <c r="I19" s="106" t="s">
        <v>3666</v>
      </c>
    </row>
    <row r="20">
      <c r="A20" s="110">
        <v>33811.0</v>
      </c>
      <c r="B20" s="111"/>
      <c r="C20" s="135" t="str">
        <f>HYPERLINK("http://phish.net/sideshows/guest-appearance/?showid=1326559632", "setlist")</f>
        <v>setlist</v>
      </c>
      <c r="D20" s="183" t="s">
        <v>1013</v>
      </c>
      <c r="E20" s="183" t="s">
        <v>1014</v>
      </c>
      <c r="F20" s="114" t="s">
        <v>129</v>
      </c>
      <c r="G20" s="111"/>
      <c r="H20" s="111"/>
      <c r="I20" s="113" t="s">
        <v>3673</v>
      </c>
    </row>
    <row r="21">
      <c r="A21" s="103">
        <v>33812.0</v>
      </c>
      <c r="B21" s="104"/>
      <c r="C21" s="105" t="str">
        <f>HYPERLINK("http://phish.net/sideshows/guest-appearance/?showid=1326571148", "setlist")</f>
        <v>setlist</v>
      </c>
      <c r="D21" s="181" t="s">
        <v>1015</v>
      </c>
      <c r="E21" s="181" t="s">
        <v>465</v>
      </c>
      <c r="F21" s="107" t="s">
        <v>129</v>
      </c>
      <c r="G21" s="107" t="s">
        <v>36</v>
      </c>
      <c r="H21" s="105" t="str">
        <f>HYPERLINK("http://www.mediafire.com/?h9zkzmmuoav7q", "download link")</f>
        <v>download link</v>
      </c>
      <c r="I21" s="106" t="s">
        <v>3666</v>
      </c>
    </row>
    <row r="22">
      <c r="A22" s="110">
        <v>33813.0</v>
      </c>
      <c r="B22" s="111"/>
      <c r="C22" s="135" t="str">
        <f>HYPERLINK("http://phish.net/sideshows/guest-appearance/?showid=1326571384", "setlist")</f>
        <v>setlist</v>
      </c>
      <c r="D22" s="183" t="s">
        <v>1018</v>
      </c>
      <c r="E22" s="183" t="s">
        <v>1019</v>
      </c>
      <c r="F22" s="114" t="s">
        <v>129</v>
      </c>
      <c r="G22" s="114" t="s">
        <v>36</v>
      </c>
      <c r="H22" s="135" t="str">
        <f>HYPERLINK("http://www.mediafire.com/?rn6b9nmz4rib5","download link")</f>
        <v>download link</v>
      </c>
      <c r="I22" s="113" t="s">
        <v>3666</v>
      </c>
    </row>
    <row r="23">
      <c r="A23" s="103">
        <v>33815.0</v>
      </c>
      <c r="B23" s="104"/>
      <c r="C23" s="105" t="str">
        <f>HYPERLINK("http://phish.net/sideshows/guest-appearance/?showid=1326571501", "setlist")</f>
        <v>setlist</v>
      </c>
      <c r="D23" s="181" t="s">
        <v>1020</v>
      </c>
      <c r="E23" s="181" t="s">
        <v>1021</v>
      </c>
      <c r="F23" s="107" t="s">
        <v>712</v>
      </c>
      <c r="G23" s="104"/>
      <c r="H23" s="104"/>
      <c r="I23" s="106" t="s">
        <v>3666</v>
      </c>
    </row>
    <row r="24">
      <c r="A24" s="110">
        <v>33816.0</v>
      </c>
      <c r="B24" s="111"/>
      <c r="C24" s="135" t="str">
        <f>HYPERLINK("http://phish.net/sideshows/guest-appearance/?showid=1326571918", "setlist")</f>
        <v>setlist</v>
      </c>
      <c r="D24" s="183" t="s">
        <v>1023</v>
      </c>
      <c r="E24" s="183" t="s">
        <v>1024</v>
      </c>
      <c r="F24" s="114" t="s">
        <v>472</v>
      </c>
      <c r="G24" s="111"/>
      <c r="H24" s="111"/>
      <c r="I24" s="113" t="s">
        <v>3674</v>
      </c>
    </row>
    <row r="25">
      <c r="A25" s="103">
        <v>33817.0</v>
      </c>
      <c r="B25" s="104"/>
      <c r="C25" s="105" t="str">
        <f>HYPERLINK("http://phish.net/sideshows/guest-appearance/?showid=1326572136", "setlist")</f>
        <v>setlist</v>
      </c>
      <c r="D25" s="181" t="s">
        <v>1025</v>
      </c>
      <c r="E25" s="181" t="s">
        <v>1026</v>
      </c>
      <c r="F25" s="107" t="s">
        <v>480</v>
      </c>
      <c r="G25" s="104"/>
      <c r="H25" s="104"/>
      <c r="I25" s="106" t="s">
        <v>3674</v>
      </c>
    </row>
    <row r="26">
      <c r="A26" s="110">
        <v>33829.0</v>
      </c>
      <c r="B26" s="114" t="s">
        <v>32</v>
      </c>
      <c r="C26" s="369" t="s">
        <v>40</v>
      </c>
      <c r="D26" s="183" t="s">
        <v>1031</v>
      </c>
      <c r="E26" s="183" t="s">
        <v>911</v>
      </c>
      <c r="F26" s="114" t="s">
        <v>679</v>
      </c>
      <c r="G26" s="114" t="s">
        <v>36</v>
      </c>
      <c r="H26" s="135" t="str">
        <f>HYPERLINK("http://www.mediafire.com/?sew3pk76nqfm3","download link")</f>
        <v>download link</v>
      </c>
      <c r="I26" s="113" t="s">
        <v>3675</v>
      </c>
    </row>
    <row r="27">
      <c r="A27" s="103">
        <v>33835.0</v>
      </c>
      <c r="B27" s="104"/>
      <c r="C27" s="105" t="str">
        <f>HYPERLINK("http://phish.net/sideshows/guest-appearance/?showid=1326572455", "setlist")</f>
        <v>setlist</v>
      </c>
      <c r="D27" s="181" t="s">
        <v>1037</v>
      </c>
      <c r="E27" s="181" t="s">
        <v>906</v>
      </c>
      <c r="F27" s="107" t="s">
        <v>805</v>
      </c>
      <c r="G27" s="104"/>
      <c r="H27" s="104"/>
      <c r="I27" s="106" t="s">
        <v>3672</v>
      </c>
    </row>
    <row r="28">
      <c r="A28" s="142">
        <v>33836.0</v>
      </c>
      <c r="B28" s="144"/>
      <c r="C28" s="116" t="str">
        <f>HYPERLINK("http://phish.net/sideshows/guest-appearance/?showid=1326572610", "setlist")</f>
        <v>setlist</v>
      </c>
      <c r="D28" s="272" t="s">
        <v>1039</v>
      </c>
      <c r="E28" s="272" t="s">
        <v>1040</v>
      </c>
      <c r="F28" s="115" t="s">
        <v>811</v>
      </c>
      <c r="G28" s="144"/>
      <c r="H28" s="144"/>
      <c r="I28" s="118" t="s">
        <v>3672</v>
      </c>
    </row>
    <row r="29">
      <c r="A29" s="103">
        <v>33839.0</v>
      </c>
      <c r="B29" s="104"/>
      <c r="C29" s="105" t="str">
        <f>HYPERLINK("http://phish.net/sideshows/guest-appearance/?showid=1326573143", "setlist")</f>
        <v>setlist</v>
      </c>
      <c r="D29" s="181" t="s">
        <v>1041</v>
      </c>
      <c r="E29" s="181" t="s">
        <v>1042</v>
      </c>
      <c r="F29" s="107" t="s">
        <v>203</v>
      </c>
      <c r="G29" s="104"/>
      <c r="H29" s="104"/>
      <c r="I29" s="106" t="s">
        <v>3676</v>
      </c>
    </row>
    <row r="30">
      <c r="A30" s="142">
        <v>33840.0</v>
      </c>
      <c r="B30" s="144"/>
      <c r="C30" s="116" t="str">
        <f>HYPERLINK("http://phish.net/sideshows/guest-appearance/?showid=1326573249", "setlist")</f>
        <v>setlist</v>
      </c>
      <c r="D30" s="272" t="s">
        <v>1043</v>
      </c>
      <c r="E30" s="272" t="s">
        <v>1044</v>
      </c>
      <c r="F30" s="115" t="s">
        <v>203</v>
      </c>
      <c r="G30" s="144"/>
      <c r="H30" s="144"/>
      <c r="I30" s="118" t="s">
        <v>3676</v>
      </c>
    </row>
    <row r="31">
      <c r="A31" s="103">
        <v>33841.0</v>
      </c>
      <c r="B31" s="104"/>
      <c r="C31" s="105" t="str">
        <f>HYPERLINK("http://phish.net/sideshows/guest-appearance/?showid=1326573390", "setlist")</f>
        <v>setlist</v>
      </c>
      <c r="D31" s="181" t="s">
        <v>1045</v>
      </c>
      <c r="E31" s="181" t="s">
        <v>810</v>
      </c>
      <c r="F31" s="107" t="s">
        <v>811</v>
      </c>
      <c r="G31" s="104"/>
      <c r="H31" s="104"/>
      <c r="I31" s="106" t="s">
        <v>3666</v>
      </c>
    </row>
    <row r="32">
      <c r="A32" s="142">
        <v>33843.0</v>
      </c>
      <c r="B32" s="115" t="s">
        <v>32</v>
      </c>
      <c r="C32" s="116" t="str">
        <f>HYPERLINK("http://phish.net/sideshows/guest-appearance/?showid=1326573622", "setlist")</f>
        <v>setlist</v>
      </c>
      <c r="D32" s="272" t="s">
        <v>1047</v>
      </c>
      <c r="E32" s="272" t="s">
        <v>913</v>
      </c>
      <c r="F32" s="115" t="s">
        <v>679</v>
      </c>
      <c r="G32" s="115" t="s">
        <v>36</v>
      </c>
      <c r="H32" s="116" t="str">
        <f>HYPERLINK("http://www.mediafire.com/?2mydlelulztuo", "download link")</f>
        <v>download link</v>
      </c>
      <c r="I32" s="118" t="s">
        <v>3666</v>
      </c>
    </row>
    <row r="33">
      <c r="A33" s="103">
        <v>33844.0</v>
      </c>
      <c r="B33" s="107" t="s">
        <v>32</v>
      </c>
      <c r="C33" s="105" t="str">
        <f>HYPERLINK("http://phish.net/sideshows/guest-appearance/?showid=1326573752", "setlist")</f>
        <v>setlist</v>
      </c>
      <c r="D33" s="181" t="s">
        <v>1049</v>
      </c>
      <c r="E33" s="181" t="s">
        <v>531</v>
      </c>
      <c r="F33" s="107" t="s">
        <v>679</v>
      </c>
      <c r="G33" s="107" t="s">
        <v>36</v>
      </c>
      <c r="H33" s="105" t="str">
        <f>HYPERLINK("http://www.mediafire.com/?s86w05yg7syb5", "download link")</f>
        <v>download link</v>
      </c>
      <c r="I33" s="106" t="s">
        <v>3666</v>
      </c>
    </row>
    <row r="34">
      <c r="A34" s="142">
        <v>33845.0</v>
      </c>
      <c r="B34" s="144"/>
      <c r="C34" s="116" t="str">
        <f>HYPERLINK("http://phish.net/sideshows/guest-appearance/?showid=1326573855", "setlist")</f>
        <v>setlist</v>
      </c>
      <c r="D34" s="272" t="s">
        <v>1052</v>
      </c>
      <c r="E34" s="272" t="s">
        <v>1053</v>
      </c>
      <c r="F34" s="115" t="s">
        <v>679</v>
      </c>
      <c r="G34" s="144"/>
      <c r="H34" s="144"/>
      <c r="I34" s="118" t="s">
        <v>3674</v>
      </c>
    </row>
    <row r="35">
      <c r="A35" s="103">
        <v>33846.0</v>
      </c>
      <c r="B35" s="107" t="s">
        <v>32</v>
      </c>
      <c r="C35" s="105" t="str">
        <f>HYPERLINK("http://phish.net/sideshows/guest-appearance/?showid=1326574022", "setlist")</f>
        <v>setlist</v>
      </c>
      <c r="D35" s="181" t="s">
        <v>1055</v>
      </c>
      <c r="E35" s="181" t="s">
        <v>1056</v>
      </c>
      <c r="F35" s="107" t="s">
        <v>679</v>
      </c>
      <c r="G35" s="107" t="s">
        <v>36</v>
      </c>
      <c r="H35" s="105" t="str">
        <f>HYPERLINK("http://www.mediafire.com/?h56id35zypjrw", "download link")</f>
        <v>download link</v>
      </c>
      <c r="I35" s="106" t="s">
        <v>3676</v>
      </c>
    </row>
    <row r="36">
      <c r="A36" s="350"/>
      <c r="B36" s="351"/>
      <c r="C36" s="362"/>
      <c r="D36" s="356" t="s">
        <v>3663</v>
      </c>
      <c r="E36" s="350"/>
      <c r="F36" s="351"/>
      <c r="G36" s="351"/>
      <c r="H36" s="351"/>
      <c r="I36" s="350"/>
    </row>
    <row r="37">
      <c r="A37" s="110">
        <v>33996.0</v>
      </c>
      <c r="B37" s="114" t="s">
        <v>32</v>
      </c>
      <c r="C37" s="135" t="str">
        <f>HYPERLINK("http://phish.net/sideshows/guest-appearance/?d=1993-01-27", "setlist")</f>
        <v>setlist</v>
      </c>
      <c r="D37" s="183" t="s">
        <v>3665</v>
      </c>
      <c r="E37" s="183" t="s">
        <v>34</v>
      </c>
      <c r="F37" s="114" t="s">
        <v>35</v>
      </c>
      <c r="G37" s="114" t="s">
        <v>36</v>
      </c>
      <c r="H37" s="116" t="str">
        <f>HYPERLINK("http://www.mediafire.com/?kh4lelidk7h7v", "download link")</f>
        <v>download link</v>
      </c>
      <c r="I37" s="113" t="s">
        <v>3677</v>
      </c>
    </row>
    <row r="38">
      <c r="A38" s="350"/>
      <c r="B38" s="351"/>
      <c r="C38" s="362"/>
      <c r="D38" s="356" t="s">
        <v>3678</v>
      </c>
      <c r="E38" s="350"/>
      <c r="F38" s="351"/>
      <c r="G38" s="351"/>
      <c r="H38" s="351"/>
      <c r="I38" s="350"/>
    </row>
    <row r="39">
      <c r="A39" s="110">
        <v>34005.0</v>
      </c>
      <c r="B39" s="114" t="s">
        <v>32</v>
      </c>
      <c r="C39" s="135" t="str">
        <f>HYPERLINK("http://phish.net/sideshows/guest-appearance/?showid=1328244182", "setlist")</f>
        <v>setlist</v>
      </c>
      <c r="D39" s="183" t="s">
        <v>3679</v>
      </c>
      <c r="E39" s="183" t="s">
        <v>162</v>
      </c>
      <c r="F39" s="114" t="s">
        <v>129</v>
      </c>
      <c r="G39" s="114" t="s">
        <v>36</v>
      </c>
      <c r="H39" s="116" t="str">
        <f>HYPERLINK("http://www.mediafire.com/?hoba772jj5h79", "download link")</f>
        <v>download link</v>
      </c>
      <c r="I39" s="113" t="s">
        <v>3671</v>
      </c>
    </row>
    <row r="40">
      <c r="A40" s="350"/>
      <c r="B40" s="351"/>
      <c r="C40" s="362"/>
      <c r="D40" s="356" t="s">
        <v>3660</v>
      </c>
      <c r="E40" s="350"/>
      <c r="F40" s="351"/>
      <c r="G40" s="351"/>
      <c r="H40" s="351"/>
      <c r="I40" s="350"/>
    </row>
    <row r="41">
      <c r="A41" s="110">
        <v>34119.0</v>
      </c>
      <c r="B41" s="111"/>
      <c r="C41" s="135" t="str">
        <f>HYPERLINK("http://phish.net/sideshows/guest-appearance/?showid=1326337616", "setlist")</f>
        <v>setlist</v>
      </c>
      <c r="D41" s="183" t="s">
        <v>1239</v>
      </c>
      <c r="E41" s="183" t="s">
        <v>3680</v>
      </c>
      <c r="F41" s="114" t="s">
        <v>679</v>
      </c>
      <c r="G41" s="114" t="s">
        <v>36</v>
      </c>
      <c r="H41" s="116" t="str">
        <f>HYPERLINK("http://www.mediafire.com/?wigw34pu1jo0g", "download link")</f>
        <v>download link</v>
      </c>
      <c r="I41" s="113" t="s">
        <v>3681</v>
      </c>
    </row>
    <row r="42">
      <c r="A42" s="350"/>
      <c r="B42" s="351"/>
      <c r="C42" s="362"/>
      <c r="D42" s="356" t="s">
        <v>3682</v>
      </c>
      <c r="E42" s="350"/>
      <c r="F42" s="351"/>
      <c r="G42" s="351"/>
      <c r="H42" s="351"/>
      <c r="I42" s="350"/>
    </row>
    <row r="43">
      <c r="A43" s="110">
        <v>34209.0</v>
      </c>
      <c r="B43" s="111"/>
      <c r="C43" s="135" t="str">
        <f>HYPERLINK("http://phish.net/sideshows/guest-appearance/?showid=1328590012", "setlist")</f>
        <v>setlist</v>
      </c>
      <c r="D43" s="183" t="s">
        <v>1309</v>
      </c>
      <c r="E43" s="183" t="s">
        <v>3683</v>
      </c>
      <c r="F43" s="114" t="s">
        <v>679</v>
      </c>
      <c r="G43" s="111"/>
      <c r="H43" s="359"/>
      <c r="I43" s="113" t="s">
        <v>3684</v>
      </c>
    </row>
    <row r="44">
      <c r="A44" s="353" t="s">
        <v>2467</v>
      </c>
      <c r="B44" s="351"/>
      <c r="C44" s="362"/>
      <c r="D44" s="356" t="s">
        <v>3685</v>
      </c>
      <c r="E44" s="350"/>
      <c r="F44" s="351"/>
      <c r="G44" s="351"/>
      <c r="H44" s="351"/>
      <c r="I44" s="350"/>
    </row>
    <row r="45">
      <c r="A45" s="110">
        <v>34284.0</v>
      </c>
      <c r="B45" s="114" t="s">
        <v>32</v>
      </c>
      <c r="C45" s="135" t="str">
        <f>HYPERLINK("http://phish.net/sideshows/guest-appearance/?d=1993-11-11", "setlist")</f>
        <v>setlist</v>
      </c>
      <c r="D45" s="183" t="s">
        <v>3227</v>
      </c>
      <c r="E45" s="183" t="s">
        <v>911</v>
      </c>
      <c r="F45" s="114" t="s">
        <v>679</v>
      </c>
      <c r="G45" s="114" t="s">
        <v>36</v>
      </c>
      <c r="H45" s="116" t="str">
        <f>HYPERLINK("http://www.mediafire.com/?saxc6ncq2qfn8", "download link")</f>
        <v>download link</v>
      </c>
      <c r="I45" s="113" t="s">
        <v>3686</v>
      </c>
    </row>
    <row r="46">
      <c r="A46" s="353" t="s">
        <v>2467</v>
      </c>
      <c r="B46" s="351"/>
      <c r="C46" s="362"/>
      <c r="D46" s="356" t="s">
        <v>3687</v>
      </c>
      <c r="E46" s="350"/>
      <c r="F46" s="351"/>
      <c r="G46" s="351"/>
      <c r="H46" s="351"/>
      <c r="I46" s="350"/>
    </row>
    <row r="47">
      <c r="A47" s="110">
        <v>34367.0</v>
      </c>
      <c r="B47" s="111"/>
      <c r="C47" s="135" t="str">
        <f>HYPERLINK("http://phish.net/sideshows/guest-appearance/?d=1994-02-02", "setlist")</f>
        <v>setlist</v>
      </c>
      <c r="D47" s="183" t="s">
        <v>2804</v>
      </c>
      <c r="E47" s="183" t="s">
        <v>34</v>
      </c>
      <c r="F47" s="114" t="s">
        <v>35</v>
      </c>
      <c r="G47" s="111"/>
      <c r="H47" s="359"/>
      <c r="I47" s="113" t="s">
        <v>2885</v>
      </c>
    </row>
    <row r="48">
      <c r="A48" s="353" t="s">
        <v>2467</v>
      </c>
      <c r="B48" s="351"/>
      <c r="C48" s="362"/>
      <c r="D48" s="356" t="s">
        <v>3688</v>
      </c>
      <c r="E48" s="350"/>
      <c r="F48" s="351"/>
      <c r="G48" s="351"/>
      <c r="H48" s="351"/>
      <c r="I48" s="350"/>
    </row>
    <row r="49">
      <c r="A49" s="110">
        <v>34370.0</v>
      </c>
      <c r="B49" s="111"/>
      <c r="C49" s="135" t="str">
        <f>HYPERLINK("http://phish.net/sideshows/jon-fishman/?d=1994-02-05", "setlist")</f>
        <v>setlist</v>
      </c>
      <c r="D49" s="183" t="s">
        <v>271</v>
      </c>
      <c r="E49" s="183" t="s">
        <v>162</v>
      </c>
      <c r="F49" s="114" t="s">
        <v>129</v>
      </c>
      <c r="G49" s="114" t="s">
        <v>36</v>
      </c>
      <c r="H49" s="116" t="str">
        <f>HYPERLINK("https://www.mediafire.com/folder/5vfsqw8sepiz2/1994-02-05_-_The_Wetlands_Preserve", "download link")</f>
        <v>download link</v>
      </c>
      <c r="I49" s="113" t="s">
        <v>3689</v>
      </c>
    </row>
    <row r="50">
      <c r="A50" s="350"/>
      <c r="B50" s="351"/>
      <c r="C50" s="362"/>
      <c r="D50" s="356" t="s">
        <v>3663</v>
      </c>
      <c r="E50" s="350"/>
      <c r="F50" s="351"/>
      <c r="G50" s="351"/>
      <c r="H50" s="351"/>
      <c r="I50" s="350"/>
    </row>
    <row r="51">
      <c r="A51" s="110">
        <v>34380.0</v>
      </c>
      <c r="B51" s="111"/>
      <c r="C51" s="135" t="str">
        <f>HYPERLINK("http://phish.net/sideshows/guest-appearance/?d=1994-02-15", "setlist")</f>
        <v>setlist</v>
      </c>
      <c r="D51" s="183" t="s">
        <v>2811</v>
      </c>
      <c r="E51" s="183" t="s">
        <v>34</v>
      </c>
      <c r="F51" s="114" t="s">
        <v>35</v>
      </c>
      <c r="G51" s="111"/>
      <c r="H51" s="111"/>
      <c r="I51" s="113" t="s">
        <v>3690</v>
      </c>
    </row>
    <row r="52">
      <c r="A52" s="350"/>
      <c r="B52" s="351"/>
      <c r="C52" s="362"/>
      <c r="D52" s="356" t="s">
        <v>3691</v>
      </c>
      <c r="E52" s="350"/>
      <c r="F52" s="351"/>
      <c r="G52" s="351"/>
      <c r="H52" s="351"/>
      <c r="I52" s="350"/>
    </row>
    <row r="53">
      <c r="A53" s="110">
        <v>34401.0</v>
      </c>
      <c r="B53" s="114" t="s">
        <v>32</v>
      </c>
      <c r="C53" s="135" t="str">
        <f>HYPERLINK("http://phish.net/sideshows//?d=1994-03-08", "setlist")</f>
        <v>setlist</v>
      </c>
      <c r="D53" s="183" t="s">
        <v>2811</v>
      </c>
      <c r="E53" s="183" t="s">
        <v>34</v>
      </c>
      <c r="F53" s="114" t="s">
        <v>35</v>
      </c>
      <c r="G53" s="114" t="s">
        <v>36</v>
      </c>
      <c r="H53" s="116" t="str">
        <f>HYPERLINK("http://www.mediafire.com/?xrwnnaxur4jqx", "download link")</f>
        <v>download link</v>
      </c>
      <c r="I53" s="113" t="s">
        <v>3692</v>
      </c>
    </row>
    <row r="54">
      <c r="A54" s="350"/>
      <c r="B54" s="351"/>
      <c r="C54" s="362"/>
      <c r="D54" s="356" t="s">
        <v>3685</v>
      </c>
      <c r="E54" s="350"/>
      <c r="F54" s="351"/>
      <c r="G54" s="351"/>
      <c r="H54" s="351"/>
      <c r="I54" s="350"/>
    </row>
    <row r="55">
      <c r="A55" s="110">
        <v>34402.0</v>
      </c>
      <c r="B55" s="114" t="s">
        <v>32</v>
      </c>
      <c r="C55" s="135" t="str">
        <f>HYPERLINK("http://phish.net/sideshows/guest-appearance/?showid=1327680374", "setlist")</f>
        <v>setlist</v>
      </c>
      <c r="D55" s="183" t="s">
        <v>3222</v>
      </c>
      <c r="E55" s="183" t="s">
        <v>34</v>
      </c>
      <c r="F55" s="114" t="s">
        <v>35</v>
      </c>
      <c r="G55" s="114" t="s">
        <v>36</v>
      </c>
      <c r="H55" s="116" t="str">
        <f>HYPERLINK("http://www.mediafire.com/?6r8p37bzdc8ss", "download link")</f>
        <v>download link</v>
      </c>
      <c r="I55" s="113" t="s">
        <v>2885</v>
      </c>
    </row>
    <row r="56">
      <c r="A56" s="350"/>
      <c r="B56" s="351"/>
      <c r="C56" s="362"/>
      <c r="D56" s="356" t="s">
        <v>3667</v>
      </c>
      <c r="E56" s="350"/>
      <c r="F56" s="351"/>
      <c r="G56" s="351"/>
      <c r="H56" s="351"/>
      <c r="I56" s="350"/>
    </row>
    <row r="57">
      <c r="A57" s="110">
        <v>34402.0</v>
      </c>
      <c r="B57" s="114" t="s">
        <v>32</v>
      </c>
      <c r="C57" s="116" t="str">
        <f>HYPERLINK("http://phish.net/sideshows/guest-appearance/?d=1994-03-09", "setlist")</f>
        <v>setlist</v>
      </c>
      <c r="D57" s="183" t="s">
        <v>260</v>
      </c>
      <c r="E57" s="183" t="s">
        <v>94</v>
      </c>
      <c r="F57" s="114" t="s">
        <v>95</v>
      </c>
      <c r="G57" s="114" t="s">
        <v>36</v>
      </c>
      <c r="H57" s="116" t="str">
        <f>HYPERLINK("http://www.mediafire.com/?ijtu1jqjffp5r", "download link")</f>
        <v>download link</v>
      </c>
      <c r="I57" s="113" t="s">
        <v>2787</v>
      </c>
    </row>
    <row r="58">
      <c r="A58" s="103">
        <v>34404.0</v>
      </c>
      <c r="B58" s="107" t="s">
        <v>32</v>
      </c>
      <c r="C58" s="105" t="str">
        <f>HYPERLINK("http://phish.net/sideshows/guest-appearance/?d=1994-03-11", "setlist")</f>
        <v>setlist</v>
      </c>
      <c r="D58" s="181" t="s">
        <v>2804</v>
      </c>
      <c r="E58" s="181" t="s">
        <v>34</v>
      </c>
      <c r="F58" s="107" t="s">
        <v>35</v>
      </c>
      <c r="G58" s="107" t="s">
        <v>36</v>
      </c>
      <c r="H58" s="105" t="str">
        <f>HYPERLINK("http://www.mediafire.com/?dtzait2bwpdc3", "download link")</f>
        <v>download link</v>
      </c>
      <c r="I58" s="106" t="s">
        <v>3693</v>
      </c>
    </row>
    <row r="59">
      <c r="A59" s="110">
        <v>34406.0</v>
      </c>
      <c r="B59" s="158"/>
      <c r="C59" s="116" t="str">
        <f>HYPERLINK("http://phish.net/sideshows/trey-anastasio-band/?d="&amp;RIGHT(TEXT(A59,"mm/dd/yyyy"),4)&amp;"-"&amp;LEFT(TEXT(A59,"mm/dd/yyyy"),2)&amp;"-"&amp;MID(TEXT(A59,"mm/dd/yyyy"),4,2), "setlist")</f>
        <v>setlist</v>
      </c>
      <c r="D59" s="149" t="s">
        <v>3694</v>
      </c>
      <c r="E59" s="183" t="s">
        <v>390</v>
      </c>
      <c r="F59" s="114" t="s">
        <v>35</v>
      </c>
      <c r="G59" s="158"/>
      <c r="H59" s="138"/>
      <c r="I59" s="149" t="s">
        <v>2889</v>
      </c>
    </row>
    <row r="60">
      <c r="A60" s="103">
        <v>34446.0</v>
      </c>
      <c r="B60" s="104"/>
      <c r="C60" s="105" t="str">
        <f>HYPERLINK("http://phish.net/sideshows/guest-appearance/?showid=1326677671", "setlist")</f>
        <v>setlist</v>
      </c>
      <c r="D60" s="181" t="s">
        <v>3695</v>
      </c>
      <c r="E60" s="181" t="s">
        <v>439</v>
      </c>
      <c r="F60" s="107" t="s">
        <v>430</v>
      </c>
      <c r="G60" s="104"/>
      <c r="H60" s="104"/>
      <c r="I60" s="106" t="s">
        <v>3696</v>
      </c>
    </row>
    <row r="61">
      <c r="A61" s="350"/>
      <c r="B61" s="351"/>
      <c r="C61" s="362"/>
      <c r="D61" s="356" t="s">
        <v>3697</v>
      </c>
      <c r="E61" s="350"/>
      <c r="F61" s="351"/>
      <c r="G61" s="351"/>
      <c r="H61" s="351"/>
      <c r="I61" s="350"/>
    </row>
    <row r="62">
      <c r="A62" s="110">
        <v>34447.0</v>
      </c>
      <c r="B62" s="111"/>
      <c r="C62" s="116" t="str">
        <f>HYPERLINK("http://phish.net/sideshows/guest-appearance/?showid=1327641019", "setlist")</f>
        <v>setlist</v>
      </c>
      <c r="D62" s="183" t="s">
        <v>761</v>
      </c>
      <c r="E62" s="183" t="s">
        <v>437</v>
      </c>
      <c r="F62" s="114" t="s">
        <v>433</v>
      </c>
      <c r="G62" s="111"/>
      <c r="H62" s="111"/>
      <c r="I62" s="113" t="s">
        <v>3698</v>
      </c>
    </row>
    <row r="63">
      <c r="A63" s="350"/>
      <c r="B63" s="351"/>
      <c r="C63" s="362"/>
      <c r="D63" s="356" t="s">
        <v>3660</v>
      </c>
      <c r="E63" s="350"/>
      <c r="F63" s="351"/>
      <c r="G63" s="351"/>
      <c r="H63" s="351"/>
      <c r="I63" s="350"/>
    </row>
    <row r="64">
      <c r="A64" s="110">
        <v>34452.0</v>
      </c>
      <c r="B64" s="114" t="s">
        <v>32</v>
      </c>
      <c r="C64" s="135" t="str">
        <f>HYPERLINK("http://phish.net/sideshows/guest-appearance/?showid=1326338133", "setlist")</f>
        <v>setlist</v>
      </c>
      <c r="D64" s="183" t="s">
        <v>1352</v>
      </c>
      <c r="E64" s="183" t="s">
        <v>1353</v>
      </c>
      <c r="F64" s="114" t="s">
        <v>1133</v>
      </c>
      <c r="G64" s="114" t="s">
        <v>36</v>
      </c>
      <c r="H64" s="116" t="str">
        <f>HYPERLINK("http://www.mediafire.com/?969m6lvnl5099", "download link")</f>
        <v>download link</v>
      </c>
      <c r="I64" s="113" t="s">
        <v>3661</v>
      </c>
    </row>
    <row r="65">
      <c r="A65" s="350"/>
      <c r="B65" s="351"/>
      <c r="C65" s="362"/>
      <c r="D65" s="356" t="s">
        <v>3691</v>
      </c>
      <c r="E65" s="350"/>
      <c r="F65" s="351"/>
      <c r="G65" s="351"/>
      <c r="H65" s="351"/>
      <c r="I65" s="350"/>
    </row>
    <row r="66">
      <c r="A66" s="110">
        <v>34488.0</v>
      </c>
      <c r="B66" s="111"/>
      <c r="C66" s="135" t="str">
        <f>HYPERLINK("http://phish.net/sideshows//?d=1994-06-03", "setlist")</f>
        <v>setlist</v>
      </c>
      <c r="D66" s="183" t="s">
        <v>2811</v>
      </c>
      <c r="E66" s="183" t="s">
        <v>34</v>
      </c>
      <c r="F66" s="114" t="s">
        <v>35</v>
      </c>
      <c r="G66" s="111"/>
      <c r="H66" s="359"/>
      <c r="I66" s="113" t="s">
        <v>3699</v>
      </c>
    </row>
    <row r="67">
      <c r="A67" s="350"/>
      <c r="B67" s="351"/>
      <c r="C67" s="352"/>
      <c r="D67" s="356" t="s">
        <v>3700</v>
      </c>
      <c r="E67" s="357"/>
      <c r="F67" s="351"/>
      <c r="G67" s="351"/>
      <c r="H67" s="358"/>
      <c r="I67" s="357"/>
    </row>
    <row r="68">
      <c r="A68" s="110">
        <v>34503.0</v>
      </c>
      <c r="B68" s="111"/>
      <c r="C68" s="135" t="str">
        <f>HYPERLINK("http://phish.net/sideshows/guest-appearance/?showid=1332467745", "setlist")</f>
        <v>setlist</v>
      </c>
      <c r="D68" s="183" t="s">
        <v>3199</v>
      </c>
      <c r="E68" s="183" t="s">
        <v>479</v>
      </c>
      <c r="F68" s="114" t="s">
        <v>480</v>
      </c>
      <c r="G68" s="114" t="s">
        <v>36</v>
      </c>
      <c r="H68" s="116" t="str">
        <f>HYPERLINK("http://www.mediafire.com/?cl0kigj5zcx6g", "download link")</f>
        <v>download link</v>
      </c>
      <c r="I68" s="183" t="s">
        <v>2889</v>
      </c>
    </row>
    <row r="69">
      <c r="A69" s="350"/>
      <c r="B69" s="351"/>
      <c r="C69" s="362"/>
      <c r="D69" s="356" t="s">
        <v>3691</v>
      </c>
      <c r="E69" s="350"/>
      <c r="F69" s="351"/>
      <c r="G69" s="351"/>
      <c r="H69" s="351"/>
      <c r="I69" s="350"/>
    </row>
    <row r="70">
      <c r="A70" s="142">
        <v>34541.0</v>
      </c>
      <c r="B70" s="144"/>
      <c r="C70" s="116" t="str">
        <f>HYPERLINK("http://phish.net/sideshows//?d=1994-07-26", "setlist")</f>
        <v>setlist</v>
      </c>
      <c r="D70" s="272" t="s">
        <v>2811</v>
      </c>
      <c r="E70" s="272" t="s">
        <v>34</v>
      </c>
      <c r="F70" s="115" t="s">
        <v>35</v>
      </c>
      <c r="G70" s="144"/>
      <c r="H70" s="379"/>
      <c r="I70" s="118" t="s">
        <v>3692</v>
      </c>
    </row>
    <row r="71">
      <c r="A71" s="350"/>
      <c r="B71" s="351"/>
      <c r="C71" s="362"/>
      <c r="D71" s="356" t="s">
        <v>3701</v>
      </c>
      <c r="E71" s="350"/>
      <c r="F71" s="351"/>
      <c r="G71" s="351"/>
      <c r="H71" s="351"/>
      <c r="I71" s="350"/>
    </row>
    <row r="72">
      <c r="A72" s="110">
        <v>34559.0</v>
      </c>
      <c r="B72" s="111"/>
      <c r="C72" s="116" t="str">
        <f>HYPERLINK("http://phish.net/sideshows/guest-appearance/?d=1994-08-13", "setlist")</f>
        <v>setlist</v>
      </c>
      <c r="D72" s="183" t="s">
        <v>3702</v>
      </c>
      <c r="E72" s="183" t="s">
        <v>1011</v>
      </c>
      <c r="F72" s="114" t="s">
        <v>35</v>
      </c>
      <c r="G72" s="111"/>
      <c r="H72" s="359"/>
      <c r="I72" s="113" t="s">
        <v>3703</v>
      </c>
    </row>
    <row r="73">
      <c r="A73" s="350"/>
      <c r="B73" s="351"/>
      <c r="C73" s="362"/>
      <c r="D73" s="356" t="s">
        <v>3704</v>
      </c>
      <c r="E73" s="350"/>
      <c r="F73" s="351"/>
      <c r="G73" s="351"/>
      <c r="H73" s="351"/>
      <c r="I73" s="350"/>
    </row>
    <row r="74">
      <c r="A74" s="110">
        <v>34580.0</v>
      </c>
      <c r="B74" s="111"/>
      <c r="C74" s="116" t="str">
        <f>HYPERLINK("http://phish.net/sideshows/guest-appearance/?d=1994-09-03", "setlist")</f>
        <v>setlist</v>
      </c>
      <c r="D74" s="183" t="s">
        <v>2804</v>
      </c>
      <c r="E74" s="183" t="s">
        <v>34</v>
      </c>
      <c r="F74" s="114" t="s">
        <v>35</v>
      </c>
      <c r="G74" s="111"/>
      <c r="H74" s="359"/>
      <c r="I74" s="113" t="s">
        <v>3705</v>
      </c>
    </row>
    <row r="75">
      <c r="A75" s="350"/>
      <c r="B75" s="351"/>
      <c r="C75" s="362"/>
      <c r="D75" s="356" t="s">
        <v>3691</v>
      </c>
      <c r="E75" s="350"/>
      <c r="F75" s="351"/>
      <c r="G75" s="351"/>
      <c r="H75" s="351"/>
      <c r="I75" s="350"/>
    </row>
    <row r="76">
      <c r="A76" s="142">
        <v>34648.0</v>
      </c>
      <c r="B76" s="144"/>
      <c r="C76" s="116" t="str">
        <f>HYPERLINK("http://phish.net/sideshows//?d=1994-11-10", "setlist")</f>
        <v>setlist</v>
      </c>
      <c r="D76" s="272" t="s">
        <v>2811</v>
      </c>
      <c r="E76" s="272" t="s">
        <v>34</v>
      </c>
      <c r="F76" s="115" t="s">
        <v>35</v>
      </c>
      <c r="G76" s="144"/>
      <c r="H76" s="379"/>
      <c r="I76" s="118" t="s">
        <v>3706</v>
      </c>
    </row>
    <row r="77">
      <c r="A77" s="350"/>
      <c r="B77" s="351"/>
      <c r="C77" s="362"/>
      <c r="D77" s="356" t="s">
        <v>3707</v>
      </c>
      <c r="E77" s="350"/>
      <c r="F77" s="351"/>
      <c r="G77" s="351"/>
      <c r="H77" s="351"/>
      <c r="I77" s="350"/>
    </row>
    <row r="78">
      <c r="A78" s="110">
        <v>34725.0</v>
      </c>
      <c r="B78" s="114" t="s">
        <v>32</v>
      </c>
      <c r="C78" s="135" t="str">
        <f>HYPERLINK("http://phish.net/sideshows/guest-appearance/?d=1995-01-26", "setlist")</f>
        <v>setlist</v>
      </c>
      <c r="D78" s="183" t="s">
        <v>2895</v>
      </c>
      <c r="E78" s="183" t="s">
        <v>34</v>
      </c>
      <c r="F78" s="114" t="s">
        <v>35</v>
      </c>
      <c r="G78" s="114" t="s">
        <v>36</v>
      </c>
      <c r="H78" s="116" t="str">
        <f>HYPERLINK("http://www.mediafire.com/?dqa3cxnaz7gnn", "download link")</f>
        <v>download link</v>
      </c>
      <c r="I78" s="113" t="s">
        <v>3708</v>
      </c>
    </row>
    <row r="79">
      <c r="A79" s="350"/>
      <c r="B79" s="351"/>
      <c r="C79" s="362"/>
      <c r="D79" s="356" t="s">
        <v>3691</v>
      </c>
      <c r="E79" s="350"/>
      <c r="F79" s="351"/>
      <c r="G79" s="351"/>
      <c r="H79" s="351"/>
      <c r="I79" s="350"/>
    </row>
    <row r="80">
      <c r="A80" s="110">
        <v>34733.0</v>
      </c>
      <c r="B80" s="114" t="s">
        <v>32</v>
      </c>
      <c r="C80" s="135" t="str">
        <f>HYPERLINK("http://phish.net/sideshows/guest-appearance/?d=1995-02-03", "setlist")</f>
        <v>setlist</v>
      </c>
      <c r="D80" s="183" t="s">
        <v>3709</v>
      </c>
      <c r="E80" s="183" t="s">
        <v>96</v>
      </c>
      <c r="F80" s="114" t="s">
        <v>35</v>
      </c>
      <c r="G80" s="114" t="s">
        <v>36</v>
      </c>
      <c r="H80" s="116" t="str">
        <f>HYPERLINK("http://www.mediafire.com/?hop44n3qpdmxi", "download link")</f>
        <v>download link</v>
      </c>
      <c r="I80" s="113" t="s">
        <v>3699</v>
      </c>
    </row>
    <row r="81">
      <c r="A81" s="103">
        <v>34740.0</v>
      </c>
      <c r="B81" s="104"/>
      <c r="C81" s="105" t="str">
        <f>HYPERLINK("http://phish.net/sideshows/guest-appearance/?d=1995-02-10", "setlist")</f>
        <v>setlist</v>
      </c>
      <c r="D81" s="181" t="s">
        <v>2811</v>
      </c>
      <c r="E81" s="181" t="s">
        <v>34</v>
      </c>
      <c r="F81" s="107" t="s">
        <v>35</v>
      </c>
      <c r="G81" s="107" t="s">
        <v>36</v>
      </c>
      <c r="H81" s="105" t="str">
        <f>HYPERLINK("http://www.mediafire.com/?793xbsfac0bez", "download link")</f>
        <v>download link</v>
      </c>
      <c r="I81" s="106" t="s">
        <v>3710</v>
      </c>
    </row>
    <row r="82">
      <c r="A82" s="350"/>
      <c r="B82" s="351"/>
      <c r="C82" s="362"/>
      <c r="D82" s="356" t="s">
        <v>3707</v>
      </c>
      <c r="E82" s="350"/>
      <c r="F82" s="351"/>
      <c r="G82" s="351"/>
      <c r="H82" s="351"/>
      <c r="I82" s="350"/>
    </row>
    <row r="83">
      <c r="A83" s="142">
        <v>34754.0</v>
      </c>
      <c r="B83" s="115" t="s">
        <v>32</v>
      </c>
      <c r="C83" s="116" t="str">
        <f>HYPERLINK("http://phish.net/sideshows/guest-appearance/?d=1995-02-24", "setlist")</f>
        <v>setlist</v>
      </c>
      <c r="D83" s="272" t="s">
        <v>863</v>
      </c>
      <c r="E83" s="272" t="s">
        <v>162</v>
      </c>
      <c r="F83" s="115" t="s">
        <v>129</v>
      </c>
      <c r="G83" s="115" t="s">
        <v>36</v>
      </c>
      <c r="H83" s="116" t="str">
        <f>HYPERLINK("http://www.mediafire.com/?jc2l9ug54brvq", "download link")</f>
        <v>download link</v>
      </c>
      <c r="I83" s="118" t="s">
        <v>3661</v>
      </c>
    </row>
    <row r="84">
      <c r="A84" s="350"/>
      <c r="B84" s="351"/>
      <c r="C84" s="352"/>
      <c r="D84" s="353" t="s">
        <v>3200</v>
      </c>
      <c r="E84" s="351"/>
      <c r="F84" s="351"/>
      <c r="G84" s="354"/>
      <c r="H84" s="351"/>
      <c r="I84" s="355"/>
    </row>
    <row r="85">
      <c r="A85" s="110">
        <v>34763.0</v>
      </c>
      <c r="B85" s="111"/>
      <c r="C85" s="135" t="str">
        <f>HYPERLINK("http://phish.net/sideshows/trey-anastasio-band/?d="&amp;RIGHT(TEXT(A85,"mm/dd/yyyy"),4)&amp;"-"&amp;LEFT(TEXT(A85,"mm/dd/yyyy"),2)&amp;"-"&amp;MID(TEXT(A85,"mm/dd/yyyy"),4,2), "setlist")</f>
        <v>setlist</v>
      </c>
      <c r="D85" s="183" t="s">
        <v>3711</v>
      </c>
      <c r="E85" s="183" t="s">
        <v>34</v>
      </c>
      <c r="F85" s="114" t="s">
        <v>35</v>
      </c>
      <c r="G85" s="111"/>
      <c r="H85" s="359"/>
      <c r="I85" s="113" t="s">
        <v>3712</v>
      </c>
    </row>
    <row r="86">
      <c r="A86" s="350"/>
      <c r="B86" s="351"/>
      <c r="C86" s="362"/>
      <c r="D86" s="356" t="s">
        <v>3713</v>
      </c>
      <c r="E86" s="350"/>
      <c r="F86" s="351"/>
      <c r="G86" s="351"/>
      <c r="H86" s="351"/>
      <c r="I86" s="350"/>
    </row>
    <row r="87">
      <c r="A87" s="110">
        <v>34797.0</v>
      </c>
      <c r="B87" s="111"/>
      <c r="C87" s="135" t="str">
        <f>HYPERLINK("http://phish.net/sideshows/guest-appearance/?d=1995-04-08", "setlist")</f>
        <v>setlist</v>
      </c>
      <c r="D87" s="183" t="s">
        <v>3714</v>
      </c>
      <c r="E87" s="183" t="s">
        <v>311</v>
      </c>
      <c r="F87" s="114" t="s">
        <v>129</v>
      </c>
      <c r="G87" s="111"/>
      <c r="H87" s="359"/>
      <c r="I87" s="113" t="s">
        <v>3715</v>
      </c>
    </row>
    <row r="88">
      <c r="A88" s="350"/>
      <c r="B88" s="351"/>
      <c r="C88" s="362"/>
      <c r="D88" s="356" t="s">
        <v>3691</v>
      </c>
      <c r="E88" s="350"/>
      <c r="F88" s="351"/>
      <c r="G88" s="351"/>
      <c r="H88" s="351"/>
      <c r="I88" s="350"/>
    </row>
    <row r="89">
      <c r="A89" s="110">
        <v>34819.0</v>
      </c>
      <c r="B89" s="111"/>
      <c r="C89" s="135" t="str">
        <f>HYPERLINK("http://phish.net/sideshows/guest-appearance/?d=1995-04-30", "setlist")</f>
        <v>setlist</v>
      </c>
      <c r="D89" s="183" t="s">
        <v>3716</v>
      </c>
      <c r="E89" s="183" t="s">
        <v>585</v>
      </c>
      <c r="F89" s="114" t="s">
        <v>586</v>
      </c>
      <c r="G89" s="111"/>
      <c r="H89" s="359"/>
      <c r="I89" s="113" t="s">
        <v>3692</v>
      </c>
    </row>
    <row r="90">
      <c r="A90" s="350"/>
      <c r="B90" s="351"/>
      <c r="C90" s="362"/>
      <c r="D90" s="356" t="s">
        <v>3717</v>
      </c>
      <c r="E90" s="350"/>
      <c r="F90" s="351"/>
      <c r="G90" s="351"/>
      <c r="H90" s="351"/>
      <c r="I90" s="350"/>
    </row>
    <row r="91">
      <c r="A91" s="110">
        <v>34908.0</v>
      </c>
      <c r="B91" s="114" t="s">
        <v>32</v>
      </c>
      <c r="C91" s="135" t="str">
        <f>HYPERLINK("http://phish.net/sideshows/guest-appearance/?d=1995-07-28", "setlist")</f>
        <v>setlist</v>
      </c>
      <c r="D91" s="183" t="s">
        <v>2804</v>
      </c>
      <c r="E91" s="183" t="s">
        <v>34</v>
      </c>
      <c r="F91" s="114" t="s">
        <v>35</v>
      </c>
      <c r="G91" s="114" t="s">
        <v>36</v>
      </c>
      <c r="H91" s="116" t="str">
        <f>HYPERLINK("http://www.mediafire.com/?6nlhyogg866fr", "download link")</f>
        <v>download link</v>
      </c>
      <c r="I91" s="113" t="s">
        <v>3718</v>
      </c>
    </row>
    <row r="92">
      <c r="A92" s="350"/>
      <c r="B92" s="351"/>
      <c r="C92" s="362"/>
      <c r="D92" s="356" t="s">
        <v>3719</v>
      </c>
      <c r="E92" s="350"/>
      <c r="F92" s="351"/>
      <c r="G92" s="351"/>
      <c r="H92" s="351"/>
      <c r="I92" s="350"/>
    </row>
    <row r="93">
      <c r="A93" s="110">
        <v>34910.0</v>
      </c>
      <c r="B93" s="114" t="s">
        <v>32</v>
      </c>
      <c r="C93" s="135" t="str">
        <f>HYPERLINK("http://phish.net/sideshows/guest-appearance/?d=1995-07-30", "setlist")</f>
        <v>setlist</v>
      </c>
      <c r="D93" s="183" t="s">
        <v>3281</v>
      </c>
      <c r="E93" s="183" t="s">
        <v>3282</v>
      </c>
      <c r="F93" s="114" t="s">
        <v>129</v>
      </c>
      <c r="G93" s="114" t="s">
        <v>36</v>
      </c>
      <c r="H93" s="116" t="str">
        <f>HYPERLINK("http://www.mediafire.com/?rvyzyrbih55b8", "download link")</f>
        <v>download link</v>
      </c>
      <c r="I93" s="113" t="s">
        <v>3720</v>
      </c>
    </row>
    <row r="94">
      <c r="A94" s="350"/>
      <c r="B94" s="351"/>
      <c r="C94" s="362"/>
      <c r="D94" s="356" t="s">
        <v>3701</v>
      </c>
      <c r="E94" s="350"/>
      <c r="F94" s="351"/>
      <c r="G94" s="351"/>
      <c r="H94" s="351"/>
      <c r="I94" s="350"/>
    </row>
    <row r="95">
      <c r="A95" s="110">
        <v>34945.0</v>
      </c>
      <c r="B95" s="111"/>
      <c r="C95" s="135" t="str">
        <f>HYPERLINK("http://phish.net/sideshows/page-mcconnell/1995.html", "setlist")</f>
        <v>setlist</v>
      </c>
      <c r="D95" s="183" t="s">
        <v>3721</v>
      </c>
      <c r="E95" s="183" t="s">
        <v>2463</v>
      </c>
      <c r="F95" s="114" t="s">
        <v>35</v>
      </c>
      <c r="G95" s="111"/>
      <c r="H95" s="359"/>
      <c r="I95" s="113" t="s">
        <v>3722</v>
      </c>
    </row>
    <row r="96">
      <c r="A96" s="350"/>
      <c r="B96" s="351"/>
      <c r="C96" s="362"/>
      <c r="D96" s="356" t="s">
        <v>3723</v>
      </c>
      <c r="E96" s="350"/>
      <c r="F96" s="351"/>
      <c r="G96" s="351"/>
      <c r="H96" s="351"/>
      <c r="I96" s="350"/>
    </row>
    <row r="97">
      <c r="A97" s="110">
        <v>34986.0</v>
      </c>
      <c r="B97" s="114" t="s">
        <v>32</v>
      </c>
      <c r="C97" s="135" t="str">
        <f>HYPERLINK("http://phish.net/sideshows/guest-appearance/?showid=1328153435", "setlist")</f>
        <v>setlist</v>
      </c>
      <c r="D97" s="183" t="s">
        <v>3409</v>
      </c>
      <c r="E97" s="183" t="s">
        <v>591</v>
      </c>
      <c r="F97" s="114" t="s">
        <v>589</v>
      </c>
      <c r="G97" s="114" t="s">
        <v>36</v>
      </c>
      <c r="H97" s="116" t="str">
        <f>HYPERLINK("http://www.mediafire.com/?pm0bshm80buz8", "download link")</f>
        <v>download link</v>
      </c>
      <c r="I97" s="113" t="s">
        <v>3671</v>
      </c>
    </row>
    <row r="98">
      <c r="A98" s="350"/>
      <c r="B98" s="351"/>
      <c r="C98" s="362"/>
      <c r="D98" s="356" t="s">
        <v>3719</v>
      </c>
      <c r="E98" s="350"/>
      <c r="F98" s="351"/>
      <c r="G98" s="351"/>
      <c r="H98" s="351"/>
      <c r="I98" s="350"/>
    </row>
    <row r="99">
      <c r="A99" s="110">
        <v>35119.0</v>
      </c>
      <c r="B99" s="111"/>
      <c r="C99" s="135" t="str">
        <f>HYPERLINK("http://phish.net/sideshows/guest-appearance/?d=1996-02-24", "setlist")</f>
        <v>setlist</v>
      </c>
      <c r="D99" s="183" t="s">
        <v>2811</v>
      </c>
      <c r="E99" s="183" t="s">
        <v>34</v>
      </c>
      <c r="F99" s="114" t="s">
        <v>35</v>
      </c>
      <c r="G99" s="114" t="s">
        <v>36</v>
      </c>
      <c r="H99" s="116" t="str">
        <f>HYPERLINK("http://www.mediafire.com/?fmgxpxmu1ahfp","download link")</f>
        <v>download link</v>
      </c>
      <c r="I99" s="113" t="s">
        <v>3724</v>
      </c>
    </row>
    <row r="100">
      <c r="A100" s="350"/>
      <c r="B100" s="351"/>
      <c r="C100" s="362"/>
      <c r="D100" s="356" t="s">
        <v>3725</v>
      </c>
      <c r="E100" s="350"/>
      <c r="F100" s="351"/>
      <c r="G100" s="351"/>
      <c r="H100" s="351"/>
      <c r="I100" s="350"/>
    </row>
    <row r="101">
      <c r="A101" s="110">
        <v>35125.0</v>
      </c>
      <c r="B101" s="111"/>
      <c r="C101" s="135" t="str">
        <f>HYPERLINK("http://phish.net/sideshows/guest-appearance/?d=1996-03-01", "setlist")</f>
        <v>setlist</v>
      </c>
      <c r="D101" s="183" t="s">
        <v>1330</v>
      </c>
      <c r="E101" s="183" t="s">
        <v>162</v>
      </c>
      <c r="F101" s="114" t="s">
        <v>129</v>
      </c>
      <c r="G101" s="111"/>
      <c r="H101" s="359"/>
      <c r="I101" s="113" t="s">
        <v>2941</v>
      </c>
    </row>
    <row r="102">
      <c r="A102" s="350"/>
      <c r="B102" s="351"/>
      <c r="C102" s="362"/>
      <c r="D102" s="356" t="s">
        <v>3697</v>
      </c>
      <c r="E102" s="350"/>
      <c r="F102" s="351"/>
      <c r="G102" s="351"/>
      <c r="H102" s="351"/>
      <c r="I102" s="350"/>
    </row>
    <row r="103">
      <c r="A103" s="110">
        <v>35166.0</v>
      </c>
      <c r="B103" s="114" t="s">
        <v>32</v>
      </c>
      <c r="C103" s="135" t="str">
        <f>HYPERLINK("http://phish.net/sideshows/guest-appearance/?d=1996-04-11", "setlist")</f>
        <v>setlist</v>
      </c>
      <c r="D103" s="183" t="s">
        <v>2811</v>
      </c>
      <c r="E103" s="183" t="s">
        <v>34</v>
      </c>
      <c r="F103" s="114" t="s">
        <v>35</v>
      </c>
      <c r="G103" s="114" t="s">
        <v>36</v>
      </c>
      <c r="H103" s="116" t="str">
        <f>HYPERLINK("http://www.mediafire.com/?1w9n5m27awpqq", "download link")</f>
        <v>download link</v>
      </c>
      <c r="I103" s="118" t="s">
        <v>3726</v>
      </c>
    </row>
    <row r="104">
      <c r="A104" s="350"/>
      <c r="B104" s="351"/>
      <c r="C104" s="352"/>
      <c r="D104" s="356" t="s">
        <v>3691</v>
      </c>
      <c r="E104" s="357"/>
      <c r="F104" s="351"/>
      <c r="G104" s="351"/>
      <c r="H104" s="358"/>
      <c r="I104" s="357"/>
    </row>
    <row r="105">
      <c r="A105" s="110">
        <v>35183.0</v>
      </c>
      <c r="B105" s="114" t="s">
        <v>32</v>
      </c>
      <c r="C105" s="116" t="str">
        <f>HYPERLINK("http://phish.net/sideshows/guest-appearance/?d=1996-04-28", "setlist")</f>
        <v>setlist</v>
      </c>
      <c r="D105" s="183" t="s">
        <v>3716</v>
      </c>
      <c r="E105" s="183" t="s">
        <v>585</v>
      </c>
      <c r="F105" s="114" t="s">
        <v>586</v>
      </c>
      <c r="G105" s="114" t="s">
        <v>3727</v>
      </c>
      <c r="H105" s="116" t="str">
        <f>HYPERLINK("http://www.mediafire.com/?l29f24s1exb8i", "download link")</f>
        <v>download link</v>
      </c>
      <c r="I105" s="183" t="s">
        <v>3728</v>
      </c>
    </row>
    <row r="106">
      <c r="A106" s="350"/>
      <c r="B106" s="351"/>
      <c r="C106" s="362"/>
      <c r="D106" s="356" t="s">
        <v>3729</v>
      </c>
      <c r="E106" s="350"/>
      <c r="F106" s="351"/>
      <c r="G106" s="351"/>
      <c r="H106" s="351"/>
      <c r="I106" s="350"/>
    </row>
    <row r="107">
      <c r="A107" s="110">
        <v>35183.0</v>
      </c>
      <c r="B107" s="111"/>
      <c r="C107" s="135" t="str">
        <f>HYPERLINK("http://phish.net/sideshows/guest-appearance/?showid=1328929379", "setlist")</f>
        <v>setlist</v>
      </c>
      <c r="D107" s="183" t="s">
        <v>3730</v>
      </c>
      <c r="E107" s="183" t="s">
        <v>585</v>
      </c>
      <c r="F107" s="114" t="s">
        <v>586</v>
      </c>
      <c r="G107" s="111"/>
      <c r="H107" s="359"/>
      <c r="I107" s="113" t="s">
        <v>3731</v>
      </c>
    </row>
    <row r="108">
      <c r="A108" s="350"/>
      <c r="B108" s="351"/>
      <c r="C108" s="362"/>
      <c r="D108" s="356" t="s">
        <v>3669</v>
      </c>
      <c r="E108" s="350"/>
      <c r="F108" s="351"/>
      <c r="G108" s="351"/>
      <c r="H108" s="351"/>
      <c r="I108" s="350"/>
    </row>
    <row r="109">
      <c r="A109" s="110">
        <v>35248.0</v>
      </c>
      <c r="B109" s="111"/>
      <c r="C109" s="135" t="str">
        <f>HYPERLINK("http://phish.net/sideshows/guest-appearance/?showid=1326698299", "setlist")</f>
        <v>setlist</v>
      </c>
      <c r="D109" s="183" t="s">
        <v>3732</v>
      </c>
      <c r="E109" s="183" t="s">
        <v>3733</v>
      </c>
      <c r="F109" s="114" t="s">
        <v>1694</v>
      </c>
      <c r="G109" s="114" t="s">
        <v>3354</v>
      </c>
      <c r="H109" s="116" t="str">
        <f>HYPERLINK("http://www.mediafire.com/download/prd2txht7krw2br/1996-07-02_-_Pista_Speedway_-_Lonigo%2C_Italy.rar", "download link")</f>
        <v>download link</v>
      </c>
      <c r="I109" s="113" t="s">
        <v>3734</v>
      </c>
    </row>
    <row r="110">
      <c r="A110" s="103">
        <v>35265.0</v>
      </c>
      <c r="B110" s="104"/>
      <c r="C110" s="105" t="str">
        <f>HYPERLINK("http://phish.net/sideshows/guest-appearance/?showid=1326698986", "setlist")</f>
        <v>setlist</v>
      </c>
      <c r="D110" s="181" t="s">
        <v>1722</v>
      </c>
      <c r="E110" s="181" t="s">
        <v>1723</v>
      </c>
      <c r="F110" s="107" t="s">
        <v>980</v>
      </c>
      <c r="G110" s="104"/>
      <c r="H110" s="104"/>
      <c r="I110" s="106" t="s">
        <v>3674</v>
      </c>
    </row>
    <row r="111">
      <c r="A111" s="350"/>
      <c r="B111" s="351"/>
      <c r="C111" s="352"/>
      <c r="D111" s="353" t="s">
        <v>3200</v>
      </c>
      <c r="E111" s="351"/>
      <c r="F111" s="351"/>
      <c r="G111" s="354"/>
      <c r="H111" s="351"/>
      <c r="I111" s="355"/>
    </row>
    <row r="112">
      <c r="A112" s="142">
        <v>35341.0</v>
      </c>
      <c r="B112" s="144"/>
      <c r="C112" s="116" t="str">
        <f>HYPERLINK("http://phish.net/sideshows/trey-anastasio-band/?d="&amp;RIGHT(TEXT(A112,"mm/dd/yyyy"),4)&amp;"-"&amp;LEFT(TEXT(A112,"mm/dd/yyyy"),2)&amp;"-"&amp;MID(TEXT(A112,"mm/dd/yyyy"),4,2), "setlist")</f>
        <v>setlist</v>
      </c>
      <c r="D112" s="272" t="s">
        <v>3735</v>
      </c>
      <c r="E112" s="272" t="s">
        <v>34</v>
      </c>
      <c r="F112" s="115" t="s">
        <v>35</v>
      </c>
      <c r="G112" s="144"/>
      <c r="H112" s="379"/>
      <c r="I112" s="118" t="s">
        <v>3736</v>
      </c>
    </row>
    <row r="113">
      <c r="A113" s="350"/>
      <c r="B113" s="351"/>
      <c r="C113" s="362"/>
      <c r="D113" s="356" t="s">
        <v>3737</v>
      </c>
      <c r="E113" s="350"/>
      <c r="F113" s="351"/>
      <c r="G113" s="351"/>
      <c r="H113" s="351"/>
      <c r="I113" s="350"/>
    </row>
    <row r="114">
      <c r="A114" s="110">
        <v>35368.0</v>
      </c>
      <c r="B114" s="111"/>
      <c r="C114" s="135" t="str">
        <f>HYPERLINK("http://phish.net/sideshows/guest-appearance/?d=1996-10-30", "setlist")</f>
        <v>setlist</v>
      </c>
      <c r="D114" s="183" t="s">
        <v>447</v>
      </c>
      <c r="E114" s="183" t="s">
        <v>437</v>
      </c>
      <c r="F114" s="114" t="s">
        <v>433</v>
      </c>
      <c r="G114" s="111"/>
      <c r="H114" s="111"/>
      <c r="I114" s="113" t="s">
        <v>3738</v>
      </c>
    </row>
    <row r="115">
      <c r="A115" s="350"/>
      <c r="B115" s="351"/>
      <c r="C115" s="362"/>
      <c r="D115" s="356" t="s">
        <v>3739</v>
      </c>
      <c r="E115" s="350"/>
      <c r="F115" s="351"/>
      <c r="G115" s="351"/>
      <c r="H115" s="351"/>
      <c r="I115" s="350"/>
    </row>
    <row r="116">
      <c r="A116" s="110">
        <v>35386.0</v>
      </c>
      <c r="B116" s="111"/>
      <c r="C116" s="135" t="str">
        <f>HYPERLINK("http://phish.net/sideshows/guest-appearance/?d=1996-11-17", "setlist")</f>
        <v>setlist</v>
      </c>
      <c r="D116" s="183" t="s">
        <v>3740</v>
      </c>
      <c r="E116" s="183" t="s">
        <v>656</v>
      </c>
      <c r="F116" s="114" t="s">
        <v>650</v>
      </c>
      <c r="G116" s="111"/>
      <c r="H116" s="111"/>
      <c r="I116" s="113" t="s">
        <v>3741</v>
      </c>
    </row>
    <row r="117">
      <c r="A117" s="350"/>
      <c r="B117" s="351"/>
      <c r="C117" s="362"/>
      <c r="D117" s="356" t="s">
        <v>3725</v>
      </c>
      <c r="E117" s="350"/>
      <c r="F117" s="351"/>
      <c r="G117" s="351"/>
      <c r="H117" s="351"/>
      <c r="I117" s="350"/>
    </row>
    <row r="118">
      <c r="A118" s="110">
        <v>35515.0</v>
      </c>
      <c r="B118" s="111"/>
      <c r="C118" s="135" t="str">
        <f>HYPERLINK("http://phish.net/sideshows/guest-appearance/?d=1997-03-26", "setlist")</f>
        <v>setlist</v>
      </c>
      <c r="D118" s="183" t="s">
        <v>1330</v>
      </c>
      <c r="E118" s="183" t="s">
        <v>162</v>
      </c>
      <c r="F118" s="114" t="s">
        <v>129</v>
      </c>
      <c r="G118" s="114">
        <v>128.0</v>
      </c>
      <c r="H118" s="116" t="str">
        <f>HYPERLINK("http://www.mediafire.com/?9augocn462dhy","download link")</f>
        <v>download link</v>
      </c>
      <c r="I118" s="113" t="s">
        <v>2812</v>
      </c>
    </row>
    <row r="119">
      <c r="A119" s="350"/>
      <c r="B119" s="351"/>
      <c r="C119" s="362"/>
      <c r="D119" s="356" t="s">
        <v>3742</v>
      </c>
      <c r="E119" s="350"/>
      <c r="F119" s="351"/>
      <c r="G119" s="351"/>
      <c r="H119" s="351"/>
      <c r="I119" s="350"/>
    </row>
    <row r="120">
      <c r="A120" s="110">
        <v>35532.0</v>
      </c>
      <c r="B120" s="111"/>
      <c r="C120" s="135" t="str">
        <f>HYPERLINK("http://phish.net/sideshows/guest-appearance/?d=1997-04-12", "setlist")</f>
        <v>setlist</v>
      </c>
      <c r="D120" s="183" t="s">
        <v>3743</v>
      </c>
      <c r="E120" s="183" t="s">
        <v>311</v>
      </c>
      <c r="F120" s="114" t="s">
        <v>129</v>
      </c>
      <c r="G120" s="111"/>
      <c r="H120" s="111"/>
      <c r="I120" s="113" t="s">
        <v>3744</v>
      </c>
    </row>
    <row r="121">
      <c r="A121" s="350"/>
      <c r="B121" s="351"/>
      <c r="C121" s="362"/>
      <c r="D121" s="356" t="s">
        <v>3719</v>
      </c>
      <c r="E121" s="350"/>
      <c r="F121" s="351"/>
      <c r="G121" s="351"/>
      <c r="H121" s="351"/>
      <c r="I121" s="350"/>
    </row>
    <row r="122">
      <c r="A122" s="110">
        <v>35550.0</v>
      </c>
      <c r="B122" s="114" t="s">
        <v>32</v>
      </c>
      <c r="C122" s="135" t="str">
        <f>HYPERLINK("http://phish.net/sideshows/guest-appearance/?d=1997-04-30", "setlist")</f>
        <v>setlist</v>
      </c>
      <c r="D122" s="183" t="s">
        <v>2811</v>
      </c>
      <c r="E122" s="183" t="s">
        <v>34</v>
      </c>
      <c r="F122" s="114" t="s">
        <v>35</v>
      </c>
      <c r="G122" s="114" t="s">
        <v>36</v>
      </c>
      <c r="H122" s="135" t="str">
        <f>HYPERLINK("http://www.mediafire.com/?clt0490li39g9","download link")</f>
        <v>download link</v>
      </c>
      <c r="I122" s="113" t="s">
        <v>3724</v>
      </c>
    </row>
    <row r="123">
      <c r="A123" s="350"/>
      <c r="B123" s="351"/>
      <c r="C123" s="362"/>
      <c r="D123" s="356" t="s">
        <v>3745</v>
      </c>
      <c r="E123" s="350"/>
      <c r="F123" s="351"/>
      <c r="G123" s="351"/>
      <c r="H123" s="351"/>
      <c r="I123" s="350"/>
    </row>
    <row r="124">
      <c r="A124" s="110">
        <v>35554.0</v>
      </c>
      <c r="B124" s="111"/>
      <c r="C124" s="135" t="str">
        <f>HYPERLINK("http://phish.net/sideshows/guest-appearance/?d=1997-05-04", "setlist")</f>
        <v>setlist</v>
      </c>
      <c r="D124" s="183" t="s">
        <v>3746</v>
      </c>
      <c r="E124" s="183" t="s">
        <v>585</v>
      </c>
      <c r="F124" s="114" t="s">
        <v>586</v>
      </c>
      <c r="G124" s="111"/>
      <c r="H124" s="111"/>
      <c r="I124" s="113" t="s">
        <v>3664</v>
      </c>
    </row>
    <row r="125">
      <c r="A125" s="350"/>
      <c r="B125" s="351"/>
      <c r="C125" s="362"/>
      <c r="D125" s="356" t="s">
        <v>3747</v>
      </c>
      <c r="E125" s="350"/>
      <c r="F125" s="351"/>
      <c r="G125" s="351"/>
      <c r="H125" s="351"/>
      <c r="I125" s="350"/>
    </row>
    <row r="126">
      <c r="A126" s="110">
        <v>35630.0</v>
      </c>
      <c r="B126" s="111"/>
      <c r="C126" s="135" t="str">
        <f>HYPERLINK("http://phish.net/sideshows/guest-appearance/?d=1997-07-19", "setlist")</f>
        <v>setlist</v>
      </c>
      <c r="D126" s="183" t="s">
        <v>3116</v>
      </c>
      <c r="E126" s="183" t="s">
        <v>34</v>
      </c>
      <c r="F126" s="114" t="s">
        <v>35</v>
      </c>
      <c r="G126" s="111"/>
      <c r="H126" s="111"/>
      <c r="I126" s="113" t="s">
        <v>3664</v>
      </c>
    </row>
    <row r="127">
      <c r="A127" s="350"/>
      <c r="B127" s="351"/>
      <c r="C127" s="362"/>
      <c r="D127" s="356" t="s">
        <v>3748</v>
      </c>
      <c r="E127" s="350"/>
      <c r="F127" s="351"/>
      <c r="G127" s="351"/>
      <c r="H127" s="351"/>
      <c r="I127" s="350"/>
    </row>
    <row r="128">
      <c r="A128" s="110">
        <v>35646.0</v>
      </c>
      <c r="B128" s="111"/>
      <c r="C128" s="135" t="str">
        <f>HYPERLINK("http://phish.net/sideshows/guest-appearance/?d=1997-08-04", "setlist")</f>
        <v>setlist</v>
      </c>
      <c r="D128" s="183" t="s">
        <v>3749</v>
      </c>
      <c r="E128" s="183" t="s">
        <v>885</v>
      </c>
      <c r="F128" s="114" t="s">
        <v>886</v>
      </c>
      <c r="G128" s="111"/>
      <c r="H128" s="111"/>
      <c r="I128" s="113" t="s">
        <v>3750</v>
      </c>
    </row>
    <row r="129">
      <c r="A129" s="350"/>
      <c r="B129" s="351"/>
      <c r="C129" s="362"/>
      <c r="D129" s="356" t="s">
        <v>3751</v>
      </c>
      <c r="E129" s="350"/>
      <c r="F129" s="351"/>
      <c r="G129" s="351"/>
      <c r="H129" s="351"/>
      <c r="I129" s="350"/>
    </row>
    <row r="130">
      <c r="A130" s="110">
        <v>35647.0</v>
      </c>
      <c r="B130" s="111"/>
      <c r="C130" s="135" t="str">
        <f>HYPERLINK("http://phish.net/sideshows/guest-appearance/?d=1997-08-05", "setlist")</f>
        <v>setlist</v>
      </c>
      <c r="D130" s="183" t="s">
        <v>3752</v>
      </c>
      <c r="E130" s="183" t="s">
        <v>885</v>
      </c>
      <c r="F130" s="114" t="s">
        <v>886</v>
      </c>
      <c r="G130" s="111"/>
      <c r="H130" s="111"/>
      <c r="I130" s="113" t="s">
        <v>2787</v>
      </c>
    </row>
    <row r="131">
      <c r="A131" s="350"/>
      <c r="B131" s="351"/>
      <c r="C131" s="362"/>
      <c r="D131" s="356" t="s">
        <v>3753</v>
      </c>
      <c r="E131" s="350"/>
      <c r="F131" s="351"/>
      <c r="G131" s="351"/>
      <c r="H131" s="351"/>
      <c r="I131" s="350"/>
    </row>
    <row r="132">
      <c r="A132" s="110">
        <v>35722.0</v>
      </c>
      <c r="B132" s="111"/>
      <c r="C132" s="135" t="str">
        <f>HYPERLINK("http://phish.net/sideshows/guest-appearance/?showid=1327626328", "setlist")</f>
        <v>setlist</v>
      </c>
      <c r="D132" s="183" t="s">
        <v>860</v>
      </c>
      <c r="E132" s="183" t="s">
        <v>34</v>
      </c>
      <c r="F132" s="114" t="s">
        <v>35</v>
      </c>
      <c r="G132" s="111"/>
      <c r="H132" s="111"/>
      <c r="I132" s="113" t="s">
        <v>3661</v>
      </c>
    </row>
    <row r="133">
      <c r="A133" s="350"/>
      <c r="B133" s="351"/>
      <c r="C133" s="362"/>
      <c r="D133" s="356" t="s">
        <v>3719</v>
      </c>
      <c r="E133" s="350"/>
      <c r="F133" s="351"/>
      <c r="G133" s="351"/>
      <c r="H133" s="351"/>
      <c r="I133" s="350"/>
    </row>
    <row r="134">
      <c r="A134" s="110">
        <v>35741.0</v>
      </c>
      <c r="B134" s="114" t="s">
        <v>32</v>
      </c>
      <c r="C134" s="135" t="str">
        <f>HYPERLINK("http://phish.net/sideshows/guest-appearance/?showid=1332689644", "setlist")</f>
        <v>setlist</v>
      </c>
      <c r="D134" s="183" t="s">
        <v>2811</v>
      </c>
      <c r="E134" s="183" t="s">
        <v>34</v>
      </c>
      <c r="F134" s="114" t="s">
        <v>35</v>
      </c>
      <c r="G134" s="114" t="s">
        <v>36</v>
      </c>
      <c r="H134" s="116" t="str">
        <f>HYPERLINK("http://www.mediafire.com/?dvsuqgekdoaly","download link")</f>
        <v>download link</v>
      </c>
      <c r="I134" s="113" t="s">
        <v>3754</v>
      </c>
    </row>
    <row r="135">
      <c r="A135" s="350"/>
      <c r="B135" s="351"/>
      <c r="C135" s="362"/>
      <c r="D135" s="356" t="s">
        <v>3498</v>
      </c>
      <c r="E135" s="350"/>
      <c r="F135" s="351"/>
      <c r="G135" s="351"/>
      <c r="H135" s="351"/>
      <c r="I135" s="350"/>
    </row>
    <row r="136">
      <c r="A136" s="110">
        <v>35794.0</v>
      </c>
      <c r="B136" s="111"/>
      <c r="C136" s="135" t="str">
        <f>HYPERLINK("http://phish.net/sideshows/guest-appearance/?showid=1333146604", "setlist")</f>
        <v>setlist</v>
      </c>
      <c r="D136" s="183" t="s">
        <v>3755</v>
      </c>
      <c r="E136" s="183" t="s">
        <v>162</v>
      </c>
      <c r="F136" s="114" t="s">
        <v>129</v>
      </c>
      <c r="G136" s="111"/>
      <c r="H136" s="111"/>
      <c r="I136" s="113" t="s">
        <v>3664</v>
      </c>
    </row>
    <row r="137">
      <c r="A137" s="350"/>
      <c r="B137" s="351"/>
      <c r="C137" s="362"/>
      <c r="D137" s="356" t="s">
        <v>3756</v>
      </c>
      <c r="E137" s="350"/>
      <c r="F137" s="351"/>
      <c r="G137" s="351"/>
      <c r="H137" s="351"/>
      <c r="I137" s="350"/>
    </row>
    <row r="138">
      <c r="A138" s="110">
        <v>35840.0</v>
      </c>
      <c r="B138" s="111"/>
      <c r="C138" s="135" t="str">
        <f>HYPERLINK("http://phish.net/sideshows/guest-appearance/?d=1998-02-14", "setlist")</f>
        <v>setlist</v>
      </c>
      <c r="D138" s="183" t="s">
        <v>860</v>
      </c>
      <c r="E138" s="183" t="s">
        <v>34</v>
      </c>
      <c r="F138" s="114" t="s">
        <v>35</v>
      </c>
      <c r="G138" s="111"/>
      <c r="H138" s="111"/>
      <c r="I138" s="113" t="s">
        <v>3757</v>
      </c>
    </row>
    <row r="139">
      <c r="A139" s="350"/>
      <c r="B139" s="351"/>
      <c r="C139" s="362"/>
      <c r="D139" s="356" t="s">
        <v>3719</v>
      </c>
      <c r="E139" s="350"/>
      <c r="F139" s="351"/>
      <c r="G139" s="351"/>
      <c r="H139" s="351"/>
      <c r="I139" s="350"/>
    </row>
    <row r="140">
      <c r="A140" s="110">
        <v>35903.0</v>
      </c>
      <c r="B140" s="111"/>
      <c r="C140" s="135" t="str">
        <f>HYPERLINK("http://phish.net/sideshows/guest-appearance/?d=1998-04-18", "setlist")</f>
        <v>setlist</v>
      </c>
      <c r="D140" s="183" t="s">
        <v>2811</v>
      </c>
      <c r="E140" s="183" t="s">
        <v>34</v>
      </c>
      <c r="F140" s="114" t="s">
        <v>35</v>
      </c>
      <c r="G140" s="111"/>
      <c r="H140" s="111"/>
      <c r="I140" s="113" t="s">
        <v>3758</v>
      </c>
    </row>
    <row r="141">
      <c r="A141" s="350"/>
      <c r="B141" s="351"/>
      <c r="C141" s="362"/>
      <c r="D141" s="356" t="s">
        <v>3759</v>
      </c>
      <c r="E141" s="350"/>
      <c r="F141" s="351"/>
      <c r="G141" s="351"/>
      <c r="H141" s="351"/>
      <c r="I141" s="350"/>
    </row>
    <row r="142">
      <c r="A142" s="110">
        <v>35904.0</v>
      </c>
      <c r="B142" s="111"/>
      <c r="C142" s="135" t="str">
        <f>HYPERLINK("http://phish.net/sideshows/guest-appearance/?d=1998-04-19", "setlist")</f>
        <v>setlist</v>
      </c>
      <c r="D142" s="183" t="s">
        <v>2811</v>
      </c>
      <c r="E142" s="183" t="s">
        <v>34</v>
      </c>
      <c r="F142" s="114" t="s">
        <v>35</v>
      </c>
      <c r="G142" s="111"/>
      <c r="H142" s="111"/>
      <c r="I142" s="113" t="s">
        <v>3760</v>
      </c>
    </row>
    <row r="143">
      <c r="A143" s="350"/>
      <c r="B143" s="351"/>
      <c r="C143" s="362"/>
      <c r="D143" s="356" t="s">
        <v>3761</v>
      </c>
      <c r="E143" s="350"/>
      <c r="F143" s="351"/>
      <c r="G143" s="351"/>
      <c r="H143" s="351"/>
      <c r="I143" s="350"/>
    </row>
    <row r="144">
      <c r="A144" s="110">
        <v>36109.0</v>
      </c>
      <c r="B144" s="114" t="s">
        <v>32</v>
      </c>
      <c r="C144" s="135" t="str">
        <f>HYPERLINK("http://phish.net/sideshows/guest-appearance/?d=1998-11-10", "setlist")</f>
        <v>setlist</v>
      </c>
      <c r="D144" s="183" t="s">
        <v>3762</v>
      </c>
      <c r="E144" s="183" t="s">
        <v>479</v>
      </c>
      <c r="F144" s="114" t="s">
        <v>480</v>
      </c>
      <c r="G144" s="114" t="s">
        <v>36</v>
      </c>
      <c r="H144" s="116" t="str">
        <f>HYPERLINK("http://www.mediafire.com/?14xg7ejzdzipx", "download link")</f>
        <v>download link</v>
      </c>
      <c r="I144" s="113" t="s">
        <v>3763</v>
      </c>
    </row>
    <row r="145">
      <c r="A145" s="350"/>
      <c r="B145" s="351"/>
      <c r="C145" s="362"/>
      <c r="D145" s="356" t="s">
        <v>3764</v>
      </c>
      <c r="E145" s="350"/>
      <c r="F145" s="351"/>
      <c r="G145" s="351"/>
      <c r="H145" s="351"/>
      <c r="I145" s="350"/>
    </row>
    <row r="146">
      <c r="A146" s="110">
        <v>36118.0</v>
      </c>
      <c r="B146" s="111"/>
      <c r="C146" s="135" t="str">
        <f>HYPERLINK("http://phish.net/sideshows/guest-appearance/?showid=1327605745", "setlist")</f>
        <v>setlist</v>
      </c>
      <c r="D146" s="183" t="s">
        <v>878</v>
      </c>
      <c r="E146" s="183" t="s">
        <v>879</v>
      </c>
      <c r="F146" s="114" t="s">
        <v>443</v>
      </c>
      <c r="G146" s="111"/>
      <c r="H146" s="111"/>
      <c r="I146" s="113" t="s">
        <v>3765</v>
      </c>
    </row>
    <row r="147">
      <c r="A147" s="350"/>
      <c r="B147" s="351"/>
      <c r="C147" s="362"/>
      <c r="D147" s="356" t="s">
        <v>3766</v>
      </c>
      <c r="E147" s="350"/>
      <c r="F147" s="351"/>
      <c r="G147" s="351"/>
      <c r="H147" s="351"/>
      <c r="I147" s="350"/>
    </row>
    <row r="148">
      <c r="A148" s="110">
        <v>36133.0</v>
      </c>
      <c r="B148" s="111"/>
      <c r="C148" s="135" t="str">
        <f>HYPERLINK("http://phish.net/sideshows/guest-appearance/?d=1998-12-04", "setlist")</f>
        <v>setlist</v>
      </c>
      <c r="D148" s="183" t="s">
        <v>3767</v>
      </c>
      <c r="E148" s="183" t="s">
        <v>2162</v>
      </c>
      <c r="F148" s="114" t="s">
        <v>2085</v>
      </c>
      <c r="G148" s="111"/>
      <c r="H148" s="111"/>
      <c r="I148" s="113" t="s">
        <v>3741</v>
      </c>
    </row>
    <row r="149">
      <c r="A149" s="350"/>
      <c r="B149" s="351"/>
      <c r="C149" s="362"/>
      <c r="D149" s="356" t="s">
        <v>3768</v>
      </c>
      <c r="E149" s="350"/>
      <c r="F149" s="351"/>
      <c r="G149" s="351"/>
      <c r="H149" s="351"/>
      <c r="I149" s="350"/>
    </row>
    <row r="150">
      <c r="A150" s="110">
        <v>36136.0</v>
      </c>
      <c r="B150" s="111"/>
      <c r="C150" s="135" t="str">
        <f>HYPERLINK("http://phish.net/sideshows/guest-appearance/?d=1998-12-07", "setlist")</f>
        <v>setlist</v>
      </c>
      <c r="D150" s="183" t="s">
        <v>2811</v>
      </c>
      <c r="E150" s="183" t="s">
        <v>34</v>
      </c>
      <c r="F150" s="114" t="s">
        <v>35</v>
      </c>
      <c r="G150" s="114" t="s">
        <v>36</v>
      </c>
      <c r="H150" s="116" t="str">
        <f>HYPERLINK("http://www.mediafire.com/?zixdmdrx1108c", "download link")</f>
        <v>download link</v>
      </c>
      <c r="I150" s="113" t="s">
        <v>3720</v>
      </c>
    </row>
    <row r="151">
      <c r="A151" s="350"/>
      <c r="B151" s="351"/>
      <c r="C151" s="362"/>
      <c r="D151" s="356" t="s">
        <v>3769</v>
      </c>
      <c r="E151" s="350"/>
      <c r="F151" s="351"/>
      <c r="G151" s="351"/>
      <c r="H151" s="351"/>
      <c r="I151" s="350"/>
    </row>
    <row r="152">
      <c r="A152" s="110">
        <v>36184.0</v>
      </c>
      <c r="B152" s="111"/>
      <c r="C152" s="135" t="str">
        <f>HYPERLINK("http://phish.net/sideshows/guest-appearance/?d=1999-01-24", "setlist")</f>
        <v>setlist</v>
      </c>
      <c r="D152" s="183" t="s">
        <v>3607</v>
      </c>
      <c r="E152" s="183" t="s">
        <v>34</v>
      </c>
      <c r="F152" s="114" t="s">
        <v>35</v>
      </c>
      <c r="G152" s="111"/>
      <c r="H152" s="359"/>
      <c r="I152" s="113" t="s">
        <v>3770</v>
      </c>
    </row>
    <row r="153">
      <c r="A153" s="350"/>
      <c r="B153" s="351"/>
      <c r="C153" s="362"/>
      <c r="D153" s="356" t="s">
        <v>3771</v>
      </c>
      <c r="E153" s="350"/>
      <c r="F153" s="351"/>
      <c r="G153" s="351"/>
      <c r="H153" s="351"/>
      <c r="I153" s="350"/>
    </row>
    <row r="154">
      <c r="A154" s="110">
        <v>36223.0</v>
      </c>
      <c r="B154" s="111"/>
      <c r="C154" s="135" t="str">
        <f>HYPERLINK("http://phish.net/sideshows/guest-appearance/?d=1999-03-04", "setlist")</f>
        <v>setlist</v>
      </c>
      <c r="D154" s="183" t="s">
        <v>2817</v>
      </c>
      <c r="E154" s="183" t="s">
        <v>854</v>
      </c>
      <c r="F154" s="114" t="s">
        <v>35</v>
      </c>
      <c r="G154" s="111"/>
      <c r="H154" s="359"/>
      <c r="I154" s="113" t="s">
        <v>3758</v>
      </c>
    </row>
    <row r="155">
      <c r="A155" s="350"/>
      <c r="B155" s="351"/>
      <c r="C155" s="362"/>
      <c r="D155" s="356" t="s">
        <v>3498</v>
      </c>
      <c r="E155" s="350"/>
      <c r="F155" s="351"/>
      <c r="G155" s="351"/>
      <c r="H155" s="351"/>
      <c r="I155" s="350"/>
    </row>
    <row r="156">
      <c r="A156" s="110">
        <v>36225.0</v>
      </c>
      <c r="B156" s="111"/>
      <c r="C156" s="135" t="str">
        <f>HYPERLINK("http://phish.net/sideshows/guest-appearance/?d=1999-03-06", "setlist")</f>
        <v>setlist</v>
      </c>
      <c r="D156" s="183" t="s">
        <v>3630</v>
      </c>
      <c r="E156" s="183" t="s">
        <v>417</v>
      </c>
      <c r="F156" s="114" t="s">
        <v>95</v>
      </c>
      <c r="G156" s="111"/>
      <c r="H156" s="359"/>
      <c r="I156" s="113" t="s">
        <v>3715</v>
      </c>
    </row>
    <row r="157">
      <c r="A157" s="350"/>
      <c r="B157" s="351"/>
      <c r="C157" s="362"/>
      <c r="D157" s="356" t="s">
        <v>3769</v>
      </c>
      <c r="E157" s="350"/>
      <c r="F157" s="351"/>
      <c r="G157" s="351"/>
      <c r="H157" s="351"/>
      <c r="I157" s="350"/>
    </row>
    <row r="158">
      <c r="A158" s="110">
        <v>36240.0</v>
      </c>
      <c r="B158" s="111"/>
      <c r="C158" s="135" t="str">
        <f>HYPERLINK("http://phish.net/sideshows/guest-appearance/?d=1999-03-21", "setlist")</f>
        <v>setlist</v>
      </c>
      <c r="D158" s="183" t="s">
        <v>3772</v>
      </c>
      <c r="E158" s="183" t="s">
        <v>1011</v>
      </c>
      <c r="F158" s="114" t="s">
        <v>35</v>
      </c>
      <c r="G158" s="111"/>
      <c r="H158" s="359"/>
      <c r="I158" s="113" t="s">
        <v>2925</v>
      </c>
    </row>
    <row r="159">
      <c r="A159" s="350"/>
      <c r="B159" s="351"/>
      <c r="C159" s="362"/>
      <c r="D159" s="356" t="s">
        <v>3773</v>
      </c>
      <c r="E159" s="350"/>
      <c r="F159" s="351"/>
      <c r="G159" s="351"/>
      <c r="H159" s="351"/>
      <c r="I159" s="350"/>
    </row>
    <row r="160">
      <c r="A160" s="110">
        <v>36245.0</v>
      </c>
      <c r="B160" s="111"/>
      <c r="C160" s="135" t="str">
        <f>HYPERLINK("http://phish.net/sideshows/guest-appearance/?d=1999-03-26", "setlist")</f>
        <v>setlist</v>
      </c>
      <c r="D160" s="183" t="s">
        <v>2817</v>
      </c>
      <c r="E160" s="183" t="s">
        <v>854</v>
      </c>
      <c r="F160" s="114" t="s">
        <v>35</v>
      </c>
      <c r="G160" s="111"/>
      <c r="H160" s="359"/>
      <c r="I160" s="113" t="s">
        <v>3774</v>
      </c>
    </row>
    <row r="161">
      <c r="A161" s="350"/>
      <c r="B161" s="351"/>
      <c r="C161" s="362"/>
      <c r="D161" s="356" t="s">
        <v>3775</v>
      </c>
      <c r="E161" s="350"/>
      <c r="F161" s="351"/>
      <c r="G161" s="351"/>
      <c r="H161" s="351"/>
      <c r="I161" s="350"/>
    </row>
    <row r="162">
      <c r="A162" s="110">
        <v>36259.0</v>
      </c>
      <c r="B162" s="111"/>
      <c r="C162" s="135" t="str">
        <f>HYPERLINK("http://phish.net/sideshows/guest-appearance/?d=1999-04-09", "setlist")</f>
        <v>setlist</v>
      </c>
      <c r="D162" s="183" t="s">
        <v>2817</v>
      </c>
      <c r="E162" s="183" t="s">
        <v>854</v>
      </c>
      <c r="F162" s="114" t="s">
        <v>35</v>
      </c>
      <c r="G162" s="114" t="s">
        <v>36</v>
      </c>
      <c r="H162" s="116" t="str">
        <f>HYPERLINK("http://www.mediafire.com/?j4lgffbvildly", "download link")</f>
        <v>download link</v>
      </c>
      <c r="I162" s="113" t="s">
        <v>3671</v>
      </c>
    </row>
    <row r="163">
      <c r="A163" s="350"/>
      <c r="B163" s="351"/>
      <c r="C163" s="362"/>
      <c r="D163" s="356" t="s">
        <v>3669</v>
      </c>
      <c r="E163" s="350"/>
      <c r="F163" s="351"/>
      <c r="G163" s="351"/>
      <c r="H163" s="351"/>
      <c r="I163" s="350"/>
    </row>
    <row r="164">
      <c r="A164" s="110">
        <v>36268.0</v>
      </c>
      <c r="B164" s="111"/>
      <c r="C164" s="135" t="str">
        <f>HYPERLINK("http://phish.net/sideshows/guest-appearance/?d=1999-04-18", "setlist")</f>
        <v>setlist</v>
      </c>
      <c r="D164" s="183" t="s">
        <v>2020</v>
      </c>
      <c r="E164" s="183" t="s">
        <v>683</v>
      </c>
      <c r="F164" s="114" t="s">
        <v>679</v>
      </c>
      <c r="G164" s="114" t="s">
        <v>36</v>
      </c>
      <c r="H164" s="116" t="str">
        <f>HYPERLINK("http://www.mediafire.com/?qp2l22272oi2i", "download link")</f>
        <v>download link</v>
      </c>
      <c r="I164" s="113" t="s">
        <v>3776</v>
      </c>
    </row>
    <row r="165">
      <c r="A165" s="350"/>
      <c r="B165" s="351"/>
      <c r="C165" s="362"/>
      <c r="D165" s="356" t="s">
        <v>3777</v>
      </c>
      <c r="E165" s="350"/>
      <c r="F165" s="351"/>
      <c r="G165" s="351"/>
      <c r="H165" s="351"/>
      <c r="I165" s="350"/>
    </row>
    <row r="166">
      <c r="A166" s="110">
        <v>36297.0</v>
      </c>
      <c r="B166" s="111"/>
      <c r="C166" s="135" t="str">
        <f>HYPERLINK("http://phish.net/sideshows/guest-appearance/?showid=1342060436", "setlist")</f>
        <v>setlist</v>
      </c>
      <c r="D166" s="183" t="s">
        <v>3607</v>
      </c>
      <c r="E166" s="183" t="s">
        <v>34</v>
      </c>
      <c r="F166" s="114" t="s">
        <v>35</v>
      </c>
      <c r="G166" s="111"/>
      <c r="H166" s="359"/>
      <c r="I166" s="113" t="s">
        <v>3770</v>
      </c>
    </row>
    <row r="167">
      <c r="A167" s="350"/>
      <c r="B167" s="351"/>
      <c r="C167" s="362"/>
      <c r="D167" s="356" t="s">
        <v>3778</v>
      </c>
      <c r="E167" s="350"/>
      <c r="F167" s="351"/>
      <c r="G167" s="351"/>
      <c r="H167" s="351"/>
      <c r="I167" s="350"/>
    </row>
    <row r="168">
      <c r="A168" s="110">
        <v>36300.0</v>
      </c>
      <c r="B168" s="111"/>
      <c r="C168" s="135" t="str">
        <f>HYPERLINK("http://phish.net/sideshows/guest-appearance/?d=1999-05-20", "setlist")</f>
        <v>setlist</v>
      </c>
      <c r="D168" s="183" t="s">
        <v>500</v>
      </c>
      <c r="E168" s="183" t="s">
        <v>488</v>
      </c>
      <c r="F168" s="114" t="s">
        <v>203</v>
      </c>
      <c r="G168" s="111"/>
      <c r="H168" s="359"/>
      <c r="I168" s="113" t="s">
        <v>3661</v>
      </c>
    </row>
    <row r="169">
      <c r="A169" s="350"/>
      <c r="B169" s="351"/>
      <c r="C169" s="362"/>
      <c r="D169" s="356" t="s">
        <v>3779</v>
      </c>
      <c r="E169" s="350"/>
      <c r="F169" s="351"/>
      <c r="G169" s="351"/>
      <c r="H169" s="351"/>
      <c r="I169" s="350"/>
    </row>
    <row r="170">
      <c r="A170" s="110">
        <v>36311.0</v>
      </c>
      <c r="B170" s="111"/>
      <c r="C170" s="135" t="str">
        <f>HYPERLINK("http://phish.net/sideshows/guest-appearance/?d=1999-05-31", "setlist")</f>
        <v>setlist</v>
      </c>
      <c r="D170" s="183" t="s">
        <v>2817</v>
      </c>
      <c r="E170" s="183" t="s">
        <v>854</v>
      </c>
      <c r="F170" s="114" t="s">
        <v>35</v>
      </c>
      <c r="G170" s="111"/>
      <c r="H170" s="359"/>
      <c r="I170" s="113" t="s">
        <v>3770</v>
      </c>
    </row>
    <row r="171">
      <c r="A171" s="350"/>
      <c r="B171" s="351"/>
      <c r="C171" s="362"/>
      <c r="D171" s="356" t="s">
        <v>3717</v>
      </c>
      <c r="E171" s="350"/>
      <c r="F171" s="351"/>
      <c r="G171" s="351"/>
      <c r="H171" s="351"/>
      <c r="I171" s="350"/>
    </row>
    <row r="172">
      <c r="A172" s="110">
        <v>36316.0</v>
      </c>
      <c r="B172" s="114" t="s">
        <v>32</v>
      </c>
      <c r="C172" s="135" t="str">
        <f>HYPERLINK("http://phish.net/sideshows/guest-appearance/?d=1999-06-05", "setlist")</f>
        <v>setlist</v>
      </c>
      <c r="D172" s="183" t="s">
        <v>2817</v>
      </c>
      <c r="E172" s="183" t="s">
        <v>854</v>
      </c>
      <c r="F172" s="114" t="s">
        <v>35</v>
      </c>
      <c r="G172" s="114" t="s">
        <v>36</v>
      </c>
      <c r="H172" s="116" t="str">
        <f>HYPERLINK("http://www.mediafire.com/?8ru1ablg4w93a", "download link")</f>
        <v>download link</v>
      </c>
      <c r="I172" s="136" t="s">
        <v>3758</v>
      </c>
    </row>
    <row r="173">
      <c r="A173" s="350"/>
      <c r="B173" s="351"/>
      <c r="C173" s="362"/>
      <c r="D173" s="356" t="s">
        <v>3780</v>
      </c>
      <c r="E173" s="350"/>
      <c r="F173" s="351"/>
      <c r="G173" s="351"/>
      <c r="H173" s="351"/>
      <c r="I173" s="350"/>
    </row>
    <row r="174">
      <c r="A174" s="110">
        <v>36323.0</v>
      </c>
      <c r="B174" s="111"/>
      <c r="C174" s="135" t="str">
        <f>HYPERLINK("http://phish.net/sideshows/guest-appearance/?d=1999-06-12", "setlist")</f>
        <v>setlist</v>
      </c>
      <c r="D174" s="183" t="s">
        <v>2804</v>
      </c>
      <c r="E174" s="183" t="s">
        <v>34</v>
      </c>
      <c r="F174" s="114" t="s">
        <v>35</v>
      </c>
      <c r="G174" s="111"/>
      <c r="H174" s="359"/>
      <c r="I174" s="113" t="s">
        <v>3781</v>
      </c>
    </row>
    <row r="175">
      <c r="A175" s="350"/>
      <c r="B175" s="351"/>
      <c r="C175" s="362"/>
      <c r="D175" s="356" t="s">
        <v>3782</v>
      </c>
      <c r="E175" s="350"/>
      <c r="F175" s="351"/>
      <c r="G175" s="351"/>
      <c r="H175" s="351"/>
      <c r="I175" s="350"/>
    </row>
    <row r="176">
      <c r="A176" s="110">
        <v>36344.0</v>
      </c>
      <c r="B176" s="111"/>
      <c r="C176" s="135" t="str">
        <f>HYPERLINK("http://phish.net/sideshows/guest-appearance/?showid=1355018037", "setlist")</f>
        <v>setlist</v>
      </c>
      <c r="D176" s="183" t="s">
        <v>3783</v>
      </c>
      <c r="E176" s="183" t="s">
        <v>437</v>
      </c>
      <c r="F176" s="114" t="s">
        <v>433</v>
      </c>
      <c r="G176" s="111"/>
      <c r="H176" s="359"/>
      <c r="I176" s="113" t="s">
        <v>3659</v>
      </c>
    </row>
    <row r="177">
      <c r="A177" s="350"/>
      <c r="B177" s="351"/>
      <c r="C177" s="362"/>
      <c r="D177" s="356" t="s">
        <v>3773</v>
      </c>
      <c r="E177" s="350"/>
      <c r="F177" s="351"/>
      <c r="G177" s="351"/>
      <c r="H177" s="351"/>
      <c r="I177" s="350"/>
    </row>
    <row r="178">
      <c r="A178" s="110">
        <v>36346.0</v>
      </c>
      <c r="B178" s="111"/>
      <c r="C178" s="135" t="str">
        <f>HYPERLINK("http://phish.net/sideshows/guest-appearance/?d=1999-07-05", "setlist")</f>
        <v>setlist</v>
      </c>
      <c r="D178" s="183" t="s">
        <v>3784</v>
      </c>
      <c r="E178" s="183" t="s">
        <v>3785</v>
      </c>
      <c r="F178" s="114" t="s">
        <v>433</v>
      </c>
      <c r="G178" s="114" t="s">
        <v>36</v>
      </c>
      <c r="H178" s="116" t="str">
        <f>HYPERLINK("http://www.mediafire.com/?4afgcdamuqhw6", "download link")</f>
        <v>download link</v>
      </c>
      <c r="I178" s="113" t="s">
        <v>2998</v>
      </c>
    </row>
    <row r="179">
      <c r="A179" s="350"/>
      <c r="B179" s="351"/>
      <c r="C179" s="362"/>
      <c r="D179" s="356" t="s">
        <v>3786</v>
      </c>
      <c r="E179" s="350"/>
      <c r="F179" s="351"/>
      <c r="G179" s="351"/>
      <c r="H179" s="351"/>
      <c r="I179" s="350"/>
    </row>
    <row r="180">
      <c r="A180" s="110">
        <v>36383.0</v>
      </c>
      <c r="B180" s="114" t="s">
        <v>32</v>
      </c>
      <c r="C180" s="135" t="str">
        <f>HYPERLINK("http://phish.net/sideshows/guest-appearance/?d=1999-08-11", "setlist")</f>
        <v>setlist</v>
      </c>
      <c r="D180" s="183" t="s">
        <v>2817</v>
      </c>
      <c r="E180" s="183" t="s">
        <v>854</v>
      </c>
      <c r="F180" s="114" t="s">
        <v>35</v>
      </c>
      <c r="G180" s="114" t="s">
        <v>36</v>
      </c>
      <c r="H180" s="116" t="str">
        <f>HYPERLINK("http://www.mediafire.com/?erhgdl54j6hbm", "download link")</f>
        <v>download link</v>
      </c>
      <c r="I180" s="113" t="s">
        <v>3787</v>
      </c>
    </row>
    <row r="181">
      <c r="A181" s="350"/>
      <c r="B181" s="351"/>
      <c r="C181" s="362"/>
      <c r="D181" s="356" t="s">
        <v>2793</v>
      </c>
      <c r="E181" s="350"/>
      <c r="F181" s="351"/>
      <c r="G181" s="351"/>
      <c r="H181" s="351"/>
      <c r="I181" s="350"/>
    </row>
    <row r="182">
      <c r="A182" s="110">
        <v>36418.0</v>
      </c>
      <c r="B182" s="111"/>
      <c r="C182" s="135" t="str">
        <f>HYPERLINK("http://phish.net/sideshows/guest-appearance/?d=1999-09-15", "setlist")</f>
        <v>setlist</v>
      </c>
      <c r="D182" s="183" t="s">
        <v>3788</v>
      </c>
      <c r="E182" s="183" t="s">
        <v>683</v>
      </c>
      <c r="F182" s="114" t="s">
        <v>679</v>
      </c>
      <c r="G182" s="111"/>
      <c r="H182" s="359"/>
      <c r="I182" s="113" t="s">
        <v>3718</v>
      </c>
    </row>
    <row r="183">
      <c r="A183" s="350"/>
      <c r="B183" s="351"/>
      <c r="C183" s="362"/>
      <c r="D183" s="356" t="s">
        <v>3717</v>
      </c>
      <c r="E183" s="350"/>
      <c r="F183" s="351"/>
      <c r="G183" s="351"/>
      <c r="H183" s="351"/>
      <c r="I183" s="350"/>
    </row>
    <row r="184">
      <c r="A184" s="142">
        <v>36423.0</v>
      </c>
      <c r="B184" s="144"/>
      <c r="C184" s="116" t="str">
        <f>HYPERLINK("http://phish.net/sideshows/guest-appearance/?d=1999-09-20", "setlist")</f>
        <v>setlist</v>
      </c>
      <c r="D184" s="272" t="s">
        <v>3251</v>
      </c>
      <c r="E184" s="272" t="s">
        <v>3252</v>
      </c>
      <c r="F184" s="115" t="s">
        <v>805</v>
      </c>
      <c r="G184" s="144"/>
      <c r="H184" s="379"/>
      <c r="I184" s="117" t="s">
        <v>3789</v>
      </c>
    </row>
    <row r="185">
      <c r="A185" s="350"/>
      <c r="B185" s="351"/>
      <c r="C185" s="362"/>
      <c r="D185" s="356" t="s">
        <v>3790</v>
      </c>
      <c r="E185" s="350"/>
      <c r="F185" s="351"/>
      <c r="G185" s="351"/>
      <c r="H185" s="351"/>
      <c r="I185" s="350"/>
    </row>
    <row r="186">
      <c r="A186" s="110">
        <v>36462.0</v>
      </c>
      <c r="B186" s="111"/>
      <c r="C186" s="135" t="str">
        <f>HYPERLINK("http://phish.net/sideshows/guest-appearance/?d=1999-10-29", "setlist")</f>
        <v>setlist</v>
      </c>
      <c r="D186" s="183" t="s">
        <v>2817</v>
      </c>
      <c r="E186" s="183" t="s">
        <v>854</v>
      </c>
      <c r="F186" s="114" t="s">
        <v>35</v>
      </c>
      <c r="G186" s="114" t="s">
        <v>36</v>
      </c>
      <c r="H186" s="116" t="str">
        <f>HYPERLINK("http://www.mediafire.com/?pqchicuz93i52", "download link")</f>
        <v>download link</v>
      </c>
      <c r="I186" s="113" t="s">
        <v>3791</v>
      </c>
    </row>
    <row r="187">
      <c r="A187" s="350"/>
      <c r="B187" s="351"/>
      <c r="C187" s="362"/>
      <c r="D187" s="356" t="s">
        <v>3719</v>
      </c>
      <c r="E187" s="350"/>
      <c r="F187" s="351"/>
      <c r="G187" s="351"/>
      <c r="H187" s="351"/>
      <c r="I187" s="350"/>
    </row>
    <row r="188">
      <c r="A188" s="110">
        <v>36553.0</v>
      </c>
      <c r="B188" s="114" t="s">
        <v>32</v>
      </c>
      <c r="C188" s="135" t="str">
        <f>HYPERLINK("http://phish.net/sideshows/guest-appearance/?d=2000-01-28", "setlist")</f>
        <v>setlist</v>
      </c>
      <c r="D188" s="183" t="s">
        <v>2817</v>
      </c>
      <c r="E188" s="183" t="s">
        <v>854</v>
      </c>
      <c r="F188" s="114" t="s">
        <v>35</v>
      </c>
      <c r="G188" s="114" t="s">
        <v>36</v>
      </c>
      <c r="H188" s="116" t="str">
        <f>HYPERLINK("http://www.mediafire.com/?xudpd44jp9r7j", "download link")</f>
        <v>download link</v>
      </c>
      <c r="I188" s="113" t="s">
        <v>3792</v>
      </c>
    </row>
    <row r="189">
      <c r="A189" s="350"/>
      <c r="B189" s="351"/>
      <c r="C189" s="362"/>
      <c r="D189" s="356" t="s">
        <v>3498</v>
      </c>
      <c r="E189" s="350"/>
      <c r="F189" s="351"/>
      <c r="G189" s="351"/>
      <c r="H189" s="351"/>
      <c r="I189" s="350"/>
    </row>
    <row r="190">
      <c r="A190" s="110">
        <v>36573.0</v>
      </c>
      <c r="B190" s="111"/>
      <c r="C190" s="135" t="str">
        <f>HYPERLINK("http://phish.net/sideshows/guest-appearance/?showid=1332987825", "setlist")</f>
        <v>setlist</v>
      </c>
      <c r="D190" s="183" t="s">
        <v>2817</v>
      </c>
      <c r="E190" s="183" t="s">
        <v>854</v>
      </c>
      <c r="F190" s="114" t="s">
        <v>35</v>
      </c>
      <c r="G190" s="111"/>
      <c r="H190" s="359"/>
      <c r="I190" s="113" t="s">
        <v>3708</v>
      </c>
    </row>
    <row r="191">
      <c r="A191" s="350"/>
      <c r="B191" s="351"/>
      <c r="C191" s="362"/>
      <c r="D191" s="356" t="s">
        <v>3793</v>
      </c>
      <c r="E191" s="350"/>
      <c r="F191" s="351"/>
      <c r="G191" s="351"/>
      <c r="H191" s="351"/>
      <c r="I191" s="350"/>
    </row>
    <row r="192">
      <c r="A192" s="110">
        <v>36577.0</v>
      </c>
      <c r="B192" s="111"/>
      <c r="C192" s="135" t="str">
        <f>HYPERLINK("http://phish.net/sideshows/guest-appearance/?d=2000-02-21", "setlist")</f>
        <v>setlist</v>
      </c>
      <c r="D192" s="183" t="s">
        <v>384</v>
      </c>
      <c r="E192" s="183" t="s">
        <v>34</v>
      </c>
      <c r="F192" s="114" t="s">
        <v>35</v>
      </c>
      <c r="G192" s="111"/>
      <c r="H192" s="359"/>
      <c r="I192" s="113" t="s">
        <v>3670</v>
      </c>
    </row>
    <row r="193">
      <c r="A193" s="350"/>
      <c r="B193" s="351"/>
      <c r="C193" s="362"/>
      <c r="D193" s="356" t="s">
        <v>3794</v>
      </c>
      <c r="E193" s="350"/>
      <c r="F193" s="351"/>
      <c r="G193" s="351"/>
      <c r="H193" s="351"/>
      <c r="I193" s="350"/>
    </row>
    <row r="194">
      <c r="A194" s="110">
        <v>36582.0</v>
      </c>
      <c r="B194" s="111"/>
      <c r="C194" s="135" t="str">
        <f>HYPERLINK("http://phish.net/sideshows/guest-appearance/?d=2000-02-26", "setlist")</f>
        <v>setlist</v>
      </c>
      <c r="D194" s="183" t="s">
        <v>3783</v>
      </c>
      <c r="E194" s="183" t="s">
        <v>437</v>
      </c>
      <c r="F194" s="114" t="s">
        <v>433</v>
      </c>
      <c r="G194" s="111"/>
      <c r="H194" s="359"/>
      <c r="I194" s="113" t="s">
        <v>3795</v>
      </c>
    </row>
    <row r="195">
      <c r="A195" s="350"/>
      <c r="B195" s="351"/>
      <c r="C195" s="362"/>
      <c r="D195" s="356" t="s">
        <v>3494</v>
      </c>
      <c r="E195" s="350"/>
      <c r="F195" s="351"/>
      <c r="G195" s="351"/>
      <c r="H195" s="351"/>
      <c r="I195" s="350"/>
    </row>
    <row r="196">
      <c r="A196" s="110">
        <v>36595.0</v>
      </c>
      <c r="B196" s="114" t="s">
        <v>32</v>
      </c>
      <c r="C196" s="135" t="str">
        <f>HYPERLINK("http://phish.net/sideshows/guest-appearance/?d=2000-03-10", "setlist")</f>
        <v>setlist</v>
      </c>
      <c r="D196" s="183" t="s">
        <v>3796</v>
      </c>
      <c r="E196" s="183" t="s">
        <v>2909</v>
      </c>
      <c r="F196" s="114" t="s">
        <v>679</v>
      </c>
      <c r="G196" s="114" t="s">
        <v>36</v>
      </c>
      <c r="H196" s="116" t="str">
        <f>HYPERLINK("http://www.mediafire.com/?gsxpb4fcbrki1", "download link")</f>
        <v>download link</v>
      </c>
      <c r="I196" s="113" t="s">
        <v>2925</v>
      </c>
    </row>
    <row r="197">
      <c r="A197" s="103">
        <v>36624.0</v>
      </c>
      <c r="B197" s="104"/>
      <c r="C197" s="105" t="str">
        <f>HYPERLINK("http://phish.net/sideshows/guest-appearance/?showid=1326772368", "setlist")</f>
        <v>setlist</v>
      </c>
      <c r="D197" s="181" t="s">
        <v>958</v>
      </c>
      <c r="E197" s="181" t="s">
        <v>94</v>
      </c>
      <c r="F197" s="107" t="s">
        <v>95</v>
      </c>
      <c r="G197" s="107" t="s">
        <v>36</v>
      </c>
      <c r="H197" s="105" t="str">
        <f>HYPERLINK("http://www.mediafire.com/?l8f538atguw3p", "download link")</f>
        <v>download link</v>
      </c>
      <c r="I197" s="106" t="s">
        <v>2998</v>
      </c>
    </row>
    <row r="198">
      <c r="A198" s="350"/>
      <c r="B198" s="351"/>
      <c r="C198" s="362"/>
      <c r="D198" s="356" t="s">
        <v>3745</v>
      </c>
      <c r="E198" s="350"/>
      <c r="F198" s="351"/>
      <c r="G198" s="351"/>
      <c r="H198" s="351"/>
      <c r="I198" s="350"/>
    </row>
    <row r="199">
      <c r="A199" s="110">
        <v>36653.0</v>
      </c>
      <c r="B199" s="111"/>
      <c r="C199" s="135" t="str">
        <f>HYPERLINK("http://phish.net/sideshows/guest-appearance/?d=2000-05-07", "setlist")</f>
        <v>setlist</v>
      </c>
      <c r="D199" s="183" t="s">
        <v>3797</v>
      </c>
      <c r="E199" s="183" t="s">
        <v>585</v>
      </c>
      <c r="F199" s="114" t="s">
        <v>586</v>
      </c>
      <c r="G199" s="111"/>
      <c r="H199" s="359"/>
      <c r="I199" s="113" t="s">
        <v>3664</v>
      </c>
    </row>
    <row r="200">
      <c r="A200" s="350"/>
      <c r="B200" s="351"/>
      <c r="C200" s="362"/>
      <c r="D200" s="356" t="s">
        <v>3798</v>
      </c>
      <c r="E200" s="350"/>
      <c r="F200" s="351"/>
      <c r="G200" s="351"/>
      <c r="H200" s="351"/>
      <c r="I200" s="350"/>
    </row>
    <row r="201">
      <c r="A201" s="110">
        <v>36653.0</v>
      </c>
      <c r="B201" s="111"/>
      <c r="C201" s="135" t="str">
        <f>HYPERLINK("http://phish.net/sideshows/guest-appearance/?showid=1355061778", "setlist")</f>
        <v>setlist</v>
      </c>
      <c r="D201" s="183" t="s">
        <v>3561</v>
      </c>
      <c r="E201" s="183" t="s">
        <v>585</v>
      </c>
      <c r="F201" s="114" t="s">
        <v>586</v>
      </c>
      <c r="G201" s="114" t="s">
        <v>36</v>
      </c>
      <c r="H201" s="116" t="str">
        <f>HYPERLINK("http://www.mediafire.com/?mxi5fq0mqlu8a", "download link")</f>
        <v>download link</v>
      </c>
      <c r="I201" s="113" t="s">
        <v>3799</v>
      </c>
    </row>
    <row r="202">
      <c r="A202" s="350"/>
      <c r="B202" s="351"/>
      <c r="C202" s="362"/>
      <c r="D202" s="356" t="s">
        <v>3800</v>
      </c>
      <c r="E202" s="350"/>
      <c r="F202" s="351"/>
      <c r="G202" s="351"/>
      <c r="H202" s="351"/>
      <c r="I202" s="350"/>
    </row>
    <row r="203">
      <c r="A203" s="110">
        <v>36666.0</v>
      </c>
      <c r="B203" s="114" t="s">
        <v>32</v>
      </c>
      <c r="C203" s="135" t="str">
        <f>HYPERLINK("http://phish.net/sideshows/guest-appearance/?d=2000-05-20", "setlist")</f>
        <v>setlist</v>
      </c>
      <c r="D203" s="183" t="s">
        <v>2223</v>
      </c>
      <c r="E203" s="183" t="s">
        <v>162</v>
      </c>
      <c r="F203" s="114" t="s">
        <v>129</v>
      </c>
      <c r="G203" s="114">
        <v>132.0</v>
      </c>
      <c r="H203" s="116" t="str">
        <f>HYPERLINK("http://www.mediafire.com/?srljdbj86xiw3", "download link")</f>
        <v>download link</v>
      </c>
      <c r="I203" s="183" t="s">
        <v>3661</v>
      </c>
    </row>
    <row r="204">
      <c r="A204" s="350"/>
      <c r="B204" s="351"/>
      <c r="C204" s="362"/>
      <c r="D204" s="356" t="s">
        <v>3801</v>
      </c>
      <c r="E204" s="350"/>
      <c r="F204" s="351"/>
      <c r="G204" s="351"/>
      <c r="H204" s="351"/>
      <c r="I204" s="350"/>
    </row>
    <row r="205">
      <c r="A205" s="110">
        <v>36700.0</v>
      </c>
      <c r="B205" s="111"/>
      <c r="C205" s="135" t="str">
        <f>HYPERLINK("http://phish.net/sideshows/guest-appearance/?d=2000-05-20", "setlist")</f>
        <v>setlist</v>
      </c>
      <c r="D205" s="183" t="s">
        <v>761</v>
      </c>
      <c r="E205" s="183" t="s">
        <v>437</v>
      </c>
      <c r="F205" s="114" t="s">
        <v>433</v>
      </c>
      <c r="G205" s="139" t="s">
        <v>36</v>
      </c>
      <c r="H205" s="116" t="str">
        <f>HYPERLINK("http://www.mediafire.com/file/ym6fdsgevpsd07e/2000-06-23_-_Variety_Playhouse_-_Atlanta%2C_GA.rar", "download link")</f>
        <v>download link</v>
      </c>
      <c r="I205" s="183" t="s">
        <v>3802</v>
      </c>
    </row>
    <row r="206">
      <c r="A206" s="350"/>
      <c r="B206" s="351"/>
      <c r="C206" s="362"/>
      <c r="D206" s="356" t="s">
        <v>3803</v>
      </c>
      <c r="E206" s="350"/>
      <c r="F206" s="351"/>
      <c r="G206" s="351"/>
      <c r="H206" s="351"/>
      <c r="I206" s="350"/>
    </row>
    <row r="207">
      <c r="A207" s="110">
        <v>36799.0</v>
      </c>
      <c r="B207" s="111"/>
      <c r="C207" s="135" t="str">
        <f>HYPERLINK("http://phish.net/sideshows/guest-appearance/?showid=1335110947", "setlist")</f>
        <v>setlist</v>
      </c>
      <c r="D207" s="183" t="s">
        <v>2990</v>
      </c>
      <c r="E207" s="183" t="s">
        <v>1804</v>
      </c>
      <c r="F207" s="114" t="s">
        <v>1805</v>
      </c>
      <c r="G207" s="114" t="s">
        <v>36</v>
      </c>
      <c r="H207" s="135" t="str">
        <f>HYPERLINK("http://www.mediafire.com/?49yusbr2h1fl1","download link")</f>
        <v>download link</v>
      </c>
      <c r="I207" s="183" t="s">
        <v>3804</v>
      </c>
    </row>
    <row r="208">
      <c r="A208" s="350"/>
      <c r="B208" s="351"/>
      <c r="C208" s="362"/>
      <c r="D208" s="356" t="s">
        <v>3777</v>
      </c>
      <c r="E208" s="350"/>
      <c r="F208" s="351"/>
      <c r="G208" s="351"/>
      <c r="H208" s="351"/>
      <c r="I208" s="350"/>
    </row>
    <row r="209">
      <c r="A209" s="110">
        <v>36822.0</v>
      </c>
      <c r="B209" s="111"/>
      <c r="C209" s="135" t="str">
        <f>HYPERLINK("http://phish.net/sideshows/guest-appearance/?d=2000-10-23", "setlist")</f>
        <v>setlist</v>
      </c>
      <c r="D209" s="183" t="s">
        <v>3607</v>
      </c>
      <c r="E209" s="183" t="s">
        <v>34</v>
      </c>
      <c r="F209" s="114" t="s">
        <v>35</v>
      </c>
      <c r="G209" s="111"/>
      <c r="H209" s="111"/>
      <c r="I209" s="183" t="s">
        <v>3795</v>
      </c>
    </row>
    <row r="210">
      <c r="A210" s="350"/>
      <c r="B210" s="351"/>
      <c r="C210" s="362"/>
      <c r="D210" s="356" t="s">
        <v>2793</v>
      </c>
      <c r="E210" s="350"/>
      <c r="F210" s="351"/>
      <c r="G210" s="351"/>
      <c r="H210" s="351"/>
      <c r="I210" s="350"/>
    </row>
    <row r="211">
      <c r="A211" s="110">
        <v>36834.0</v>
      </c>
      <c r="B211" s="111"/>
      <c r="C211" s="135" t="str">
        <f>HYPERLINK("http://phish.net/sideshows/guest-appearance/?d=2000-11-04", "setlist")</f>
        <v>setlist</v>
      </c>
      <c r="D211" s="183" t="s">
        <v>2817</v>
      </c>
      <c r="E211" s="183" t="s">
        <v>854</v>
      </c>
      <c r="F211" s="114" t="s">
        <v>35</v>
      </c>
      <c r="G211" s="111"/>
      <c r="H211" s="111"/>
      <c r="I211" s="183" t="s">
        <v>3715</v>
      </c>
    </row>
    <row r="212">
      <c r="A212" s="350"/>
      <c r="B212" s="351"/>
      <c r="C212" s="396"/>
      <c r="D212" s="356" t="s">
        <v>3805</v>
      </c>
      <c r="E212" s="350"/>
      <c r="F212" s="351"/>
      <c r="G212" s="351"/>
      <c r="H212" s="351"/>
      <c r="I212" s="350"/>
    </row>
    <row r="213">
      <c r="A213" s="110">
        <v>36848.0</v>
      </c>
      <c r="C213" s="135" t="str">
        <f>HYPERLINK("http://phish.net/sideshows/guest-appearance/?d=2000-11-18", "setlist")</f>
        <v>setlist</v>
      </c>
      <c r="D213" s="183" t="s">
        <v>2817</v>
      </c>
      <c r="E213" s="183" t="s">
        <v>854</v>
      </c>
      <c r="F213" s="114" t="s">
        <v>35</v>
      </c>
      <c r="G213" s="183" t="s">
        <v>36</v>
      </c>
      <c r="H213" s="116" t="str">
        <f>HYPERLINK("http://www.mediafire.com/?6flrjoifhc5j6","download link")</f>
        <v>download link</v>
      </c>
      <c r="I213" s="113" t="s">
        <v>3670</v>
      </c>
    </row>
    <row r="214">
      <c r="A214" s="350"/>
      <c r="B214" s="351"/>
      <c r="C214" s="396"/>
      <c r="D214" s="356" t="s">
        <v>3719</v>
      </c>
      <c r="E214" s="350"/>
      <c r="F214" s="351"/>
      <c r="G214" s="351"/>
      <c r="H214" s="351"/>
      <c r="I214" s="350"/>
    </row>
    <row r="215">
      <c r="A215" s="110">
        <v>36855.0</v>
      </c>
      <c r="C215" s="135" t="str">
        <f>HYPERLINK("http://phish.net/sideshows/guest-appearance/?d=2000-11-25", "setlist")</f>
        <v>setlist</v>
      </c>
      <c r="D215" s="183" t="s">
        <v>296</v>
      </c>
      <c r="E215" s="183" t="s">
        <v>297</v>
      </c>
      <c r="F215" s="114" t="s">
        <v>298</v>
      </c>
      <c r="H215" s="359"/>
      <c r="I215" s="113" t="s">
        <v>2925</v>
      </c>
    </row>
    <row r="216">
      <c r="A216" s="350"/>
      <c r="B216" s="351"/>
      <c r="C216" s="396"/>
      <c r="D216" s="356" t="s">
        <v>3777</v>
      </c>
      <c r="E216" s="350"/>
      <c r="F216" s="351"/>
      <c r="G216" s="351"/>
      <c r="H216" s="351"/>
      <c r="I216" s="350"/>
    </row>
    <row r="217">
      <c r="A217" s="110">
        <v>36861.0</v>
      </c>
      <c r="C217" s="135" t="str">
        <f>HYPERLINK("http://phish.net/sideshows/guest-appearance/?showid=1333326079", "setlist")</f>
        <v>setlist</v>
      </c>
      <c r="D217" s="183" t="s">
        <v>2804</v>
      </c>
      <c r="E217" s="183" t="s">
        <v>34</v>
      </c>
      <c r="F217" s="114" t="s">
        <v>35</v>
      </c>
      <c r="H217" s="111"/>
      <c r="I217" s="183" t="s">
        <v>3806</v>
      </c>
    </row>
    <row r="218">
      <c r="A218" s="350"/>
      <c r="B218" s="351"/>
      <c r="C218" s="362"/>
      <c r="D218" s="356" t="s">
        <v>3723</v>
      </c>
      <c r="E218" s="350"/>
      <c r="F218" s="351"/>
      <c r="G218" s="351"/>
      <c r="H218" s="351"/>
      <c r="I218" s="350"/>
    </row>
    <row r="219">
      <c r="A219" s="110">
        <v>36861.0</v>
      </c>
      <c r="B219" s="111"/>
      <c r="C219" s="135" t="str">
        <f>HYPERLINK("http://phish.net/sideshows/guest-appearance/?d=2000-12-01", "setlist")</f>
        <v>setlist</v>
      </c>
      <c r="D219" s="183" t="s">
        <v>866</v>
      </c>
      <c r="E219" s="183" t="s">
        <v>309</v>
      </c>
      <c r="F219" s="114" t="s">
        <v>129</v>
      </c>
      <c r="G219" s="114" t="s">
        <v>36</v>
      </c>
      <c r="H219" s="116" t="str">
        <f>HYPERLINK("http://www.mediafire.com/?0svts6upluwsh", "download link")</f>
        <v>download link</v>
      </c>
      <c r="I219" s="113" t="s">
        <v>3807</v>
      </c>
    </row>
    <row r="220">
      <c r="A220" s="350"/>
      <c r="B220" s="351"/>
      <c r="C220" s="362"/>
      <c r="D220" s="356" t="s">
        <v>3498</v>
      </c>
      <c r="E220" s="350"/>
      <c r="F220" s="351"/>
      <c r="G220" s="351"/>
      <c r="H220" s="351"/>
      <c r="I220" s="350"/>
    </row>
    <row r="221">
      <c r="A221" s="110">
        <v>36863.0</v>
      </c>
      <c r="B221" s="111"/>
      <c r="C221" s="135" t="str">
        <f>HYPERLINK("http://phish.net/sideshows/guest-appearance/?d=2000-12-03", "setlist")</f>
        <v>setlist</v>
      </c>
      <c r="D221" s="183" t="s">
        <v>484</v>
      </c>
      <c r="E221" s="183" t="s">
        <v>565</v>
      </c>
      <c r="F221" s="114" t="s">
        <v>129</v>
      </c>
      <c r="G221" s="111"/>
      <c r="H221" s="138"/>
      <c r="I221" s="113" t="s">
        <v>3808</v>
      </c>
    </row>
    <row r="222">
      <c r="A222" s="350"/>
      <c r="B222" s="351"/>
      <c r="C222" s="362"/>
      <c r="D222" s="356" t="s">
        <v>3723</v>
      </c>
      <c r="E222" s="350"/>
      <c r="F222" s="351"/>
      <c r="G222" s="351"/>
      <c r="H222" s="351"/>
      <c r="I222" s="350"/>
    </row>
    <row r="223">
      <c r="A223" s="142">
        <v>36875.0</v>
      </c>
      <c r="B223" s="144"/>
      <c r="C223" s="116" t="str">
        <f>HYPERLINK("http://phish.net/sideshows/guest-appearance/?d=2000-12-15", "setlist")</f>
        <v>setlist</v>
      </c>
      <c r="D223" s="272" t="s">
        <v>3528</v>
      </c>
      <c r="E223" s="272" t="s">
        <v>773</v>
      </c>
      <c r="F223" s="115" t="s">
        <v>472</v>
      </c>
      <c r="G223" s="115" t="s">
        <v>36</v>
      </c>
      <c r="H223" s="116" t="str">
        <f>HYPERLINK("http://www.mediafire.com/?0vvh63unb8fga", "download link")</f>
        <v>download link</v>
      </c>
      <c r="I223" s="118" t="s">
        <v>3715</v>
      </c>
    </row>
    <row r="224">
      <c r="A224" s="350"/>
      <c r="B224" s="351"/>
      <c r="C224" s="362"/>
      <c r="D224" s="356" t="s">
        <v>3494</v>
      </c>
      <c r="E224" s="350"/>
      <c r="F224" s="351"/>
      <c r="G224" s="351"/>
      <c r="H224" s="351"/>
      <c r="I224" s="350"/>
    </row>
    <row r="225">
      <c r="A225" s="110">
        <v>36891.0</v>
      </c>
      <c r="B225" s="111"/>
      <c r="C225" s="135" t="str">
        <f>HYPERLINK("http://phish.net/sideshows/guest-appearance/?d=2000-12-31", "setlist")</f>
        <v>setlist</v>
      </c>
      <c r="D225" s="183" t="s">
        <v>3796</v>
      </c>
      <c r="E225" s="183" t="s">
        <v>2909</v>
      </c>
      <c r="F225" s="114" t="s">
        <v>679</v>
      </c>
      <c r="G225" s="114" t="s">
        <v>36</v>
      </c>
      <c r="H225" s="116" t="str">
        <f>HYPERLINK("http://www.mediafire.com/?h57p0pvmraww9", "download link")</f>
        <v>download link</v>
      </c>
      <c r="I225" s="113" t="s">
        <v>3809</v>
      </c>
    </row>
    <row r="226">
      <c r="A226" s="350"/>
      <c r="B226" s="351"/>
      <c r="C226" s="362"/>
      <c r="D226" s="356" t="s">
        <v>3810</v>
      </c>
      <c r="E226" s="350"/>
      <c r="F226" s="351"/>
      <c r="G226" s="351"/>
      <c r="H226" s="351"/>
      <c r="I226" s="350"/>
    </row>
    <row r="227">
      <c r="A227" s="110">
        <v>36891.0</v>
      </c>
      <c r="B227" s="111"/>
      <c r="C227" s="135" t="str">
        <f>HYPERLINK("http://phish.net/sideshows/guest-appearance/?showid=1333329626", "setlist")</f>
        <v>setlist</v>
      </c>
      <c r="D227" s="183" t="s">
        <v>3796</v>
      </c>
      <c r="E227" s="183" t="s">
        <v>2909</v>
      </c>
      <c r="F227" s="114" t="s">
        <v>679</v>
      </c>
      <c r="G227" s="111"/>
      <c r="H227" s="359"/>
      <c r="I227" s="113" t="s">
        <v>2925</v>
      </c>
    </row>
    <row r="228">
      <c r="A228" s="350"/>
      <c r="B228" s="351"/>
      <c r="C228" s="362"/>
      <c r="D228" s="356" t="s">
        <v>3498</v>
      </c>
      <c r="E228" s="350"/>
      <c r="F228" s="351"/>
      <c r="G228" s="351"/>
      <c r="H228" s="351"/>
      <c r="I228" s="350"/>
    </row>
    <row r="229">
      <c r="A229" s="110">
        <v>36911.0</v>
      </c>
      <c r="B229" s="111"/>
      <c r="C229" s="116" t="str">
        <f>HYPERLINK("http://phish.net/sideshows/guest-appearance/?d=2001-01-20", "setlist")</f>
        <v>setlist</v>
      </c>
      <c r="D229" s="183" t="s">
        <v>2817</v>
      </c>
      <c r="E229" s="183" t="s">
        <v>854</v>
      </c>
      <c r="F229" s="114" t="s">
        <v>35</v>
      </c>
      <c r="G229" s="111"/>
      <c r="H229" s="111"/>
      <c r="I229" s="183" t="s">
        <v>3671</v>
      </c>
    </row>
    <row r="230">
      <c r="A230" s="350"/>
      <c r="B230" s="351"/>
      <c r="C230" s="362"/>
      <c r="D230" s="356" t="s">
        <v>3811</v>
      </c>
      <c r="E230" s="350"/>
      <c r="F230" s="351"/>
      <c r="G230" s="351"/>
      <c r="H230" s="351"/>
      <c r="I230" s="350"/>
    </row>
    <row r="231">
      <c r="A231" s="110">
        <v>36914.0</v>
      </c>
      <c r="B231" s="111"/>
      <c r="C231" s="135" t="str">
        <f>HYPERLINK("http://phish.net/sideshows/guest-appearance/?d=2001-01-23", "setlist")</f>
        <v>setlist</v>
      </c>
      <c r="D231" s="183" t="s">
        <v>2817</v>
      </c>
      <c r="E231" s="183" t="s">
        <v>854</v>
      </c>
      <c r="F231" s="114" t="s">
        <v>35</v>
      </c>
      <c r="G231" s="111"/>
      <c r="H231" s="359"/>
      <c r="I231" s="113" t="s">
        <v>2998</v>
      </c>
    </row>
    <row r="232">
      <c r="A232" s="350"/>
      <c r="B232" s="351"/>
      <c r="C232" s="362"/>
      <c r="D232" s="356" t="s">
        <v>3768</v>
      </c>
      <c r="E232" s="350"/>
      <c r="F232" s="351"/>
      <c r="G232" s="351"/>
      <c r="H232" s="351"/>
      <c r="I232" s="350"/>
    </row>
    <row r="233">
      <c r="A233" s="110">
        <v>36944.0</v>
      </c>
      <c r="B233" s="114" t="s">
        <v>32</v>
      </c>
      <c r="C233" s="135" t="str">
        <f>HYPERLINK("http://phish.net/sideshows/guest-appearance/?showid=13372196533", "setlist")</f>
        <v>setlist</v>
      </c>
      <c r="D233" s="183" t="s">
        <v>3543</v>
      </c>
      <c r="E233" s="183" t="s">
        <v>311</v>
      </c>
      <c r="F233" s="114" t="s">
        <v>129</v>
      </c>
      <c r="G233" s="114" t="s">
        <v>36</v>
      </c>
      <c r="H233" s="116" t="str">
        <f>HYPERLINK("http://www.mediafire.com/?22u3knszi2n2v", "download link")</f>
        <v>download link</v>
      </c>
      <c r="I233" s="113" t="s">
        <v>3671</v>
      </c>
    </row>
    <row r="234">
      <c r="A234" s="350"/>
      <c r="B234" s="351"/>
      <c r="C234" s="362"/>
      <c r="D234" s="356" t="s">
        <v>3812</v>
      </c>
      <c r="E234" s="350"/>
      <c r="F234" s="351"/>
      <c r="G234" s="351"/>
      <c r="H234" s="351"/>
      <c r="I234" s="350"/>
    </row>
    <row r="235">
      <c r="A235" s="110">
        <v>36947.0</v>
      </c>
      <c r="B235" s="111"/>
      <c r="C235" s="135" t="str">
        <f>HYPERLINK("http://phish.net/sideshows/guest-appearance/?d=2001-02-25", "setlist")</f>
        <v>setlist</v>
      </c>
      <c r="D235" s="183" t="s">
        <v>3405</v>
      </c>
      <c r="E235" s="183" t="s">
        <v>247</v>
      </c>
      <c r="F235" s="114" t="s">
        <v>95</v>
      </c>
      <c r="G235" s="111"/>
      <c r="H235" s="359"/>
      <c r="I235" s="113" t="s">
        <v>3813</v>
      </c>
    </row>
    <row r="236">
      <c r="A236" s="350"/>
      <c r="B236" s="351"/>
      <c r="C236" s="362"/>
      <c r="D236" s="356" t="s">
        <v>3777</v>
      </c>
      <c r="E236" s="350"/>
      <c r="F236" s="351"/>
      <c r="G236" s="351"/>
      <c r="H236" s="351"/>
      <c r="I236" s="350"/>
    </row>
    <row r="237">
      <c r="A237" s="110">
        <v>36983.0</v>
      </c>
      <c r="B237" s="111"/>
      <c r="C237" s="135" t="str">
        <f>HYPERLINK("http://phish.net/sideshows/guest-appearance/?d=2001-04-02", "setlist")</f>
        <v>setlist</v>
      </c>
      <c r="D237" s="183" t="s">
        <v>3607</v>
      </c>
      <c r="E237" s="183" t="s">
        <v>34</v>
      </c>
      <c r="F237" s="114" t="s">
        <v>35</v>
      </c>
      <c r="G237" s="111"/>
      <c r="H237" s="359"/>
      <c r="I237" s="113" t="s">
        <v>3795</v>
      </c>
    </row>
    <row r="238">
      <c r="A238" s="350"/>
      <c r="B238" s="351"/>
      <c r="C238" s="362"/>
      <c r="D238" s="356" t="s">
        <v>3814</v>
      </c>
      <c r="E238" s="350"/>
      <c r="F238" s="351"/>
      <c r="G238" s="351"/>
      <c r="H238" s="351"/>
      <c r="I238" s="350"/>
    </row>
    <row r="239">
      <c r="A239" s="110">
        <v>37022.0</v>
      </c>
      <c r="B239" s="111"/>
      <c r="C239" s="135" t="str">
        <f>HYPERLINK("http://phish.net/sideshows/guest-appearance/?d=2001-05-11", "setlist")</f>
        <v>setlist</v>
      </c>
      <c r="D239" s="183" t="s">
        <v>863</v>
      </c>
      <c r="E239" s="183" t="s">
        <v>162</v>
      </c>
      <c r="F239" s="114" t="s">
        <v>129</v>
      </c>
      <c r="G239" s="111"/>
      <c r="H239" s="111"/>
      <c r="I239" s="113" t="s">
        <v>3815</v>
      </c>
    </row>
    <row r="240">
      <c r="A240" s="350"/>
      <c r="B240" s="351"/>
      <c r="C240" s="362"/>
      <c r="D240" s="356" t="s">
        <v>3707</v>
      </c>
      <c r="E240" s="350"/>
      <c r="F240" s="351"/>
      <c r="G240" s="351"/>
      <c r="H240" s="351"/>
      <c r="I240" s="350"/>
    </row>
    <row r="241">
      <c r="A241" s="110">
        <v>37030.0</v>
      </c>
      <c r="B241" s="111"/>
      <c r="C241" s="116" t="str">
        <f>HYPERLINK("http://phish.net/sideshows/guest-appearance/?d=2001-05-19", "setlist")</f>
        <v>setlist</v>
      </c>
      <c r="D241" s="183" t="s">
        <v>3816</v>
      </c>
      <c r="E241" s="183" t="s">
        <v>683</v>
      </c>
      <c r="F241" s="114" t="s">
        <v>679</v>
      </c>
      <c r="G241" s="114" t="s">
        <v>36</v>
      </c>
      <c r="H241" s="116" t="str">
        <f>HYPERLINK("http://www.mediafire.com/?nbmkkiybmkyh0", "download link")</f>
        <v>download link</v>
      </c>
      <c r="I241" s="113" t="s">
        <v>3661</v>
      </c>
    </row>
    <row r="242">
      <c r="A242" s="350"/>
      <c r="B242" s="351"/>
      <c r="C242" s="362"/>
      <c r="D242" s="356" t="s">
        <v>3817</v>
      </c>
      <c r="E242" s="350"/>
      <c r="F242" s="351"/>
      <c r="G242" s="351"/>
      <c r="H242" s="351"/>
      <c r="I242" s="350"/>
    </row>
    <row r="243">
      <c r="A243" s="110">
        <v>37031.0</v>
      </c>
      <c r="B243" s="111"/>
      <c r="C243" s="116" t="str">
        <f>HYPERLINK("http://phish.net/sideshows/guest-appearance/?d=2001-05-20", "setlist")</f>
        <v>setlist</v>
      </c>
      <c r="D243" s="183" t="s">
        <v>3818</v>
      </c>
      <c r="E243" s="183" t="s">
        <v>2832</v>
      </c>
      <c r="F243" s="114" t="s">
        <v>679</v>
      </c>
      <c r="G243" s="114" t="s">
        <v>36</v>
      </c>
      <c r="H243" s="116" t="str">
        <f>HYPERLINK("http://www.mediafire.com/?268vad7yvh3ca", "download link")</f>
        <v>download link</v>
      </c>
      <c r="I243" s="113" t="s">
        <v>3671</v>
      </c>
    </row>
    <row r="244">
      <c r="A244" s="350"/>
      <c r="B244" s="351"/>
      <c r="C244" s="362"/>
      <c r="D244" s="356" t="s">
        <v>3200</v>
      </c>
      <c r="E244" s="350"/>
      <c r="F244" s="351"/>
      <c r="G244" s="351"/>
      <c r="H244" s="351"/>
      <c r="I244" s="350"/>
    </row>
    <row r="245">
      <c r="A245" s="110">
        <v>37035.0</v>
      </c>
      <c r="B245" s="111"/>
      <c r="C245" s="116" t="str">
        <f>HYPERLINK("http://phish.net/sideshows/guest-appearance/?d=2001-05-24", "setlist")</f>
        <v>setlist</v>
      </c>
      <c r="D245" s="183" t="s">
        <v>3607</v>
      </c>
      <c r="E245" s="183" t="s">
        <v>34</v>
      </c>
      <c r="F245" s="114" t="s">
        <v>35</v>
      </c>
      <c r="G245" s="111"/>
      <c r="H245" s="359"/>
      <c r="I245" s="113" t="s">
        <v>3664</v>
      </c>
    </row>
    <row r="246">
      <c r="A246" s="350"/>
      <c r="B246" s="351"/>
      <c r="C246" s="362"/>
      <c r="D246" s="356" t="s">
        <v>3819</v>
      </c>
      <c r="E246" s="350"/>
      <c r="F246" s="351"/>
      <c r="G246" s="351"/>
      <c r="H246" s="351"/>
      <c r="I246" s="350"/>
    </row>
    <row r="247">
      <c r="A247" s="110">
        <v>37040.0</v>
      </c>
      <c r="B247" s="111"/>
      <c r="C247" s="116" t="str">
        <f>HYPERLINK("http://phish.net/sideshows/guest-appearance/?d=2001-05-29", "setlist")</f>
        <v>setlist</v>
      </c>
      <c r="D247" s="183" t="s">
        <v>3236</v>
      </c>
      <c r="E247" s="183" t="s">
        <v>162</v>
      </c>
      <c r="F247" s="114" t="s">
        <v>129</v>
      </c>
      <c r="G247" s="111"/>
      <c r="H247" s="359"/>
      <c r="I247" s="113" t="s">
        <v>3820</v>
      </c>
    </row>
    <row r="248">
      <c r="A248" s="350"/>
      <c r="B248" s="351"/>
      <c r="C248" s="396"/>
      <c r="D248" s="356" t="s">
        <v>3821</v>
      </c>
      <c r="E248" s="350"/>
      <c r="F248" s="351"/>
      <c r="G248" s="351"/>
      <c r="H248" s="351"/>
      <c r="I248" s="350"/>
    </row>
    <row r="249">
      <c r="A249" s="110">
        <v>37105.0</v>
      </c>
      <c r="B249" s="114" t="s">
        <v>32</v>
      </c>
      <c r="C249" s="135" t="str">
        <f>HYPERLINK("http://phish.net/sideshows/guest-appearance/?showid=1338341999","setlist")</f>
        <v>setlist</v>
      </c>
      <c r="D249" s="183" t="s">
        <v>271</v>
      </c>
      <c r="E249" s="183" t="s">
        <v>162</v>
      </c>
      <c r="F249" s="114" t="s">
        <v>129</v>
      </c>
      <c r="G249" s="114" t="s">
        <v>36</v>
      </c>
      <c r="H249" s="135" t="str">
        <f>HYPERLINK("http://www.mediafire.com/?gcy7aeksh68q9","download link")</f>
        <v>download link</v>
      </c>
      <c r="I249" s="113" t="s">
        <v>3718</v>
      </c>
    </row>
    <row r="250">
      <c r="A250" s="350"/>
      <c r="B250" s="351"/>
      <c r="C250" s="362"/>
      <c r="D250" s="356" t="s">
        <v>3822</v>
      </c>
      <c r="E250" s="350"/>
      <c r="F250" s="351"/>
      <c r="G250" s="351"/>
      <c r="H250" s="351"/>
      <c r="I250" s="350"/>
    </row>
    <row r="251">
      <c r="A251" s="110">
        <v>37143.0</v>
      </c>
      <c r="B251" s="111"/>
      <c r="C251" s="116" t="str">
        <f>HYPERLINK("http://phish.net/sideshows/guest-appearance/?d=2001-09-09", "setlist")</f>
        <v>setlist</v>
      </c>
      <c r="D251" s="183" t="s">
        <v>2817</v>
      </c>
      <c r="E251" s="183" t="s">
        <v>854</v>
      </c>
      <c r="F251" s="114" t="s">
        <v>35</v>
      </c>
      <c r="G251" s="111"/>
      <c r="H251" s="359"/>
      <c r="I251" s="113" t="s">
        <v>3781</v>
      </c>
    </row>
    <row r="252">
      <c r="A252" s="350"/>
      <c r="B252" s="351"/>
      <c r="C252" s="362"/>
      <c r="D252" s="356" t="s">
        <v>3798</v>
      </c>
      <c r="E252" s="350"/>
      <c r="F252" s="351"/>
      <c r="G252" s="351"/>
      <c r="H252" s="351"/>
      <c r="I252" s="350"/>
    </row>
    <row r="253">
      <c r="A253" s="110">
        <v>37144.0</v>
      </c>
      <c r="B253" s="111"/>
      <c r="C253" s="116" t="str">
        <f>HYPERLINK("http://phish.net/sideshows/guest-appearance/?d=2001-09-10", "setlist")</f>
        <v>setlist</v>
      </c>
      <c r="D253" s="183" t="s">
        <v>271</v>
      </c>
      <c r="E253" s="183" t="s">
        <v>162</v>
      </c>
      <c r="F253" s="114" t="s">
        <v>129</v>
      </c>
      <c r="G253" s="114" t="s">
        <v>36</v>
      </c>
      <c r="H253" s="135" t="str">
        <f>HYPERLINK("http://www.mediafire.com/?lly4rh46yzinf","download link")</f>
        <v>download link</v>
      </c>
      <c r="I253" s="113" t="s">
        <v>2998</v>
      </c>
    </row>
    <row r="254">
      <c r="A254" s="350"/>
      <c r="B254" s="351"/>
      <c r="C254" s="362"/>
      <c r="D254" s="356" t="s">
        <v>3823</v>
      </c>
      <c r="E254" s="350"/>
      <c r="F254" s="351"/>
      <c r="G254" s="351"/>
      <c r="H254" s="351"/>
      <c r="I254" s="350"/>
    </row>
    <row r="255">
      <c r="A255" s="110">
        <v>37151.0</v>
      </c>
      <c r="B255" s="111"/>
      <c r="C255" s="116" t="str">
        <f>HYPERLINK("http://phish.net/sideshows/guest-appearance/?d=2001-09-17", "setlist")</f>
        <v>setlist</v>
      </c>
      <c r="D255" s="183" t="s">
        <v>3548</v>
      </c>
      <c r="E255" s="183" t="s">
        <v>585</v>
      </c>
      <c r="F255" s="114" t="s">
        <v>586</v>
      </c>
      <c r="G255" s="111"/>
      <c r="H255" s="359"/>
      <c r="I255" s="113" t="s">
        <v>2941</v>
      </c>
    </row>
    <row r="256">
      <c r="A256" s="350"/>
      <c r="B256" s="351"/>
      <c r="C256" s="362"/>
      <c r="D256" s="356" t="s">
        <v>3824</v>
      </c>
      <c r="E256" s="350"/>
      <c r="F256" s="351"/>
      <c r="G256" s="351"/>
      <c r="H256" s="351"/>
      <c r="I256" s="350"/>
    </row>
    <row r="257">
      <c r="A257" s="110">
        <v>37162.0</v>
      </c>
      <c r="B257" s="114" t="s">
        <v>32</v>
      </c>
      <c r="C257" s="135" t="str">
        <f>HYPERLINK("http://phish.net/sideshows/guest-appearance/?d=2001-09-28", "setlist")</f>
        <v>setlist</v>
      </c>
      <c r="D257" s="183" t="s">
        <v>2817</v>
      </c>
      <c r="E257" s="183" t="s">
        <v>854</v>
      </c>
      <c r="F257" s="114" t="s">
        <v>35</v>
      </c>
      <c r="G257" s="114" t="s">
        <v>36</v>
      </c>
      <c r="H257" s="116" t="str">
        <f>HYPERLINK("http://www.mediafire.com/?tjzqdkzebbtzv", "download link")</f>
        <v>download link</v>
      </c>
      <c r="I257" s="113" t="s">
        <v>2852</v>
      </c>
    </row>
    <row r="258">
      <c r="A258" s="350"/>
      <c r="B258" s="351"/>
      <c r="C258" s="362"/>
      <c r="D258" s="356" t="s">
        <v>3825</v>
      </c>
      <c r="E258" s="350"/>
      <c r="F258" s="351"/>
      <c r="G258" s="351"/>
      <c r="H258" s="351"/>
      <c r="I258" s="350"/>
    </row>
    <row r="259">
      <c r="A259" s="110">
        <v>37169.0</v>
      </c>
      <c r="B259" s="111"/>
      <c r="C259" s="135" t="str">
        <f>HYPERLINK("http://phish.net/sideshows/guest-appearance/?d=2001-10-05", "setlist")</f>
        <v>setlist</v>
      </c>
      <c r="D259" s="183" t="s">
        <v>2851</v>
      </c>
      <c r="E259" s="183" t="s">
        <v>311</v>
      </c>
      <c r="F259" s="114" t="s">
        <v>129</v>
      </c>
      <c r="G259" s="111"/>
      <c r="H259" s="111"/>
      <c r="I259" s="113" t="s">
        <v>3741</v>
      </c>
    </row>
    <row r="260">
      <c r="A260" s="350"/>
      <c r="B260" s="351"/>
      <c r="C260" s="362"/>
      <c r="D260" s="356" t="s">
        <v>3685</v>
      </c>
      <c r="E260" s="350"/>
      <c r="F260" s="351"/>
      <c r="G260" s="351"/>
      <c r="H260" s="351"/>
      <c r="I260" s="350"/>
    </row>
    <row r="261">
      <c r="A261" s="110">
        <v>37180.0</v>
      </c>
      <c r="B261" s="111"/>
      <c r="C261" s="135" t="str">
        <f>HYPERLINK("http://phish.net/sideshows/guest-appearance/?showid=1327852685", "setlist")</f>
        <v>setlist</v>
      </c>
      <c r="D261" s="183" t="s">
        <v>1306</v>
      </c>
      <c r="E261" s="183" t="s">
        <v>791</v>
      </c>
      <c r="F261" s="114" t="s">
        <v>701</v>
      </c>
      <c r="G261" s="114" t="s">
        <v>36</v>
      </c>
      <c r="H261" s="116" t="str">
        <f>HYPERLINK("http://www.mediafire.com/?68eq0nh37qz6a", "download link")</f>
        <v>download link</v>
      </c>
      <c r="I261" s="113" t="s">
        <v>3671</v>
      </c>
    </row>
    <row r="262">
      <c r="A262" s="350"/>
      <c r="B262" s="351"/>
      <c r="C262" s="362"/>
      <c r="D262" s="356" t="s">
        <v>3814</v>
      </c>
      <c r="E262" s="350"/>
      <c r="F262" s="351"/>
      <c r="G262" s="351"/>
      <c r="H262" s="351"/>
      <c r="I262" s="350"/>
    </row>
    <row r="263">
      <c r="A263" s="142">
        <v>37182.0</v>
      </c>
      <c r="B263" s="144"/>
      <c r="C263" s="116" t="str">
        <f>HYPERLINK("http://phish.net/sideshows/guest-appearance/?showid=1326933190", "setlist")</f>
        <v>setlist</v>
      </c>
      <c r="D263" s="272" t="s">
        <v>863</v>
      </c>
      <c r="E263" s="272" t="s">
        <v>162</v>
      </c>
      <c r="F263" s="115" t="s">
        <v>129</v>
      </c>
      <c r="G263" s="144"/>
      <c r="H263" s="144"/>
      <c r="I263" s="118" t="s">
        <v>3718</v>
      </c>
    </row>
    <row r="264">
      <c r="A264" s="350"/>
      <c r="B264" s="351"/>
      <c r="C264" s="362"/>
      <c r="D264" s="356" t="s">
        <v>3685</v>
      </c>
      <c r="E264" s="350"/>
      <c r="F264" s="351"/>
      <c r="G264" s="351"/>
      <c r="H264" s="351"/>
      <c r="I264" s="350"/>
    </row>
    <row r="265">
      <c r="A265" s="110">
        <v>37186.0</v>
      </c>
      <c r="B265" s="111"/>
      <c r="C265" s="116" t="str">
        <f>HYPERLINK("http://phish.net/sideshows/guest-appearance/?d=2001-10-22", "setlist")</f>
        <v>setlist</v>
      </c>
      <c r="D265" s="183" t="s">
        <v>1913</v>
      </c>
      <c r="E265" s="183" t="s">
        <v>1160</v>
      </c>
      <c r="F265" s="114" t="s">
        <v>805</v>
      </c>
      <c r="G265" s="111"/>
      <c r="H265" s="111"/>
      <c r="I265" s="113" t="s">
        <v>3664</v>
      </c>
    </row>
    <row r="266">
      <c r="A266" s="350"/>
      <c r="B266" s="351"/>
      <c r="C266" s="362"/>
      <c r="D266" s="356" t="s">
        <v>3494</v>
      </c>
      <c r="E266" s="350"/>
      <c r="F266" s="351"/>
      <c r="G266" s="351"/>
      <c r="H266" s="351"/>
      <c r="I266" s="350"/>
    </row>
    <row r="267">
      <c r="A267" s="110">
        <v>37211.0</v>
      </c>
      <c r="B267" s="111"/>
      <c r="C267" s="116" t="str">
        <f>HYPERLINK("http://phish.net/sideshows/guest-appearance/?showid=1327269437", "setlist")</f>
        <v>setlist</v>
      </c>
      <c r="D267" s="183" t="s">
        <v>2895</v>
      </c>
      <c r="E267" s="183" t="s">
        <v>34</v>
      </c>
      <c r="F267" s="114" t="s">
        <v>35</v>
      </c>
      <c r="G267" s="115" t="s">
        <v>36</v>
      </c>
      <c r="H267" s="116" t="str">
        <f>HYPERLINK("http://www.mediafire.com/?3g1yyqccryf1u","download link")</f>
        <v>download link</v>
      </c>
      <c r="I267" s="113" t="s">
        <v>2812</v>
      </c>
    </row>
    <row r="268">
      <c r="A268" s="350"/>
      <c r="B268" s="351"/>
      <c r="C268" s="362"/>
      <c r="D268" s="356" t="s">
        <v>3826</v>
      </c>
      <c r="E268" s="350"/>
      <c r="F268" s="351"/>
      <c r="G268" s="351"/>
      <c r="H268" s="351"/>
      <c r="I268" s="350"/>
    </row>
    <row r="269">
      <c r="A269" s="110">
        <v>37213.0</v>
      </c>
      <c r="B269" s="111"/>
      <c r="C269" s="116" t="str">
        <f>HYPERLINK("http://phish.net/sideshows/guest-appearance/?showid=1331261389", "setlist")</f>
        <v>setlist</v>
      </c>
      <c r="D269" s="183" t="s">
        <v>3236</v>
      </c>
      <c r="E269" s="183" t="s">
        <v>162</v>
      </c>
      <c r="F269" s="114" t="s">
        <v>129</v>
      </c>
      <c r="G269" s="111"/>
      <c r="H269" s="111"/>
      <c r="I269" s="113" t="s">
        <v>3827</v>
      </c>
    </row>
    <row r="270">
      <c r="A270" s="350"/>
      <c r="B270" s="351"/>
      <c r="C270" s="362"/>
      <c r="D270" s="356" t="s">
        <v>3828</v>
      </c>
      <c r="E270" s="350"/>
      <c r="F270" s="351"/>
      <c r="G270" s="351"/>
      <c r="H270" s="351"/>
      <c r="I270" s="350"/>
    </row>
    <row r="271">
      <c r="A271" s="110">
        <v>37215.0</v>
      </c>
      <c r="B271" s="111"/>
      <c r="C271" s="116" t="str">
        <f>HYPERLINK("http://phish.net/sideshows/guest-appearance/?d=2001-11-20", "setlist")</f>
        <v>setlist</v>
      </c>
      <c r="D271" s="183" t="s">
        <v>3236</v>
      </c>
      <c r="E271" s="183" t="s">
        <v>162</v>
      </c>
      <c r="F271" s="114" t="s">
        <v>129</v>
      </c>
      <c r="G271" s="114" t="s">
        <v>36</v>
      </c>
      <c r="H271" s="116" t="str">
        <f>HYPERLINK("http://www.mediafire.com/?mqbbxv0a699ho", "download link")</f>
        <v>download link</v>
      </c>
      <c r="I271" s="113" t="s">
        <v>2998</v>
      </c>
    </row>
    <row r="272">
      <c r="A272" s="350"/>
      <c r="B272" s="351"/>
      <c r="C272" s="362"/>
      <c r="D272" s="356" t="s">
        <v>3814</v>
      </c>
      <c r="E272" s="350"/>
      <c r="F272" s="351"/>
      <c r="G272" s="351"/>
      <c r="H272" s="351"/>
      <c r="I272" s="350"/>
    </row>
    <row r="273">
      <c r="A273" s="110">
        <v>37246.0</v>
      </c>
      <c r="B273" s="111"/>
      <c r="C273" s="116" t="str">
        <f>HYPERLINK("http://phish.net/sideshows/guest-appearance/?d=2001-12-21", "setlist")</f>
        <v>setlist</v>
      </c>
      <c r="D273" s="183" t="s">
        <v>2326</v>
      </c>
      <c r="E273" s="183" t="s">
        <v>2327</v>
      </c>
      <c r="F273" s="114" t="s">
        <v>443</v>
      </c>
      <c r="G273" s="111"/>
      <c r="H273" s="359"/>
      <c r="I273" s="113" t="s">
        <v>2787</v>
      </c>
    </row>
    <row r="274">
      <c r="A274" s="350"/>
      <c r="B274" s="351"/>
      <c r="C274" s="362"/>
      <c r="D274" s="356" t="s">
        <v>3829</v>
      </c>
      <c r="E274" s="350"/>
      <c r="F274" s="351"/>
      <c r="G274" s="351"/>
      <c r="H274" s="351"/>
      <c r="I274" s="350"/>
    </row>
    <row r="275">
      <c r="A275" s="110">
        <v>37247.0</v>
      </c>
      <c r="B275" s="111"/>
      <c r="C275" s="116" t="str">
        <f>HYPERLINK("http://phish.net/sideshows/guest-appearance/?d=2001-12-22", "setlist")</f>
        <v>setlist</v>
      </c>
      <c r="D275" s="183" t="s">
        <v>761</v>
      </c>
      <c r="E275" s="183" t="s">
        <v>437</v>
      </c>
      <c r="F275" s="114" t="s">
        <v>433</v>
      </c>
      <c r="G275" s="111"/>
      <c r="H275" s="359"/>
      <c r="I275" s="113" t="s">
        <v>3770</v>
      </c>
    </row>
    <row r="276">
      <c r="A276" s="350"/>
      <c r="B276" s="351"/>
      <c r="C276" s="362"/>
      <c r="D276" s="356" t="s">
        <v>3747</v>
      </c>
      <c r="E276" s="350"/>
      <c r="F276" s="351"/>
      <c r="G276" s="351"/>
      <c r="H276" s="351"/>
      <c r="I276" s="350"/>
    </row>
    <row r="277">
      <c r="A277" s="110">
        <v>37293.0</v>
      </c>
      <c r="B277" s="111"/>
      <c r="C277" s="116" t="str">
        <f>HYPERLINK("http://phish.net/sideshows/guest-appearance/?d=2002-02-06", "setlist")</f>
        <v>setlist</v>
      </c>
      <c r="D277" s="183" t="s">
        <v>2817</v>
      </c>
      <c r="E277" s="183" t="s">
        <v>854</v>
      </c>
      <c r="F277" s="114" t="s">
        <v>35</v>
      </c>
      <c r="G277" s="111"/>
      <c r="H277" s="111"/>
      <c r="I277" s="113" t="s">
        <v>2885</v>
      </c>
    </row>
    <row r="278">
      <c r="A278" s="350"/>
      <c r="B278" s="351"/>
      <c r="C278" s="362"/>
      <c r="D278" s="356" t="s">
        <v>3830</v>
      </c>
      <c r="E278" s="350"/>
      <c r="F278" s="351"/>
      <c r="G278" s="351"/>
      <c r="H278" s="351"/>
      <c r="I278" s="350"/>
    </row>
    <row r="279">
      <c r="A279" s="110">
        <v>37294.0</v>
      </c>
      <c r="B279" s="111"/>
      <c r="C279" s="116" t="str">
        <f>HYPERLINK("http://phish.net/sideshows/guest-appearance/?d=2002-02-07", "setlist")</f>
        <v>setlist</v>
      </c>
      <c r="D279" s="183" t="s">
        <v>3511</v>
      </c>
      <c r="E279" s="183" t="s">
        <v>162</v>
      </c>
      <c r="F279" s="114" t="s">
        <v>129</v>
      </c>
      <c r="G279" s="114" t="s">
        <v>36</v>
      </c>
      <c r="H279" s="116" t="str">
        <f>HYPERLINK("http://www.mediafire.com/?h3z85zavx5c5z", "download link")</f>
        <v>download link</v>
      </c>
      <c r="I279" s="113" t="s">
        <v>3831</v>
      </c>
    </row>
    <row r="280">
      <c r="A280" s="350"/>
      <c r="B280" s="351"/>
      <c r="C280" s="362"/>
      <c r="D280" s="356" t="s">
        <v>2793</v>
      </c>
      <c r="E280" s="350"/>
      <c r="F280" s="351"/>
      <c r="G280" s="351"/>
      <c r="H280" s="351"/>
      <c r="I280" s="350"/>
    </row>
    <row r="281">
      <c r="A281" s="110">
        <v>37295.0</v>
      </c>
      <c r="B281" s="111"/>
      <c r="C281" s="116" t="str">
        <f>HYPERLINK("http://phish.net/sideshows/guest-appearance/?d=2002-02-08", "setlist")</f>
        <v>setlist</v>
      </c>
      <c r="D281" s="183" t="s">
        <v>2817</v>
      </c>
      <c r="E281" s="183" t="s">
        <v>854</v>
      </c>
      <c r="F281" s="114" t="s">
        <v>35</v>
      </c>
      <c r="G281" s="114" t="s">
        <v>36</v>
      </c>
      <c r="H281" s="116" t="str">
        <f>HYPERLINK("http://www.mediafire.com/?9a90xu39zg20z", "download link")</f>
        <v>download link</v>
      </c>
      <c r="I281" s="113" t="s">
        <v>3664</v>
      </c>
    </row>
    <row r="282">
      <c r="A282" s="350"/>
      <c r="B282" s="351"/>
      <c r="C282" s="362"/>
      <c r="D282" s="356" t="s">
        <v>3832</v>
      </c>
      <c r="E282" s="350"/>
      <c r="F282" s="351"/>
      <c r="G282" s="351"/>
      <c r="H282" s="351"/>
      <c r="I282" s="350"/>
    </row>
    <row r="283">
      <c r="A283" s="110">
        <v>37300.0</v>
      </c>
      <c r="B283" s="111"/>
      <c r="C283" s="116" t="str">
        <f>HYPERLINK("http://phish.net/sideshows/guest-appearance/?d=2002-02-13", "setlist")</f>
        <v>setlist</v>
      </c>
      <c r="D283" s="183" t="s">
        <v>2817</v>
      </c>
      <c r="E283" s="183" t="s">
        <v>854</v>
      </c>
      <c r="F283" s="114" t="s">
        <v>35</v>
      </c>
      <c r="G283" s="111"/>
      <c r="H283" s="359"/>
      <c r="I283" s="113" t="s">
        <v>3741</v>
      </c>
    </row>
    <row r="284">
      <c r="A284" s="350"/>
      <c r="B284" s="351"/>
      <c r="C284" s="362"/>
      <c r="D284" s="356" t="s">
        <v>3801</v>
      </c>
      <c r="E284" s="350"/>
      <c r="F284" s="351"/>
      <c r="G284" s="351"/>
      <c r="H284" s="351"/>
      <c r="I284" s="350"/>
    </row>
    <row r="285">
      <c r="A285" s="110">
        <v>37331.0</v>
      </c>
      <c r="B285" s="111"/>
      <c r="C285" s="116" t="str">
        <f>HYPERLINK("http://phish.net/sideshows/guest-appearance/?d=2002-03-16", "setlist")</f>
        <v>setlist</v>
      </c>
      <c r="D285" s="183" t="s">
        <v>3833</v>
      </c>
      <c r="E285" s="183" t="s">
        <v>3834</v>
      </c>
      <c r="F285" s="114" t="s">
        <v>1133</v>
      </c>
      <c r="G285" s="111"/>
      <c r="H285" s="359"/>
      <c r="I285" s="113" t="s">
        <v>3835</v>
      </c>
    </row>
    <row r="286">
      <c r="A286" s="350"/>
      <c r="B286" s="351"/>
      <c r="C286" s="362"/>
      <c r="D286" s="356" t="s">
        <v>3798</v>
      </c>
      <c r="E286" s="350"/>
      <c r="F286" s="351"/>
      <c r="G286" s="351"/>
      <c r="H286" s="351"/>
      <c r="I286" s="350"/>
    </row>
    <row r="287">
      <c r="A287" s="110">
        <v>37366.0</v>
      </c>
      <c r="B287" s="111"/>
      <c r="C287" s="116" t="str">
        <f>HYPERLINK("http://phish.net/sideshows/guest-appearance/?showid=1330402953", "setlist")</f>
        <v>setlist</v>
      </c>
      <c r="D287" s="183" t="s">
        <v>3463</v>
      </c>
      <c r="E287" s="183" t="s">
        <v>34</v>
      </c>
      <c r="F287" s="114" t="s">
        <v>35</v>
      </c>
      <c r="G287" s="111"/>
      <c r="H287" s="359"/>
      <c r="I287" s="113" t="s">
        <v>3836</v>
      </c>
    </row>
    <row r="288">
      <c r="A288" s="350"/>
      <c r="B288" s="351"/>
      <c r="C288" s="362"/>
      <c r="D288" s="356" t="s">
        <v>3837</v>
      </c>
      <c r="E288" s="350"/>
      <c r="F288" s="351"/>
      <c r="G288" s="351"/>
      <c r="H288" s="351"/>
      <c r="I288" s="350"/>
    </row>
    <row r="289">
      <c r="A289" s="110">
        <v>37400.0</v>
      </c>
      <c r="B289" s="114" t="s">
        <v>32</v>
      </c>
      <c r="C289" s="116" t="str">
        <f>HYPERLINK("http://phish.net/sideshows/guest-appearance/?showid=1328729428", "setlist")</f>
        <v>setlist</v>
      </c>
      <c r="D289" s="183" t="s">
        <v>2481</v>
      </c>
      <c r="E289" s="183" t="s">
        <v>683</v>
      </c>
      <c r="F289" s="114" t="s">
        <v>679</v>
      </c>
      <c r="G289" s="114" t="s">
        <v>36</v>
      </c>
      <c r="H289" s="116" t="str">
        <f>HYPERLINK("http://www.mediafire.com/?oi6rey4sw3a11", "download link")</f>
        <v>download link</v>
      </c>
      <c r="I289" s="113" t="s">
        <v>3661</v>
      </c>
    </row>
    <row r="290">
      <c r="A290" s="350"/>
      <c r="B290" s="351"/>
      <c r="C290" s="362"/>
      <c r="D290" s="356" t="s">
        <v>3823</v>
      </c>
      <c r="E290" s="350"/>
      <c r="F290" s="351"/>
      <c r="G290" s="351"/>
      <c r="H290" s="351"/>
      <c r="I290" s="350"/>
    </row>
    <row r="291">
      <c r="A291" s="110">
        <v>37400.0</v>
      </c>
      <c r="B291" s="111"/>
      <c r="C291" s="116" t="str">
        <f>HYPERLINK("http://phish.net/sideshows/guest-appearance/?showid=1328375582", "setlist")</f>
        <v>setlist</v>
      </c>
      <c r="D291" s="183" t="s">
        <v>2804</v>
      </c>
      <c r="E291" s="183" t="s">
        <v>34</v>
      </c>
      <c r="F291" s="114" t="s">
        <v>35</v>
      </c>
      <c r="G291" s="111"/>
      <c r="H291" s="111"/>
      <c r="I291" s="113" t="s">
        <v>3838</v>
      </c>
    </row>
    <row r="292">
      <c r="A292" s="350"/>
      <c r="B292" s="351"/>
      <c r="C292" s="362"/>
      <c r="D292" s="356" t="s">
        <v>3803</v>
      </c>
      <c r="E292" s="350"/>
      <c r="F292" s="351"/>
      <c r="G292" s="351"/>
      <c r="H292" s="351"/>
      <c r="I292" s="350"/>
    </row>
    <row r="293">
      <c r="A293" s="110">
        <v>37401.0</v>
      </c>
      <c r="B293" s="111"/>
      <c r="C293" s="116" t="str">
        <f>HYPERLINK("http://phish.net/sideshows/guest-appearance/?showid=1338521284", "setlist")</f>
        <v>setlist</v>
      </c>
      <c r="D293" s="183" t="s">
        <v>2883</v>
      </c>
      <c r="E293" s="183" t="s">
        <v>3839</v>
      </c>
      <c r="F293" s="114" t="s">
        <v>679</v>
      </c>
      <c r="G293" s="111"/>
      <c r="H293" s="111"/>
      <c r="I293" s="113" t="s">
        <v>3661</v>
      </c>
    </row>
    <row r="294">
      <c r="A294" s="350"/>
      <c r="B294" s="351"/>
      <c r="C294" s="362"/>
      <c r="D294" s="356" t="s">
        <v>3840</v>
      </c>
      <c r="E294" s="350"/>
      <c r="F294" s="351"/>
      <c r="G294" s="351"/>
      <c r="H294" s="351"/>
      <c r="I294" s="350"/>
    </row>
    <row r="295">
      <c r="A295" s="110">
        <v>37406.0</v>
      </c>
      <c r="B295" s="111"/>
      <c r="C295" s="135" t="str">
        <f>HYPERLINK("http://phish.net/sideshows/guest-appearance/?d=2002-05-30", "setlist")</f>
        <v>setlist</v>
      </c>
      <c r="D295" s="183" t="s">
        <v>3841</v>
      </c>
      <c r="E295" s="183" t="s">
        <v>162</v>
      </c>
      <c r="F295" s="114" t="s">
        <v>129</v>
      </c>
      <c r="G295" s="111"/>
      <c r="H295" s="111"/>
      <c r="I295" s="113" t="s">
        <v>3842</v>
      </c>
    </row>
    <row r="296">
      <c r="A296" s="350"/>
      <c r="B296" s="351"/>
      <c r="C296" s="362"/>
      <c r="D296" s="356" t="s">
        <v>3837</v>
      </c>
      <c r="E296" s="350"/>
      <c r="F296" s="351"/>
      <c r="G296" s="351"/>
      <c r="H296" s="351"/>
      <c r="I296" s="350"/>
    </row>
    <row r="297">
      <c r="A297" s="110">
        <v>37407.0</v>
      </c>
      <c r="B297" s="114" t="s">
        <v>32</v>
      </c>
      <c r="C297" s="135" t="str">
        <f>HYPERLINK("http://phish.net/sideshows/guest-appearance/?showid=1327198573", "setlist")</f>
        <v>setlist</v>
      </c>
      <c r="D297" s="183" t="s">
        <v>1938</v>
      </c>
      <c r="E297" s="183" t="s">
        <v>1804</v>
      </c>
      <c r="F297" s="114" t="s">
        <v>1805</v>
      </c>
      <c r="G297" s="114" t="s">
        <v>36</v>
      </c>
      <c r="H297" s="116" t="str">
        <f>HYPERLINK("http://www.mediafire.com/?14odku5c804ee", "download link")</f>
        <v>download link</v>
      </c>
      <c r="I297" s="113" t="s">
        <v>3661</v>
      </c>
    </row>
    <row r="298">
      <c r="A298" s="350"/>
      <c r="B298" s="351"/>
      <c r="C298" s="362"/>
      <c r="D298" s="356" t="s">
        <v>3786</v>
      </c>
      <c r="E298" s="350"/>
      <c r="F298" s="351"/>
      <c r="G298" s="351"/>
      <c r="H298" s="351"/>
      <c r="I298" s="350"/>
    </row>
    <row r="299">
      <c r="A299" s="110">
        <v>37407.0</v>
      </c>
      <c r="B299" s="111"/>
      <c r="C299" s="135" t="str">
        <f>HYPERLINK("http://phish.net/sideshows/guest-appearance/?showid=1327209609", "setlist")</f>
        <v>setlist</v>
      </c>
      <c r="D299" s="183" t="s">
        <v>1938</v>
      </c>
      <c r="E299" s="183" t="s">
        <v>1804</v>
      </c>
      <c r="F299" s="114" t="s">
        <v>1805</v>
      </c>
      <c r="G299" s="111"/>
      <c r="H299" s="111"/>
      <c r="I299" s="113" t="s">
        <v>3670</v>
      </c>
    </row>
    <row r="300">
      <c r="A300" s="350"/>
      <c r="B300" s="351"/>
      <c r="C300" s="362"/>
      <c r="D300" s="356" t="s">
        <v>3840</v>
      </c>
      <c r="E300" s="350"/>
      <c r="F300" s="351"/>
      <c r="G300" s="351"/>
      <c r="H300" s="351"/>
      <c r="I300" s="350"/>
    </row>
    <row r="301">
      <c r="A301" s="110">
        <v>37407.0</v>
      </c>
      <c r="B301" s="111"/>
      <c r="C301" s="135" t="str">
        <f>HYPERLINK("http://phish.net/sideshows/guest-appearance/?showid=1327211402", "setlist")</f>
        <v>setlist</v>
      </c>
      <c r="D301" s="183" t="s">
        <v>3841</v>
      </c>
      <c r="E301" s="183" t="s">
        <v>162</v>
      </c>
      <c r="F301" s="114" t="s">
        <v>129</v>
      </c>
      <c r="G301" s="111"/>
      <c r="H301" s="111"/>
      <c r="I301" s="113" t="s">
        <v>2925</v>
      </c>
    </row>
    <row r="302">
      <c r="A302" s="350"/>
      <c r="B302" s="351"/>
      <c r="C302" s="362"/>
      <c r="D302" s="356" t="s">
        <v>3843</v>
      </c>
      <c r="E302" s="350"/>
      <c r="F302" s="351"/>
      <c r="G302" s="351"/>
      <c r="H302" s="351"/>
      <c r="I302" s="350"/>
    </row>
    <row r="303">
      <c r="A303" s="110">
        <v>37420.0</v>
      </c>
      <c r="B303" s="111"/>
      <c r="C303" s="135" t="str">
        <f>HYPERLINK("http://phish.net/sideshows/guest-appearance/?showid=1330395342", "setlist")</f>
        <v>setlist</v>
      </c>
      <c r="D303" s="183" t="s">
        <v>3844</v>
      </c>
      <c r="E303" s="183" t="s">
        <v>162</v>
      </c>
      <c r="F303" s="114" t="s">
        <v>129</v>
      </c>
      <c r="G303" s="111"/>
      <c r="H303" s="111"/>
      <c r="I303" s="113" t="s">
        <v>3712</v>
      </c>
    </row>
    <row r="304">
      <c r="A304" s="350"/>
      <c r="B304" s="351"/>
      <c r="C304" s="362"/>
      <c r="D304" s="356" t="s">
        <v>3845</v>
      </c>
      <c r="E304" s="350"/>
      <c r="F304" s="351"/>
      <c r="G304" s="351"/>
      <c r="H304" s="351"/>
      <c r="I304" s="350"/>
    </row>
    <row r="305">
      <c r="A305" s="110">
        <v>37436.0</v>
      </c>
      <c r="B305" s="111"/>
      <c r="C305" s="135" t="str">
        <f>HYPERLINK("http://phish.net/sideshows/guest-appearance/?d=2002-06-29", "setlist")</f>
        <v>setlist</v>
      </c>
      <c r="D305" s="183" t="s">
        <v>2990</v>
      </c>
      <c r="E305" s="183" t="s">
        <v>3257</v>
      </c>
      <c r="F305" s="114" t="s">
        <v>679</v>
      </c>
      <c r="G305" s="111"/>
      <c r="H305" s="111"/>
      <c r="I305" s="113" t="s">
        <v>2787</v>
      </c>
    </row>
    <row r="306">
      <c r="A306" s="350"/>
      <c r="B306" s="351"/>
      <c r="C306" s="362"/>
      <c r="D306" s="356" t="s">
        <v>3846</v>
      </c>
      <c r="E306" s="350"/>
      <c r="F306" s="351"/>
      <c r="G306" s="351"/>
      <c r="H306" s="351"/>
      <c r="I306" s="350"/>
    </row>
    <row r="307">
      <c r="A307" s="110">
        <v>37443.0</v>
      </c>
      <c r="B307" s="111"/>
      <c r="C307" s="135" t="str">
        <f>HYPERLINK("http://phish.net/sideshows/guest-appearance/?d=2002-07-06", "setlist")</f>
        <v>setlist</v>
      </c>
      <c r="D307" s="183" t="s">
        <v>62</v>
      </c>
      <c r="E307" s="183" t="s">
        <v>174</v>
      </c>
      <c r="F307" s="114" t="s">
        <v>35</v>
      </c>
      <c r="G307" s="111"/>
      <c r="H307" s="111"/>
      <c r="I307" s="113" t="s">
        <v>3699</v>
      </c>
    </row>
    <row r="308">
      <c r="A308" s="350"/>
      <c r="B308" s="351"/>
      <c r="C308" s="362"/>
      <c r="D308" s="356" t="s">
        <v>3847</v>
      </c>
      <c r="E308" s="350"/>
      <c r="F308" s="351"/>
      <c r="G308" s="351"/>
      <c r="H308" s="351"/>
      <c r="I308" s="350"/>
    </row>
    <row r="309">
      <c r="A309" s="110">
        <v>37448.0</v>
      </c>
      <c r="B309" s="111"/>
      <c r="C309" s="135" t="str">
        <f>HYPERLINK("http://phish.net/sideshows/guest-appearance/?d=2002-07-11", "setlist")</f>
        <v>setlist</v>
      </c>
      <c r="D309" s="183" t="s">
        <v>3848</v>
      </c>
      <c r="E309" s="183" t="s">
        <v>683</v>
      </c>
      <c r="F309" s="114" t="s">
        <v>679</v>
      </c>
      <c r="G309" s="111"/>
      <c r="H309" s="111"/>
      <c r="I309" s="113" t="s">
        <v>2885</v>
      </c>
    </row>
    <row r="310">
      <c r="A310" s="350"/>
      <c r="B310" s="351"/>
      <c r="C310" s="362"/>
      <c r="D310" s="356" t="s">
        <v>3719</v>
      </c>
      <c r="E310" s="350"/>
      <c r="F310" s="351"/>
      <c r="G310" s="351"/>
      <c r="H310" s="351"/>
      <c r="I310" s="350"/>
    </row>
    <row r="311">
      <c r="A311" s="110">
        <v>37465.0</v>
      </c>
      <c r="B311" s="114" t="s">
        <v>32</v>
      </c>
      <c r="C311" s="135" t="str">
        <f>HYPERLINK("http://phish.net/sideshows/guest-appearance/?d=2002-07-28", "setlist")</f>
        <v>setlist</v>
      </c>
      <c r="D311" s="183" t="s">
        <v>3281</v>
      </c>
      <c r="E311" s="183" t="s">
        <v>3282</v>
      </c>
      <c r="F311" s="114" t="s">
        <v>129</v>
      </c>
      <c r="G311" s="114" t="s">
        <v>36</v>
      </c>
      <c r="H311" s="116" t="str">
        <f>HYPERLINK("http://www.mediafire.com/?8wuidtbk3mhg8", "download link")</f>
        <v>download link</v>
      </c>
      <c r="I311" s="113" t="s">
        <v>3720</v>
      </c>
    </row>
    <row r="312">
      <c r="A312" s="350"/>
      <c r="B312" s="351"/>
      <c r="C312" s="362"/>
      <c r="D312" s="356" t="s">
        <v>3849</v>
      </c>
      <c r="E312" s="350"/>
      <c r="F312" s="351"/>
      <c r="G312" s="351"/>
      <c r="H312" s="351"/>
      <c r="I312" s="350"/>
    </row>
    <row r="313">
      <c r="A313" s="110">
        <v>37492.0</v>
      </c>
      <c r="B313" s="111"/>
      <c r="C313" s="135" t="str">
        <f>HYPERLINK("http://phish.net/sideshows/guest-appearance/?d=2002-08-24", "setlist")</f>
        <v>setlist</v>
      </c>
      <c r="D313" s="183" t="s">
        <v>3850</v>
      </c>
      <c r="E313" s="183" t="s">
        <v>3851</v>
      </c>
      <c r="F313" s="114" t="s">
        <v>95</v>
      </c>
      <c r="G313" s="111"/>
      <c r="H313" s="111"/>
      <c r="I313" s="113" t="s">
        <v>2885</v>
      </c>
    </row>
    <row r="314">
      <c r="A314" s="350"/>
      <c r="B314" s="351"/>
      <c r="C314" s="362"/>
      <c r="D314" s="356" t="s">
        <v>3790</v>
      </c>
      <c r="E314" s="350"/>
      <c r="F314" s="351"/>
      <c r="G314" s="351"/>
      <c r="H314" s="351"/>
      <c r="I314" s="350"/>
    </row>
    <row r="315">
      <c r="A315" s="110">
        <v>37498.0</v>
      </c>
      <c r="B315" s="111"/>
      <c r="C315" s="135" t="str">
        <f>HYPERLINK("http://phish.net/sideshows/guest-appearance/?showid=1328330265", "setlist")</f>
        <v>setlist</v>
      </c>
      <c r="D315" s="183" t="s">
        <v>3238</v>
      </c>
      <c r="E315" s="183" t="s">
        <v>3239</v>
      </c>
      <c r="F315" s="114" t="s">
        <v>129</v>
      </c>
      <c r="G315" s="114" t="s">
        <v>36</v>
      </c>
      <c r="H315" s="116" t="str">
        <f>HYPERLINK("http://www.mediafire.com/?5n7ianqggpeuq", "download link")</f>
        <v>download link</v>
      </c>
      <c r="I315" s="113" t="s">
        <v>3664</v>
      </c>
    </row>
    <row r="316">
      <c r="A316" s="350"/>
      <c r="B316" s="351"/>
      <c r="C316" s="362"/>
      <c r="D316" s="356" t="s">
        <v>3719</v>
      </c>
      <c r="E316" s="350"/>
      <c r="F316" s="351"/>
      <c r="G316" s="351"/>
      <c r="H316" s="351"/>
      <c r="I316" s="350"/>
    </row>
    <row r="317">
      <c r="A317" s="110">
        <v>37506.0</v>
      </c>
      <c r="B317" s="111"/>
      <c r="C317" s="135" t="str">
        <f>HYPERLINK("http://phish.net/sideshows/guest-appearance/?d=2002-09-07", "setlist")</f>
        <v>setlist</v>
      </c>
      <c r="D317" s="183" t="s">
        <v>3852</v>
      </c>
      <c r="E317" s="183" t="s">
        <v>3853</v>
      </c>
      <c r="F317" s="114" t="s">
        <v>95</v>
      </c>
      <c r="G317" s="114" t="s">
        <v>36</v>
      </c>
      <c r="H317" s="116" t="str">
        <f>HYPERLINK("http://www.mediafire.com/?iqil8bcbe24x2", "download link")</f>
        <v>download link</v>
      </c>
      <c r="I317" s="113" t="s">
        <v>3854</v>
      </c>
    </row>
    <row r="318">
      <c r="A318" s="350"/>
      <c r="B318" s="351"/>
      <c r="C318" s="362"/>
      <c r="D318" s="356" t="s">
        <v>3814</v>
      </c>
      <c r="E318" s="350"/>
      <c r="F318" s="351"/>
      <c r="G318" s="351"/>
      <c r="H318" s="351"/>
      <c r="I318" s="350"/>
    </row>
    <row r="319">
      <c r="A319" s="110">
        <v>37518.0</v>
      </c>
      <c r="B319" s="111"/>
      <c r="C319" s="135" t="str">
        <f>HYPERLINK("http://phish.net/sideshows/guest-appearance/?d=2002-09-19", "setlist")</f>
        <v>setlist</v>
      </c>
      <c r="D319" s="183" t="s">
        <v>3855</v>
      </c>
      <c r="E319" s="183" t="s">
        <v>3856</v>
      </c>
      <c r="F319" s="114" t="s">
        <v>129</v>
      </c>
      <c r="G319" s="111"/>
      <c r="H319" s="145"/>
      <c r="I319" s="113" t="s">
        <v>3720</v>
      </c>
    </row>
    <row r="320">
      <c r="A320" s="350"/>
      <c r="B320" s="351"/>
      <c r="C320" s="362"/>
      <c r="D320" s="356" t="s">
        <v>3857</v>
      </c>
      <c r="E320" s="350"/>
      <c r="F320" s="351"/>
      <c r="G320" s="351"/>
      <c r="H320" s="351"/>
      <c r="I320" s="350"/>
    </row>
    <row r="321">
      <c r="A321" s="110">
        <v>37519.0</v>
      </c>
      <c r="B321" s="111"/>
      <c r="C321" s="135" t="str">
        <f>HYPERLINK("http://phish.net/sideshows/guest-appearance/?d=2002-09-20", "setlist")</f>
        <v>setlist</v>
      </c>
      <c r="D321" s="183" t="s">
        <v>2817</v>
      </c>
      <c r="E321" s="183" t="s">
        <v>854</v>
      </c>
      <c r="F321" s="114" t="s">
        <v>35</v>
      </c>
      <c r="G321" s="111"/>
      <c r="H321" s="359"/>
      <c r="I321" s="113" t="s">
        <v>3781</v>
      </c>
    </row>
    <row r="322">
      <c r="A322" s="350"/>
      <c r="B322" s="351"/>
      <c r="C322" s="362"/>
      <c r="D322" s="356" t="s">
        <v>3814</v>
      </c>
      <c r="E322" s="350"/>
      <c r="F322" s="351"/>
      <c r="G322" s="351"/>
      <c r="H322" s="351"/>
      <c r="I322" s="350"/>
    </row>
    <row r="323">
      <c r="A323" s="110">
        <v>37531.0</v>
      </c>
      <c r="B323" s="111"/>
      <c r="C323" s="135" t="str">
        <f>HYPERLINK("http://phish.net/sideshows/guest-appearance/?showid=1332784602", "setlist")</f>
        <v>setlist</v>
      </c>
      <c r="D323" s="183" t="s">
        <v>863</v>
      </c>
      <c r="E323" s="183" t="s">
        <v>162</v>
      </c>
      <c r="F323" s="114" t="s">
        <v>129</v>
      </c>
      <c r="G323" s="111"/>
      <c r="H323" s="359"/>
      <c r="I323" s="113" t="s">
        <v>3670</v>
      </c>
    </row>
    <row r="324">
      <c r="A324" s="350"/>
      <c r="B324" s="351"/>
      <c r="C324" s="362"/>
      <c r="D324" s="356" t="s">
        <v>3858</v>
      </c>
      <c r="E324" s="350"/>
      <c r="F324" s="351"/>
      <c r="G324" s="351"/>
      <c r="H324" s="351"/>
      <c r="I324" s="350"/>
    </row>
    <row r="325">
      <c r="A325" s="110">
        <v>37531.0</v>
      </c>
      <c r="B325" s="111"/>
      <c r="C325" s="135" t="str">
        <f>HYPERLINK("http://phish.net/sideshows/guest-appearance/?showid=1328410119", "setlist")</f>
        <v>setlist</v>
      </c>
      <c r="D325" s="183" t="s">
        <v>863</v>
      </c>
      <c r="E325" s="183" t="s">
        <v>162</v>
      </c>
      <c r="F325" s="114" t="s">
        <v>129</v>
      </c>
      <c r="G325" s="111"/>
      <c r="H325" s="359"/>
      <c r="I325" s="113" t="s">
        <v>3859</v>
      </c>
    </row>
    <row r="326">
      <c r="A326" s="350"/>
      <c r="B326" s="351"/>
      <c r="C326" s="362"/>
      <c r="D326" s="356" t="s">
        <v>3790</v>
      </c>
      <c r="E326" s="350"/>
      <c r="F326" s="351"/>
      <c r="G326" s="351"/>
      <c r="H326" s="351"/>
      <c r="I326" s="350"/>
    </row>
    <row r="327">
      <c r="A327" s="110">
        <v>37531.0</v>
      </c>
      <c r="B327" s="111"/>
      <c r="C327" s="135" t="str">
        <f>HYPERLINK("http://phish.net/sideshows/guest-appearance/?showid=1328409205", "setlist")</f>
        <v>setlist</v>
      </c>
      <c r="D327" s="183" t="s">
        <v>3236</v>
      </c>
      <c r="E327" s="183" t="s">
        <v>162</v>
      </c>
      <c r="F327" s="114" t="s">
        <v>129</v>
      </c>
      <c r="G327" s="114" t="s">
        <v>36</v>
      </c>
      <c r="H327" s="116" t="str">
        <f>HYPERLINK("http://www.mediafire.com/?gqahc4a1sf2rx", "download link")</f>
        <v>download link</v>
      </c>
      <c r="I327" s="113" t="s">
        <v>3670</v>
      </c>
    </row>
    <row r="328">
      <c r="A328" s="350"/>
      <c r="B328" s="351"/>
      <c r="C328" s="362"/>
      <c r="D328" s="356" t="s">
        <v>3837</v>
      </c>
      <c r="E328" s="350"/>
      <c r="F328" s="351"/>
      <c r="G328" s="351"/>
      <c r="H328" s="351"/>
      <c r="I328" s="350"/>
    </row>
    <row r="329">
      <c r="A329" s="110">
        <v>37551.0</v>
      </c>
      <c r="B329" s="114" t="s">
        <v>32</v>
      </c>
      <c r="C329" s="135" t="str">
        <f>HYPERLINK("http://phish.net/sideshows/guest-appearance/?showid=1333510007", "setlist")</f>
        <v>setlist</v>
      </c>
      <c r="D329" s="183" t="s">
        <v>2817</v>
      </c>
      <c r="E329" s="183" t="s">
        <v>854</v>
      </c>
      <c r="F329" s="114" t="s">
        <v>35</v>
      </c>
      <c r="G329" s="114" t="s">
        <v>36</v>
      </c>
      <c r="H329" s="135" t="str">
        <f>HYPERLINK("http://www.mediafire.com/?pderh5dkt1vin","download link")</f>
        <v>download link</v>
      </c>
      <c r="I329" s="113" t="s">
        <v>3670</v>
      </c>
    </row>
    <row r="330">
      <c r="A330" s="350"/>
      <c r="B330" s="351"/>
      <c r="C330" s="362"/>
      <c r="D330" s="356" t="s">
        <v>3739</v>
      </c>
      <c r="E330" s="350"/>
      <c r="F330" s="351"/>
      <c r="G330" s="351"/>
      <c r="H330" s="351"/>
      <c r="I330" s="350"/>
    </row>
    <row r="331">
      <c r="A331" s="110">
        <v>37554.0</v>
      </c>
      <c r="B331" s="111"/>
      <c r="C331" s="135" t="str">
        <f>HYPERLINK("http://phish.net/sideshows/guest-appearance/?showid=1328283992", "setlist")</f>
        <v>setlist</v>
      </c>
      <c r="D331" s="183" t="s">
        <v>3740</v>
      </c>
      <c r="E331" s="183" t="s">
        <v>656</v>
      </c>
      <c r="F331" s="114" t="s">
        <v>650</v>
      </c>
      <c r="G331" s="111"/>
      <c r="H331" s="359"/>
      <c r="I331" s="113" t="s">
        <v>2885</v>
      </c>
    </row>
    <row r="332">
      <c r="A332" s="350"/>
      <c r="B332" s="351"/>
      <c r="C332" s="362"/>
      <c r="D332" s="356" t="s">
        <v>3823</v>
      </c>
      <c r="E332" s="350"/>
      <c r="F332" s="351"/>
      <c r="G332" s="351"/>
      <c r="H332" s="351"/>
      <c r="I332" s="350"/>
    </row>
    <row r="333">
      <c r="A333" s="110">
        <v>37571.0</v>
      </c>
      <c r="B333" s="111"/>
      <c r="C333" s="135" t="str">
        <f>HYPERLINK("http://phish.net/sideshows/guest-appearance/?d=2002-11-11", "setlist")</f>
        <v>setlist</v>
      </c>
      <c r="D333" s="183" t="s">
        <v>2804</v>
      </c>
      <c r="E333" s="183" t="s">
        <v>34</v>
      </c>
      <c r="F333" s="114" t="s">
        <v>35</v>
      </c>
      <c r="G333" s="111"/>
      <c r="H333" s="359"/>
      <c r="I333" s="113" t="s">
        <v>3706</v>
      </c>
    </row>
    <row r="334">
      <c r="A334" s="350"/>
      <c r="B334" s="351"/>
      <c r="C334" s="362"/>
      <c r="D334" s="356" t="s">
        <v>3860</v>
      </c>
      <c r="E334" s="350"/>
      <c r="F334" s="351"/>
      <c r="G334" s="351"/>
      <c r="H334" s="351"/>
      <c r="I334" s="350"/>
    </row>
    <row r="335">
      <c r="A335" s="110">
        <v>37583.0</v>
      </c>
      <c r="B335" s="111"/>
      <c r="C335" s="135" t="str">
        <f>HYPERLINK("http://phish.net/sideshows/guest-appearance/?d=2002-11-23", "setlist")</f>
        <v>setlist</v>
      </c>
      <c r="D335" s="183" t="s">
        <v>2817</v>
      </c>
      <c r="E335" s="183" t="s">
        <v>854</v>
      </c>
      <c r="F335" s="114" t="s">
        <v>35</v>
      </c>
      <c r="G335" s="111"/>
      <c r="H335" s="359"/>
      <c r="I335" s="113" t="s">
        <v>3861</v>
      </c>
    </row>
    <row r="336">
      <c r="A336" s="350"/>
      <c r="B336" s="351"/>
      <c r="C336" s="362"/>
      <c r="D336" s="356" t="s">
        <v>3717</v>
      </c>
      <c r="E336" s="350"/>
      <c r="F336" s="351"/>
      <c r="G336" s="351"/>
      <c r="H336" s="351"/>
      <c r="I336" s="350"/>
    </row>
    <row r="337">
      <c r="A337" s="110">
        <v>37594.0</v>
      </c>
      <c r="B337" s="114" t="s">
        <v>32</v>
      </c>
      <c r="C337" s="135" t="str">
        <f>HYPERLINK("http://phish.net/sideshows/guest-appearance/?d=2002-12-04", "setlist")</f>
        <v>setlist</v>
      </c>
      <c r="D337" s="183" t="s">
        <v>2817</v>
      </c>
      <c r="E337" s="183" t="s">
        <v>3862</v>
      </c>
      <c r="F337" s="114" t="s">
        <v>35</v>
      </c>
      <c r="G337" s="114" t="s">
        <v>36</v>
      </c>
      <c r="H337" s="135" t="str">
        <f>HYPERLINK("http://www.mediafire.com/?445m4d624w2kv","download link")</f>
        <v>download link</v>
      </c>
      <c r="I337" s="113" t="s">
        <v>3718</v>
      </c>
    </row>
    <row r="338">
      <c r="A338" s="350"/>
      <c r="B338" s="351"/>
      <c r="C338" s="362"/>
      <c r="D338" s="356" t="s">
        <v>3857</v>
      </c>
      <c r="E338" s="350"/>
      <c r="F338" s="351"/>
      <c r="G338" s="351"/>
      <c r="H338" s="351"/>
      <c r="I338" s="350"/>
    </row>
    <row r="339">
      <c r="A339" s="110">
        <v>37595.0</v>
      </c>
      <c r="B339" s="111"/>
      <c r="C339" s="135" t="str">
        <f>HYPERLINK("http://phish.net/sideshows/guest-appearance/?d=2002-12-05", "setlist")</f>
        <v>setlist</v>
      </c>
      <c r="D339" s="183" t="s">
        <v>2817</v>
      </c>
      <c r="E339" s="183" t="s">
        <v>854</v>
      </c>
      <c r="F339" s="114" t="s">
        <v>35</v>
      </c>
      <c r="G339" s="111"/>
      <c r="H339" s="359"/>
      <c r="I339" s="113" t="s">
        <v>3706</v>
      </c>
    </row>
    <row r="340">
      <c r="A340" s="350"/>
      <c r="B340" s="351"/>
      <c r="C340" s="362"/>
      <c r="D340" s="356" t="s">
        <v>3719</v>
      </c>
      <c r="E340" s="350"/>
      <c r="F340" s="351"/>
      <c r="G340" s="351"/>
      <c r="H340" s="351"/>
      <c r="I340" s="350"/>
    </row>
    <row r="341">
      <c r="A341" s="110">
        <v>37645.0</v>
      </c>
      <c r="B341" s="114" t="s">
        <v>32</v>
      </c>
      <c r="C341" s="135" t="str">
        <f>HYPERLINK("http://phish.net/sideshows/guest-appearance/?d=2003-01-24", "setlist")</f>
        <v>setlist</v>
      </c>
      <c r="D341" s="183" t="s">
        <v>2817</v>
      </c>
      <c r="E341" s="183" t="s">
        <v>854</v>
      </c>
      <c r="F341" s="114" t="s">
        <v>35</v>
      </c>
      <c r="G341" s="114" t="s">
        <v>36</v>
      </c>
      <c r="H341" s="135" t="str">
        <f>HYPERLINK("http://www.mediafire.com/?66yzw0x28i7je","download link")</f>
        <v>download link</v>
      </c>
      <c r="I341" s="113" t="s">
        <v>3758</v>
      </c>
    </row>
    <row r="342">
      <c r="A342" s="103">
        <v>37659.0</v>
      </c>
      <c r="B342" s="104"/>
      <c r="C342" s="105" t="str">
        <f>HYPERLINK("http://phish.net/sideshows/guest-appearance/?d=2003-02-07", "setlist")</f>
        <v>setlist</v>
      </c>
      <c r="D342" s="181" t="s">
        <v>3863</v>
      </c>
      <c r="E342" s="181" t="s">
        <v>162</v>
      </c>
      <c r="F342" s="107" t="s">
        <v>129</v>
      </c>
      <c r="G342" s="104"/>
      <c r="H342" s="360"/>
      <c r="I342" s="106" t="s">
        <v>2787</v>
      </c>
    </row>
    <row r="343">
      <c r="A343" s="350"/>
      <c r="B343" s="351"/>
      <c r="C343" s="362"/>
      <c r="D343" s="356" t="s">
        <v>3790</v>
      </c>
      <c r="E343" s="350"/>
      <c r="F343" s="351"/>
      <c r="G343" s="351"/>
      <c r="H343" s="351"/>
      <c r="I343" s="350"/>
    </row>
    <row r="344">
      <c r="A344" s="110">
        <v>37667.0</v>
      </c>
      <c r="B344" s="111"/>
      <c r="C344" s="135" t="str">
        <f>HYPERLINK("http://phish.net/sideshows/guest-appearance/?showid=1328412205", "setlist")</f>
        <v>setlist</v>
      </c>
      <c r="D344" s="183" t="s">
        <v>2990</v>
      </c>
      <c r="E344" s="183" t="s">
        <v>1804</v>
      </c>
      <c r="F344" s="114" t="s">
        <v>1805</v>
      </c>
      <c r="G344" s="114" t="s">
        <v>36</v>
      </c>
      <c r="H344" s="116" t="str">
        <f>HYPERLINK("http://www.mediafire.com/?yc87ul6mjxby6", "download link")</f>
        <v>download link</v>
      </c>
      <c r="I344" s="113" t="s">
        <v>2787</v>
      </c>
    </row>
    <row r="345">
      <c r="A345" s="350"/>
      <c r="B345" s="351"/>
      <c r="C345" s="362"/>
      <c r="D345" s="356" t="s">
        <v>3864</v>
      </c>
      <c r="E345" s="350"/>
      <c r="F345" s="351"/>
      <c r="G345" s="351"/>
      <c r="H345" s="351"/>
      <c r="I345" s="350"/>
    </row>
    <row r="346">
      <c r="A346" s="110">
        <v>37687.0</v>
      </c>
      <c r="B346" s="111"/>
      <c r="C346" s="135" t="str">
        <f>HYPERLINK("http://phish.net/sideshows/guest-appearance/?d=2003-03-07", "setlist")</f>
        <v>setlist</v>
      </c>
      <c r="D346" s="183" t="s">
        <v>3511</v>
      </c>
      <c r="E346" s="183" t="s">
        <v>162</v>
      </c>
      <c r="F346" s="114" t="s">
        <v>129</v>
      </c>
      <c r="G346" s="111"/>
      <c r="H346" s="138"/>
      <c r="I346" s="113" t="s">
        <v>3865</v>
      </c>
    </row>
    <row r="347">
      <c r="A347" s="350"/>
      <c r="B347" s="351"/>
      <c r="C347" s="362"/>
      <c r="D347" s="356" t="s">
        <v>3866</v>
      </c>
      <c r="E347" s="350"/>
      <c r="F347" s="351"/>
      <c r="G347" s="351"/>
      <c r="H347" s="351"/>
      <c r="I347" s="350"/>
    </row>
    <row r="348">
      <c r="A348" s="110">
        <v>37693.0</v>
      </c>
      <c r="B348" s="111"/>
      <c r="C348" s="135" t="str">
        <f>HYPERLINK("http://phish.net/sideshows/guest-appearance/?d=2003-03-13", "setlist")</f>
        <v>setlist</v>
      </c>
      <c r="D348" s="183" t="s">
        <v>3867</v>
      </c>
      <c r="E348" s="183" t="s">
        <v>1274</v>
      </c>
      <c r="F348" s="114" t="s">
        <v>1133</v>
      </c>
      <c r="G348" s="111"/>
      <c r="H348" s="359"/>
      <c r="I348" s="113" t="s">
        <v>3774</v>
      </c>
    </row>
    <row r="349">
      <c r="A349" s="350"/>
      <c r="B349" s="351"/>
      <c r="C349" s="362"/>
      <c r="D349" s="356" t="s">
        <v>3864</v>
      </c>
      <c r="E349" s="350"/>
      <c r="F349" s="351"/>
      <c r="G349" s="351"/>
      <c r="H349" s="351"/>
      <c r="I349" s="350"/>
    </row>
    <row r="350">
      <c r="A350" s="110">
        <v>37694.0</v>
      </c>
      <c r="B350" s="111"/>
      <c r="C350" s="116" t="str">
        <f>HYPERLINK("http://phish.net/sideshows/guest-appearance/?d=2003-03-14", "setlist")</f>
        <v>setlist</v>
      </c>
      <c r="D350" s="183" t="s">
        <v>3511</v>
      </c>
      <c r="E350" s="113" t="s">
        <v>162</v>
      </c>
      <c r="F350" s="114" t="s">
        <v>129</v>
      </c>
      <c r="G350" s="111"/>
      <c r="H350" s="138"/>
      <c r="I350" s="113" t="s">
        <v>3712</v>
      </c>
    </row>
    <row r="351">
      <c r="A351" s="103">
        <v>37699.0</v>
      </c>
      <c r="B351" s="104"/>
      <c r="C351" s="105" t="str">
        <f>HYPERLINK("http://phish.net/sideshows/guest-appearance/?d=2003-03-19", "setlist")</f>
        <v>setlist</v>
      </c>
      <c r="D351" s="181" t="s">
        <v>3868</v>
      </c>
      <c r="E351" s="181" t="s">
        <v>2294</v>
      </c>
      <c r="F351" s="107" t="s">
        <v>129</v>
      </c>
      <c r="G351" s="104"/>
      <c r="H351" s="360"/>
      <c r="I351" s="106" t="s">
        <v>3712</v>
      </c>
    </row>
    <row r="352">
      <c r="A352" s="350"/>
      <c r="B352" s="351"/>
      <c r="C352" s="362"/>
      <c r="D352" s="356" t="s">
        <v>3869</v>
      </c>
      <c r="E352" s="350"/>
      <c r="F352" s="351"/>
      <c r="G352" s="351"/>
      <c r="H352" s="351"/>
      <c r="I352" s="350"/>
    </row>
    <row r="353">
      <c r="A353" s="110">
        <v>37700.0</v>
      </c>
      <c r="B353" s="111"/>
      <c r="C353" s="116" t="str">
        <f>HYPERLINK("http://phish.net/sideshows/guest-appearance/?d=2003-03-20", "setlist")</f>
        <v>setlist</v>
      </c>
      <c r="D353" s="183" t="s">
        <v>3844</v>
      </c>
      <c r="E353" s="183" t="s">
        <v>162</v>
      </c>
      <c r="F353" s="114" t="s">
        <v>129</v>
      </c>
      <c r="G353" s="111"/>
      <c r="H353" s="359"/>
      <c r="I353" s="113" t="s">
        <v>3712</v>
      </c>
    </row>
    <row r="354">
      <c r="A354" s="350"/>
      <c r="B354" s="351"/>
      <c r="C354" s="362"/>
      <c r="D354" s="356" t="s">
        <v>2793</v>
      </c>
      <c r="E354" s="350"/>
      <c r="F354" s="351"/>
      <c r="G354" s="351"/>
      <c r="H354" s="351"/>
      <c r="I354" s="350"/>
    </row>
    <row r="355">
      <c r="A355" s="110">
        <v>37709.0</v>
      </c>
      <c r="B355" s="111"/>
      <c r="C355" s="116" t="str">
        <f>HYPERLINK("http://phish.net/sideshows/guest-appearance/?d=2003-03-29", "setlist")</f>
        <v>setlist</v>
      </c>
      <c r="D355" s="183" t="s">
        <v>2817</v>
      </c>
      <c r="E355" s="183" t="s">
        <v>854</v>
      </c>
      <c r="F355" s="114" t="s">
        <v>35</v>
      </c>
      <c r="G355" s="111"/>
      <c r="H355" s="359"/>
      <c r="I355" s="113" t="s">
        <v>3715</v>
      </c>
    </row>
    <row r="356">
      <c r="A356" s="350"/>
      <c r="B356" s="351"/>
      <c r="C356" s="362"/>
      <c r="D356" s="356" t="s">
        <v>3864</v>
      </c>
      <c r="E356" s="350"/>
      <c r="F356" s="351"/>
      <c r="G356" s="351"/>
      <c r="H356" s="351"/>
      <c r="I356" s="350"/>
    </row>
    <row r="357">
      <c r="A357" s="110">
        <v>37734.0</v>
      </c>
      <c r="B357" s="111"/>
      <c r="C357" s="135" t="str">
        <f>HYPERLINK("http://phish.net/sideshows/guest-appearance/?d=2003-04-23", "setlist")</f>
        <v>setlist</v>
      </c>
      <c r="D357" s="183" t="s">
        <v>3868</v>
      </c>
      <c r="E357" s="183" t="s">
        <v>2294</v>
      </c>
      <c r="F357" s="114" t="s">
        <v>129</v>
      </c>
      <c r="G357" s="111"/>
      <c r="H357" s="359"/>
      <c r="I357" s="113" t="s">
        <v>3712</v>
      </c>
    </row>
    <row r="358">
      <c r="A358" s="350"/>
      <c r="B358" s="351"/>
      <c r="C358" s="362"/>
      <c r="D358" s="356" t="s">
        <v>3814</v>
      </c>
      <c r="E358" s="350"/>
      <c r="F358" s="351"/>
      <c r="G358" s="351"/>
      <c r="H358" s="351"/>
      <c r="I358" s="350"/>
    </row>
    <row r="359">
      <c r="A359" s="142">
        <v>37744.0</v>
      </c>
      <c r="B359" s="144"/>
      <c r="C359" s="116" t="str">
        <f>HYPERLINK("http://phish.net/sideshows/guest-appearance/?d=2003-05-03", "setlist")</f>
        <v>setlist</v>
      </c>
      <c r="D359" s="272" t="s">
        <v>2845</v>
      </c>
      <c r="E359" s="272" t="s">
        <v>585</v>
      </c>
      <c r="F359" s="115" t="s">
        <v>586</v>
      </c>
      <c r="G359" s="115" t="s">
        <v>36</v>
      </c>
      <c r="H359" s="116" t="str">
        <f>HYPERLINK("http://www.mediafire.com/?zc2j48bb946pz", "download link")</f>
        <v>download link</v>
      </c>
      <c r="I359" s="118" t="s">
        <v>2787</v>
      </c>
    </row>
    <row r="360">
      <c r="A360" s="350"/>
      <c r="B360" s="351"/>
      <c r="C360" s="362"/>
      <c r="D360" s="356" t="s">
        <v>3870</v>
      </c>
      <c r="E360" s="350"/>
      <c r="F360" s="351"/>
      <c r="G360" s="351"/>
      <c r="H360" s="351"/>
      <c r="I360" s="350"/>
    </row>
    <row r="361">
      <c r="A361" s="110">
        <v>37745.0</v>
      </c>
      <c r="B361" s="111"/>
      <c r="C361" s="116" t="str">
        <f>HYPERLINK("http://phish.net/sideshows/guest-appearance/?d=2003-05-04", "setlist")</f>
        <v>setlist</v>
      </c>
      <c r="D361" s="183" t="s">
        <v>584</v>
      </c>
      <c r="E361" s="183" t="s">
        <v>585</v>
      </c>
      <c r="F361" s="114" t="s">
        <v>586</v>
      </c>
      <c r="G361" s="111"/>
      <c r="H361" s="359"/>
      <c r="I361" s="113" t="s">
        <v>2787</v>
      </c>
    </row>
    <row r="362">
      <c r="A362" s="350"/>
      <c r="B362" s="351"/>
      <c r="C362" s="362"/>
      <c r="D362" s="356" t="s">
        <v>3871</v>
      </c>
      <c r="E362" s="350"/>
      <c r="F362" s="351"/>
      <c r="G362" s="351"/>
      <c r="H362" s="351"/>
      <c r="I362" s="350"/>
    </row>
    <row r="363">
      <c r="A363" s="110">
        <v>37785.0</v>
      </c>
      <c r="B363" s="111"/>
      <c r="C363" s="116" t="str">
        <f>HYPERLINK("http://phish.net/sideshows/guest-appearance/?d=2003-06-13", "setlist")</f>
        <v>setlist</v>
      </c>
      <c r="D363" s="183" t="s">
        <v>2333</v>
      </c>
      <c r="E363" s="183" t="s">
        <v>2332</v>
      </c>
      <c r="F363" s="114" t="s">
        <v>650</v>
      </c>
      <c r="G363" s="114" t="s">
        <v>36</v>
      </c>
      <c r="H363" s="135" t="str">
        <f>HYPERLINK("http://www.mediafire.com/?06j91s41zq5ud","download link")</f>
        <v>download link</v>
      </c>
      <c r="I363" s="113" t="s">
        <v>2998</v>
      </c>
    </row>
    <row r="364">
      <c r="A364" s="350"/>
      <c r="B364" s="351"/>
      <c r="C364" s="362"/>
      <c r="D364" s="356" t="s">
        <v>3872</v>
      </c>
      <c r="E364" s="350"/>
      <c r="F364" s="351"/>
      <c r="G364" s="351"/>
      <c r="H364" s="351"/>
      <c r="I364" s="350"/>
    </row>
    <row r="365">
      <c r="A365" s="110">
        <v>37792.0</v>
      </c>
      <c r="B365" s="111"/>
      <c r="C365" s="116" t="str">
        <f>HYPERLINK("http://phish.net/sideshows/guest-appearance/?d=2003-06-20", "setlist")</f>
        <v>setlist</v>
      </c>
      <c r="D365" s="183" t="s">
        <v>1015</v>
      </c>
      <c r="E365" s="183" t="s">
        <v>465</v>
      </c>
      <c r="F365" s="114" t="s">
        <v>129</v>
      </c>
      <c r="G365" s="114" t="s">
        <v>36</v>
      </c>
      <c r="H365" s="135" t="str">
        <f>HYPERLINK("http://www.mediafire.com/?w4d9hzh5bq6fn","download link")</f>
        <v>download link</v>
      </c>
      <c r="I365" s="113" t="s">
        <v>2787</v>
      </c>
    </row>
    <row r="366">
      <c r="A366" s="350"/>
      <c r="B366" s="351"/>
      <c r="C366" s="362"/>
      <c r="D366" s="356" t="s">
        <v>3200</v>
      </c>
      <c r="E366" s="350"/>
      <c r="F366" s="351"/>
      <c r="G366" s="351"/>
      <c r="H366" s="351"/>
      <c r="I366" s="350"/>
    </row>
    <row r="367">
      <c r="A367" s="110">
        <v>37806.0</v>
      </c>
      <c r="B367" s="111"/>
      <c r="C367" s="116" t="str">
        <f>HYPERLINK("http://phish.net/sideshows/guest-appearance/?d=2003-07-04", "setlist")</f>
        <v>setlist</v>
      </c>
      <c r="D367" s="183" t="s">
        <v>3607</v>
      </c>
      <c r="E367" s="183" t="s">
        <v>34</v>
      </c>
      <c r="F367" s="114" t="s">
        <v>35</v>
      </c>
      <c r="G367" s="111"/>
      <c r="H367" s="111"/>
      <c r="I367" s="113" t="s">
        <v>3770</v>
      </c>
    </row>
    <row r="368">
      <c r="A368" s="350"/>
      <c r="B368" s="351"/>
      <c r="C368" s="362"/>
      <c r="D368" s="356" t="s">
        <v>3873</v>
      </c>
      <c r="E368" s="350"/>
      <c r="F368" s="351"/>
      <c r="G368" s="351"/>
      <c r="H368" s="351"/>
      <c r="I368" s="350"/>
    </row>
    <row r="369">
      <c r="A369" s="110">
        <v>37811.0</v>
      </c>
      <c r="B369" s="111"/>
      <c r="C369" s="116" t="str">
        <f>HYPERLINK("http://phish.net/sideshows/guest-appearance/?showid=1332723016", "setlist")</f>
        <v>setlist</v>
      </c>
      <c r="D369" s="183" t="s">
        <v>3874</v>
      </c>
      <c r="E369" s="183" t="s">
        <v>683</v>
      </c>
      <c r="F369" s="114" t="s">
        <v>679</v>
      </c>
      <c r="G369" s="111"/>
      <c r="H369" s="359"/>
      <c r="I369" s="113" t="s">
        <v>2998</v>
      </c>
    </row>
    <row r="370">
      <c r="A370" s="350"/>
      <c r="B370" s="351"/>
      <c r="C370" s="362"/>
      <c r="D370" s="356" t="s">
        <v>3875</v>
      </c>
      <c r="E370" s="350"/>
      <c r="F370" s="351"/>
      <c r="G370" s="351"/>
      <c r="H370" s="351"/>
      <c r="I370" s="350"/>
    </row>
    <row r="371">
      <c r="A371" s="110">
        <v>37816.0</v>
      </c>
      <c r="B371" s="111"/>
      <c r="C371" s="116" t="str">
        <f>HYPERLINK("http://phish.net/sideshows/guest-appearance/?d=2003-07-14", "setlist")</f>
        <v>setlist</v>
      </c>
      <c r="D371" s="183" t="s">
        <v>3876</v>
      </c>
      <c r="E371" s="183" t="s">
        <v>3877</v>
      </c>
      <c r="F371" s="114" t="s">
        <v>3551</v>
      </c>
      <c r="G371" s="111"/>
      <c r="H371" s="359"/>
      <c r="I371" s="113" t="s">
        <v>2920</v>
      </c>
    </row>
    <row r="372">
      <c r="A372" s="103">
        <v>37818.0</v>
      </c>
      <c r="B372" s="104"/>
      <c r="C372" s="105" t="str">
        <f>HYPERLINK("http://phish.net/sideshows/guest-appearance/?d=2003-07-16", "setlist")</f>
        <v>setlist</v>
      </c>
      <c r="D372" s="181" t="s">
        <v>3878</v>
      </c>
      <c r="E372" s="181" t="s">
        <v>3879</v>
      </c>
      <c r="F372" s="107" t="s">
        <v>3551</v>
      </c>
      <c r="G372" s="104"/>
      <c r="H372" s="360"/>
      <c r="I372" s="106" t="s">
        <v>3770</v>
      </c>
    </row>
    <row r="373">
      <c r="A373" s="350"/>
      <c r="B373" s="351"/>
      <c r="C373" s="362"/>
      <c r="D373" s="356" t="s">
        <v>3845</v>
      </c>
      <c r="E373" s="350"/>
      <c r="F373" s="351"/>
      <c r="G373" s="351"/>
      <c r="H373" s="351"/>
      <c r="I373" s="350"/>
    </row>
    <row r="374">
      <c r="A374" s="110">
        <v>37828.0</v>
      </c>
      <c r="B374" s="111"/>
      <c r="C374" s="116" t="str">
        <f>HYPERLINK("http://phish.net/sideshows/guest-appearance/?showid=1332722230", "setlist")</f>
        <v>setlist</v>
      </c>
      <c r="D374" s="183" t="s">
        <v>3880</v>
      </c>
      <c r="E374" s="183" t="s">
        <v>3881</v>
      </c>
      <c r="F374" s="114" t="s">
        <v>433</v>
      </c>
      <c r="G374" s="111"/>
      <c r="H374" s="359"/>
      <c r="I374" s="113" t="s">
        <v>3718</v>
      </c>
    </row>
    <row r="375">
      <c r="A375" s="350"/>
      <c r="B375" s="351"/>
      <c r="C375" s="362"/>
      <c r="D375" s="356" t="s">
        <v>3768</v>
      </c>
      <c r="E375" s="350"/>
      <c r="F375" s="351"/>
      <c r="G375" s="351"/>
      <c r="H375" s="351"/>
      <c r="I375" s="350"/>
    </row>
    <row r="376">
      <c r="A376" s="110">
        <v>37863.0</v>
      </c>
      <c r="B376" s="114" t="s">
        <v>32</v>
      </c>
      <c r="C376" s="116" t="str">
        <f>HYPERLINK("http://phish.net/sideshows/guest-appearance/?showid=1333682574", "setlist")</f>
        <v>setlist</v>
      </c>
      <c r="D376" s="183" t="s">
        <v>3882</v>
      </c>
      <c r="E376" s="183" t="s">
        <v>841</v>
      </c>
      <c r="F376" s="114" t="s">
        <v>129</v>
      </c>
      <c r="G376" s="114" t="s">
        <v>36</v>
      </c>
      <c r="H376" s="116" t="str">
        <f>HYPERLINK("http://www.mediafire.com/?fpmuflsfs3flx", "download link")</f>
        <v>download link</v>
      </c>
      <c r="I376" s="113" t="s">
        <v>2998</v>
      </c>
    </row>
    <row r="377">
      <c r="A377" s="350"/>
      <c r="B377" s="351"/>
      <c r="C377" s="362"/>
      <c r="D377" s="356" t="s">
        <v>3719</v>
      </c>
      <c r="E377" s="350"/>
      <c r="F377" s="351"/>
      <c r="G377" s="351"/>
      <c r="H377" s="351"/>
      <c r="I377" s="350"/>
    </row>
    <row r="378">
      <c r="A378" s="110">
        <v>37863.0</v>
      </c>
      <c r="B378" s="111"/>
      <c r="C378" s="116" t="str">
        <f>HYPERLINK("http://phish.net/sideshows/guest-appearance/?showid=1333682204", "setlist")</f>
        <v>setlist</v>
      </c>
      <c r="D378" s="183" t="s">
        <v>3882</v>
      </c>
      <c r="E378" s="183" t="s">
        <v>841</v>
      </c>
      <c r="F378" s="114" t="s">
        <v>129</v>
      </c>
      <c r="G378" s="114" t="s">
        <v>36</v>
      </c>
      <c r="H378" s="116" t="str">
        <f>HYPERLINK("http://www.mediafire.com/?cbibtvzcw5or5", "download link")</f>
        <v>download link</v>
      </c>
      <c r="I378" s="113" t="s">
        <v>2787</v>
      </c>
    </row>
    <row r="379">
      <c r="A379" s="103">
        <v>37869.0</v>
      </c>
      <c r="B379" s="104"/>
      <c r="C379" s="105" t="str">
        <f>HYPERLINK("http://phish.net/sideshows/guest-appearance/?d=2003-09-05", "setlist")</f>
        <v>setlist</v>
      </c>
      <c r="D379" s="181" t="s">
        <v>296</v>
      </c>
      <c r="E379" s="181" t="s">
        <v>297</v>
      </c>
      <c r="F379" s="107" t="s">
        <v>298</v>
      </c>
      <c r="G379" s="107" t="s">
        <v>36</v>
      </c>
      <c r="H379" s="105" t="str">
        <f>HYPERLINK("http://www.mediafire.com/?cgcqg5alezcdk", "download link")</f>
        <v>download link</v>
      </c>
      <c r="I379" s="106" t="s">
        <v>3718</v>
      </c>
    </row>
    <row r="380">
      <c r="A380" s="350"/>
      <c r="B380" s="351"/>
      <c r="C380" s="362"/>
      <c r="D380" s="356" t="s">
        <v>3883</v>
      </c>
      <c r="E380" s="350"/>
      <c r="F380" s="351"/>
      <c r="G380" s="351"/>
      <c r="H380" s="351"/>
      <c r="I380" s="350"/>
    </row>
    <row r="381">
      <c r="A381" s="110">
        <v>37890.0</v>
      </c>
      <c r="B381" s="111"/>
      <c r="C381" s="116" t="str">
        <f>HYPERLINK("http://phish.net/sideshows/guest-appearance/?d=2003-09-26", "setlist")</f>
        <v>setlist</v>
      </c>
      <c r="D381" s="183" t="s">
        <v>2817</v>
      </c>
      <c r="E381" s="183" t="s">
        <v>854</v>
      </c>
      <c r="F381" s="114" t="s">
        <v>35</v>
      </c>
      <c r="G381" s="111"/>
      <c r="H381" s="359"/>
      <c r="I381" s="113" t="s">
        <v>3661</v>
      </c>
    </row>
    <row r="382">
      <c r="A382" s="350"/>
      <c r="B382" s="351"/>
      <c r="C382" s="362"/>
      <c r="D382" s="356" t="s">
        <v>3866</v>
      </c>
      <c r="E382" s="350"/>
      <c r="F382" s="351"/>
      <c r="G382" s="351"/>
      <c r="H382" s="351"/>
      <c r="I382" s="350"/>
    </row>
    <row r="383">
      <c r="A383" s="110">
        <v>37897.0</v>
      </c>
      <c r="B383" s="111"/>
      <c r="C383" s="116" t="str">
        <f>HYPERLINK("http://phish.net/sideshows/guest-appearance/?d=2003-10-03", "setlist")</f>
        <v>setlist</v>
      </c>
      <c r="D383" s="183" t="s">
        <v>3884</v>
      </c>
      <c r="E383" s="183" t="s">
        <v>162</v>
      </c>
      <c r="F383" s="114" t="s">
        <v>129</v>
      </c>
      <c r="G383" s="111"/>
      <c r="H383" s="359"/>
      <c r="I383" s="113" t="s">
        <v>3706</v>
      </c>
    </row>
    <row r="384">
      <c r="A384" s="350"/>
      <c r="B384" s="351"/>
      <c r="C384" s="362"/>
      <c r="D384" s="356" t="s">
        <v>3885</v>
      </c>
      <c r="E384" s="350"/>
      <c r="F384" s="351"/>
      <c r="G384" s="351"/>
      <c r="H384" s="351"/>
      <c r="I384" s="350"/>
    </row>
    <row r="385">
      <c r="A385" s="110">
        <v>37899.0</v>
      </c>
      <c r="B385" s="111"/>
      <c r="C385" s="116" t="str">
        <f>HYPERLINK("http://phish.net/sideshows/guest-appearance/?showid=1333594424", "setlist")</f>
        <v>setlist</v>
      </c>
      <c r="D385" s="183" t="s">
        <v>3886</v>
      </c>
      <c r="E385" s="183" t="s">
        <v>683</v>
      </c>
      <c r="F385" s="114" t="s">
        <v>679</v>
      </c>
      <c r="G385" s="111"/>
      <c r="H385" s="359"/>
      <c r="I385" s="113" t="s">
        <v>2998</v>
      </c>
    </row>
    <row r="386">
      <c r="A386" s="350"/>
      <c r="B386" s="351"/>
      <c r="C386" s="362"/>
      <c r="D386" s="356" t="s">
        <v>3887</v>
      </c>
      <c r="E386" s="350"/>
      <c r="F386" s="351"/>
      <c r="G386" s="351"/>
      <c r="H386" s="351"/>
      <c r="I386" s="350"/>
    </row>
    <row r="387">
      <c r="A387" s="110">
        <v>37901.0</v>
      </c>
      <c r="B387" s="111"/>
      <c r="C387" s="116" t="str">
        <f>HYPERLINK("http://phish.net/sideshows/guest-appearance/?showid=1333678095", "setlist")</f>
        <v>setlist</v>
      </c>
      <c r="D387" s="183" t="s">
        <v>3888</v>
      </c>
      <c r="E387" s="183" t="s">
        <v>488</v>
      </c>
      <c r="F387" s="114" t="s">
        <v>203</v>
      </c>
      <c r="G387" s="111"/>
      <c r="H387" s="359"/>
      <c r="I387" s="113" t="s">
        <v>2787</v>
      </c>
    </row>
    <row r="388">
      <c r="A388" s="103">
        <v>37902.0</v>
      </c>
      <c r="B388" s="104"/>
      <c r="C388" s="105" t="str">
        <f>HYPERLINK("http://phish.net/sideshows/guest-appearance/?showid=1333678312", "setlist")</f>
        <v>setlist</v>
      </c>
      <c r="D388" s="181" t="s">
        <v>3889</v>
      </c>
      <c r="E388" s="181" t="s">
        <v>488</v>
      </c>
      <c r="F388" s="107" t="s">
        <v>203</v>
      </c>
      <c r="G388" s="104"/>
      <c r="H388" s="360"/>
      <c r="I388" s="106" t="s">
        <v>2787</v>
      </c>
    </row>
    <row r="389">
      <c r="A389" s="350"/>
      <c r="B389" s="351"/>
      <c r="C389" s="362"/>
      <c r="D389" s="356" t="s">
        <v>3890</v>
      </c>
      <c r="E389" s="350"/>
      <c r="F389" s="351"/>
      <c r="G389" s="351"/>
      <c r="H389" s="351"/>
      <c r="I389" s="350"/>
    </row>
    <row r="390">
      <c r="A390" s="110">
        <v>37931.0</v>
      </c>
      <c r="B390" s="111"/>
      <c r="C390" s="116" t="str">
        <f>HYPERLINK("http://phish.net/sideshows/guest-appearance/?d=2003-11-06", "setlist")</f>
        <v>setlist</v>
      </c>
      <c r="D390" s="183" t="s">
        <v>2817</v>
      </c>
      <c r="E390" s="183" t="s">
        <v>854</v>
      </c>
      <c r="F390" s="114" t="s">
        <v>35</v>
      </c>
      <c r="G390" s="111"/>
      <c r="H390" s="359"/>
      <c r="I390" s="113" t="s">
        <v>3770</v>
      </c>
    </row>
    <row r="391">
      <c r="A391" s="350"/>
      <c r="B391" s="351"/>
      <c r="C391" s="362"/>
      <c r="D391" s="356" t="s">
        <v>3891</v>
      </c>
      <c r="E391" s="350"/>
      <c r="F391" s="351"/>
      <c r="G391" s="351"/>
      <c r="H391" s="351"/>
      <c r="I391" s="350"/>
    </row>
    <row r="392">
      <c r="A392" s="110">
        <v>37932.0</v>
      </c>
      <c r="B392" s="111"/>
      <c r="C392" s="116" t="str">
        <f>HYPERLINK("http://phish.net/sideshows/guest-appearance/?showid=1333426010", "setlist")</f>
        <v>setlist</v>
      </c>
      <c r="D392" s="183" t="s">
        <v>3892</v>
      </c>
      <c r="E392" s="183" t="s">
        <v>162</v>
      </c>
      <c r="F392" s="114" t="s">
        <v>129</v>
      </c>
      <c r="G392" s="114" t="s">
        <v>36</v>
      </c>
      <c r="H392" s="116" t="str">
        <f>HYPERLINK("http://www.mediafire.com/?ayirihoa8y9vg", "download link")</f>
        <v>download link</v>
      </c>
      <c r="I392" s="113" t="s">
        <v>3670</v>
      </c>
    </row>
    <row r="393">
      <c r="A393" s="350"/>
      <c r="B393" s="351"/>
      <c r="C393" s="362"/>
      <c r="D393" s="356" t="s">
        <v>3793</v>
      </c>
      <c r="E393" s="350"/>
      <c r="F393" s="351"/>
      <c r="G393" s="351"/>
      <c r="H393" s="351"/>
      <c r="I393" s="350"/>
    </row>
    <row r="394">
      <c r="A394" s="110">
        <v>37945.0</v>
      </c>
      <c r="B394" s="111"/>
      <c r="C394" s="116" t="str">
        <f>HYPERLINK("http://phish.net/sideshows/guest-appearance/?d=2003-11-20", "setlist")</f>
        <v>setlist</v>
      </c>
      <c r="D394" s="183" t="s">
        <v>2895</v>
      </c>
      <c r="E394" s="183" t="s">
        <v>34</v>
      </c>
      <c r="F394" s="114" t="s">
        <v>35</v>
      </c>
      <c r="G394" s="111"/>
      <c r="H394" s="359"/>
      <c r="I394" s="113" t="s">
        <v>3661</v>
      </c>
    </row>
    <row r="395">
      <c r="A395" s="350"/>
      <c r="B395" s="351"/>
      <c r="C395" s="362"/>
      <c r="D395" s="356" t="s">
        <v>3893</v>
      </c>
      <c r="E395" s="350"/>
      <c r="F395" s="351"/>
      <c r="G395" s="351"/>
      <c r="H395" s="351"/>
      <c r="I395" s="350"/>
    </row>
    <row r="396">
      <c r="A396" s="110">
        <v>37964.0</v>
      </c>
      <c r="B396" s="111"/>
      <c r="C396" s="116" t="str">
        <f>HYPERLINK("http://phish.net/sideshows/guest-appearance/?d=2003-12-09", "setlist")</f>
        <v>setlist</v>
      </c>
      <c r="D396" s="183" t="s">
        <v>3892</v>
      </c>
      <c r="E396" s="183" t="s">
        <v>162</v>
      </c>
      <c r="F396" s="114" t="s">
        <v>129</v>
      </c>
      <c r="G396" s="111"/>
      <c r="H396" s="359"/>
      <c r="I396" s="113" t="s">
        <v>2998</v>
      </c>
    </row>
    <row r="397">
      <c r="A397" s="350"/>
      <c r="B397" s="351"/>
      <c r="C397" s="362"/>
      <c r="D397" s="356" t="s">
        <v>3894</v>
      </c>
      <c r="E397" s="350"/>
      <c r="F397" s="351"/>
      <c r="G397" s="351"/>
      <c r="H397" s="351"/>
      <c r="I397" s="350"/>
    </row>
    <row r="398">
      <c r="A398" s="110">
        <v>37984.0</v>
      </c>
      <c r="B398" s="111"/>
      <c r="C398" s="116" t="str">
        <f>HYPERLINK("http://phish.net/sideshows/guest-appearance/?showid=1333593227", "setlist")</f>
        <v>setlist</v>
      </c>
      <c r="D398" s="183" t="s">
        <v>3863</v>
      </c>
      <c r="E398" s="183" t="s">
        <v>1274</v>
      </c>
      <c r="F398" s="114" t="s">
        <v>1133</v>
      </c>
      <c r="G398" s="111"/>
      <c r="H398" s="359"/>
      <c r="I398" s="113" t="s">
        <v>2787</v>
      </c>
    </row>
    <row r="399">
      <c r="A399" s="350"/>
      <c r="B399" s="351"/>
      <c r="C399" s="362"/>
      <c r="D399" s="356" t="s">
        <v>3895</v>
      </c>
      <c r="E399" s="350"/>
      <c r="F399" s="351"/>
      <c r="G399" s="351"/>
      <c r="H399" s="351"/>
      <c r="I399" s="350"/>
    </row>
    <row r="400">
      <c r="A400" s="110">
        <v>37985.0</v>
      </c>
      <c r="B400" s="111"/>
      <c r="C400" s="116" t="str">
        <f>HYPERLINK("http://phish.net/sideshows/guest-appearance/?showid=1333592518", "setlist")</f>
        <v>setlist</v>
      </c>
      <c r="D400" s="183" t="s">
        <v>3896</v>
      </c>
      <c r="E400" s="183" t="s">
        <v>1274</v>
      </c>
      <c r="F400" s="114" t="s">
        <v>1133</v>
      </c>
      <c r="G400" s="111"/>
      <c r="H400" s="359"/>
      <c r="I400" s="113" t="s">
        <v>3770</v>
      </c>
    </row>
    <row r="401">
      <c r="A401" s="350"/>
      <c r="B401" s="354"/>
      <c r="C401" s="352"/>
      <c r="D401" s="353" t="s">
        <v>3897</v>
      </c>
      <c r="E401" s="355"/>
      <c r="F401" s="354"/>
      <c r="G401" s="354"/>
      <c r="H401" s="351"/>
      <c r="I401" s="355"/>
    </row>
    <row r="402">
      <c r="A402" s="150">
        <v>38006.0</v>
      </c>
      <c r="B402" s="156"/>
      <c r="C402" s="116" t="str">
        <f>HYPERLINK("http://phish.net/sideshows/guest-appearance/?d=2004-01-20", "setlist")</f>
        <v>setlist</v>
      </c>
      <c r="D402" s="153" t="s">
        <v>3898</v>
      </c>
      <c r="E402" s="153" t="s">
        <v>3899</v>
      </c>
      <c r="F402" s="151" t="s">
        <v>2912</v>
      </c>
      <c r="G402" s="156"/>
      <c r="H402" s="145"/>
      <c r="I402" s="153" t="s">
        <v>3670</v>
      </c>
    </row>
    <row r="403">
      <c r="A403" s="350"/>
      <c r="B403" s="351"/>
      <c r="C403" s="362"/>
      <c r="D403" s="356" t="s">
        <v>3823</v>
      </c>
      <c r="E403" s="350"/>
      <c r="F403" s="351"/>
      <c r="G403" s="351"/>
      <c r="H403" s="351"/>
      <c r="I403" s="350"/>
    </row>
    <row r="404">
      <c r="A404" s="110">
        <v>38008.0</v>
      </c>
      <c r="B404" s="111"/>
      <c r="C404" s="116" t="str">
        <f>HYPERLINK("http://phish.net/sideshows/guest-appearance/?d=2004-01-22", "setlist")</f>
        <v>setlist</v>
      </c>
      <c r="D404" s="183" t="s">
        <v>3223</v>
      </c>
      <c r="E404" s="183" t="s">
        <v>162</v>
      </c>
      <c r="F404" s="114" t="s">
        <v>129</v>
      </c>
      <c r="G404" s="111"/>
      <c r="H404" s="359"/>
      <c r="I404" s="113" t="s">
        <v>2998</v>
      </c>
    </row>
    <row r="405">
      <c r="A405" s="350"/>
      <c r="B405" s="351"/>
      <c r="C405" s="362"/>
      <c r="D405" s="356" t="s">
        <v>3900</v>
      </c>
      <c r="E405" s="350"/>
      <c r="F405" s="351"/>
      <c r="G405" s="351"/>
      <c r="H405" s="351"/>
      <c r="I405" s="350"/>
    </row>
    <row r="406">
      <c r="A406" s="110">
        <v>38009.0</v>
      </c>
      <c r="B406" s="111"/>
      <c r="C406" s="116" t="str">
        <f>HYPERLINK("http://phish.net/sideshows/guest-appearance/?d=2004-01-23", "setlist")</f>
        <v>setlist</v>
      </c>
      <c r="D406" s="183" t="s">
        <v>3901</v>
      </c>
      <c r="E406" s="183" t="s">
        <v>162</v>
      </c>
      <c r="F406" s="114" t="s">
        <v>129</v>
      </c>
      <c r="G406" s="111"/>
      <c r="H406" s="359"/>
      <c r="I406" s="113" t="s">
        <v>2998</v>
      </c>
    </row>
    <row r="407">
      <c r="A407" s="350"/>
      <c r="B407" s="351"/>
      <c r="C407" s="362"/>
      <c r="D407" s="356" t="s">
        <v>3902</v>
      </c>
      <c r="E407" s="350"/>
      <c r="F407" s="351"/>
      <c r="G407" s="351"/>
      <c r="H407" s="351"/>
      <c r="I407" s="350"/>
    </row>
    <row r="408">
      <c r="A408" s="110">
        <v>38037.0</v>
      </c>
      <c r="B408" s="111"/>
      <c r="C408" s="116" t="str">
        <f>HYPERLINK("http://phish.net/sideshows/guest-appearance/?d=2004-02-20", "setlist")</f>
        <v>setlist</v>
      </c>
      <c r="D408" s="183" t="s">
        <v>2817</v>
      </c>
      <c r="E408" s="183" t="s">
        <v>854</v>
      </c>
      <c r="F408" s="114" t="s">
        <v>35</v>
      </c>
      <c r="G408" s="111"/>
      <c r="H408" s="359"/>
      <c r="I408" s="113" t="s">
        <v>2787</v>
      </c>
    </row>
    <row r="409">
      <c r="A409" s="350"/>
      <c r="B409" s="351"/>
      <c r="C409" s="362"/>
      <c r="D409" s="356" t="s">
        <v>3845</v>
      </c>
      <c r="E409" s="350"/>
      <c r="F409" s="351"/>
      <c r="G409" s="351"/>
      <c r="H409" s="351"/>
      <c r="I409" s="350"/>
    </row>
    <row r="410">
      <c r="A410" s="110">
        <v>38073.0</v>
      </c>
      <c r="B410" s="111"/>
      <c r="C410" s="116" t="str">
        <f>HYPERLINK("http://phish.net/sideshows/guest-appearance/?d=2004-03-27", "setlist")</f>
        <v>setlist</v>
      </c>
      <c r="D410" s="183" t="s">
        <v>3903</v>
      </c>
      <c r="E410" s="183" t="s">
        <v>162</v>
      </c>
      <c r="F410" s="114" t="s">
        <v>129</v>
      </c>
      <c r="G410" s="111"/>
      <c r="H410" s="359"/>
      <c r="I410" s="113" t="s">
        <v>3712</v>
      </c>
    </row>
    <row r="411">
      <c r="A411" s="350"/>
      <c r="B411" s="351"/>
      <c r="C411" s="362"/>
      <c r="D411" s="356" t="s">
        <v>3725</v>
      </c>
      <c r="E411" s="350"/>
      <c r="F411" s="351"/>
      <c r="G411" s="351"/>
      <c r="H411" s="351"/>
      <c r="I411" s="350"/>
    </row>
    <row r="412">
      <c r="A412" s="110">
        <v>38074.0</v>
      </c>
      <c r="B412" s="111"/>
      <c r="C412" s="116" t="str">
        <f>HYPERLINK("http://phish.net/sideshows/guest-appearance/?d=2004-03-28", "setlist")</f>
        <v>setlist</v>
      </c>
      <c r="D412" s="183" t="s">
        <v>1330</v>
      </c>
      <c r="E412" s="183" t="s">
        <v>162</v>
      </c>
      <c r="F412" s="114" t="s">
        <v>129</v>
      </c>
      <c r="G412" s="111"/>
      <c r="H412" s="359"/>
      <c r="I412" s="113" t="s">
        <v>2998</v>
      </c>
    </row>
    <row r="413">
      <c r="A413" s="350"/>
      <c r="B413" s="351"/>
      <c r="C413" s="362"/>
      <c r="D413" s="356" t="s">
        <v>3904</v>
      </c>
      <c r="E413" s="350"/>
      <c r="F413" s="351"/>
      <c r="G413" s="351"/>
      <c r="H413" s="351"/>
      <c r="I413" s="350"/>
    </row>
    <row r="414">
      <c r="A414" s="110">
        <v>38080.0</v>
      </c>
      <c r="B414" s="111"/>
      <c r="C414" s="116" t="str">
        <f>HYPERLINK("http://phish.net/sideshows/guest-appearance/?d=2004-04-03", "setlist")</f>
        <v>setlist</v>
      </c>
      <c r="D414" s="183" t="s">
        <v>2817</v>
      </c>
      <c r="E414" s="183" t="s">
        <v>854</v>
      </c>
      <c r="F414" s="114" t="s">
        <v>35</v>
      </c>
      <c r="G414" s="114" t="s">
        <v>36</v>
      </c>
      <c r="H414" s="116" t="str">
        <f>HYPERLINK("http://www.mediafire.com/?ex93agl03lbq3", "download link")</f>
        <v>download link</v>
      </c>
      <c r="I414" s="113" t="s">
        <v>3905</v>
      </c>
    </row>
    <row r="415">
      <c r="A415" s="350"/>
      <c r="B415" s="351"/>
      <c r="C415" s="362"/>
      <c r="D415" s="356" t="s">
        <v>3805</v>
      </c>
      <c r="E415" s="350"/>
      <c r="F415" s="351"/>
      <c r="G415" s="351"/>
      <c r="H415" s="351"/>
      <c r="I415" s="350"/>
    </row>
    <row r="416">
      <c r="A416" s="110">
        <v>38101.0</v>
      </c>
      <c r="B416" s="111"/>
      <c r="C416" s="116" t="str">
        <f>HYPERLINK("http://phish.net/sideshows/guest-appearance/?d=2004-04-24", "setlist")</f>
        <v>setlist</v>
      </c>
      <c r="D416" s="183" t="s">
        <v>2817</v>
      </c>
      <c r="E416" s="183" t="s">
        <v>854</v>
      </c>
      <c r="F416" s="114" t="s">
        <v>35</v>
      </c>
      <c r="G416" s="111"/>
      <c r="H416" s="359"/>
      <c r="I416" s="113" t="s">
        <v>3720</v>
      </c>
    </row>
    <row r="417">
      <c r="A417" s="350"/>
      <c r="B417" s="351"/>
      <c r="C417" s="362"/>
      <c r="D417" s="356" t="s">
        <v>3906</v>
      </c>
      <c r="E417" s="350"/>
      <c r="F417" s="351"/>
      <c r="G417" s="351"/>
      <c r="H417" s="351"/>
      <c r="I417" s="350"/>
    </row>
    <row r="418">
      <c r="A418" s="110">
        <v>38102.0</v>
      </c>
      <c r="B418" s="111"/>
      <c r="C418" s="116" t="str">
        <f>HYPERLINK("http://phish.net/sideshows/guest-appearance/?showid=1328476924", "setlist")</f>
        <v>setlist</v>
      </c>
      <c r="D418" s="183" t="s">
        <v>2817</v>
      </c>
      <c r="E418" s="183" t="s">
        <v>854</v>
      </c>
      <c r="F418" s="114" t="s">
        <v>35</v>
      </c>
      <c r="G418" s="111"/>
      <c r="H418" s="359"/>
      <c r="I418" s="113" t="s">
        <v>3781</v>
      </c>
    </row>
    <row r="419">
      <c r="A419" s="350"/>
      <c r="B419" s="354"/>
      <c r="C419" s="352"/>
      <c r="D419" s="353" t="s">
        <v>3897</v>
      </c>
      <c r="E419" s="355"/>
      <c r="F419" s="354"/>
      <c r="G419" s="354"/>
      <c r="H419" s="351"/>
      <c r="I419" s="355"/>
    </row>
    <row r="420">
      <c r="A420" s="110">
        <v>38102.0</v>
      </c>
      <c r="B420" s="111"/>
      <c r="C420" s="116" t="str">
        <f>HYPERLINK("http://phish.net/sideshows/guest-appearance/?d=2004-04-25", "setlist")</f>
        <v>setlist</v>
      </c>
      <c r="D420" s="113" t="s">
        <v>2817</v>
      </c>
      <c r="E420" s="113" t="s">
        <v>854</v>
      </c>
      <c r="F420" s="114" t="s">
        <v>35</v>
      </c>
      <c r="G420" s="111"/>
      <c r="H420" s="359"/>
      <c r="I420" s="113" t="s">
        <v>3509</v>
      </c>
    </row>
    <row r="421">
      <c r="A421" s="130">
        <v>38114.0</v>
      </c>
      <c r="B421" s="131"/>
      <c r="C421" s="105" t="str">
        <f>HYPERLINK("http://phish.net/sideshows/guest-appearance/?d=2004-05-07", "setlist")</f>
        <v>setlist</v>
      </c>
      <c r="D421" s="132" t="s">
        <v>1551</v>
      </c>
      <c r="E421" s="132" t="s">
        <v>162</v>
      </c>
      <c r="F421" s="133" t="s">
        <v>129</v>
      </c>
      <c r="G421" s="133">
        <v>128.0</v>
      </c>
      <c r="H421" s="105" t="str">
        <f>HYPERLINK("http://www.mediafire.com/?w0o7wx600t6ui", "download link")</f>
        <v>download link</v>
      </c>
      <c r="I421" s="132" t="s">
        <v>3661</v>
      </c>
    </row>
    <row r="422">
      <c r="A422" s="350"/>
      <c r="B422" s="354"/>
      <c r="C422" s="352"/>
      <c r="D422" s="353" t="s">
        <v>3805</v>
      </c>
      <c r="E422" s="355"/>
      <c r="F422" s="354"/>
      <c r="G422" s="354"/>
      <c r="H422" s="351"/>
      <c r="I422" s="355"/>
    </row>
    <row r="423">
      <c r="A423" s="110">
        <v>38114.0</v>
      </c>
      <c r="B423" s="111"/>
      <c r="C423" s="116" t="str">
        <f>HYPERLINK("http://phish.net/sideshows/guest-appearance/?showid=1332299679", "setlist")</f>
        <v>setlist</v>
      </c>
      <c r="D423" s="183" t="s">
        <v>3511</v>
      </c>
      <c r="E423" s="183" t="s">
        <v>162</v>
      </c>
      <c r="F423" s="114" t="s">
        <v>129</v>
      </c>
      <c r="G423" s="114">
        <v>128.0</v>
      </c>
      <c r="H423" s="116" t="str">
        <f>HYPERLINK("http://www.mediafire.com/?ovkcpudzc182x","download link")</f>
        <v>download link</v>
      </c>
      <c r="I423" s="113" t="s">
        <v>2787</v>
      </c>
    </row>
    <row r="424">
      <c r="A424" s="350"/>
      <c r="B424" s="351"/>
      <c r="C424" s="362"/>
      <c r="D424" s="356" t="s">
        <v>3790</v>
      </c>
      <c r="E424" s="350"/>
      <c r="F424" s="351"/>
      <c r="G424" s="351"/>
      <c r="H424" s="351"/>
      <c r="I424" s="350"/>
    </row>
    <row r="425">
      <c r="A425" s="110">
        <v>38138.0</v>
      </c>
      <c r="B425" s="111"/>
      <c r="C425" s="116" t="str">
        <f>HYPERLINK("http://phish.net/sideshows/guest-appearance/?showid=1328415471", "setlist")</f>
        <v>setlist</v>
      </c>
      <c r="D425" s="183" t="s">
        <v>3071</v>
      </c>
      <c r="E425" s="183" t="s">
        <v>3072</v>
      </c>
      <c r="F425" s="114" t="s">
        <v>480</v>
      </c>
      <c r="G425" s="114" t="s">
        <v>36</v>
      </c>
      <c r="H425" s="116" t="str">
        <f>HYPERLINK("http://www.mediafire.com/?ujgl7282b3f5m", "download link")</f>
        <v>download link</v>
      </c>
      <c r="I425" s="113" t="s">
        <v>3664</v>
      </c>
    </row>
    <row r="426">
      <c r="A426" s="350"/>
      <c r="B426" s="351"/>
      <c r="C426" s="362"/>
      <c r="D426" s="356" t="s">
        <v>3717</v>
      </c>
      <c r="E426" s="350"/>
      <c r="F426" s="351"/>
      <c r="G426" s="351"/>
      <c r="H426" s="351"/>
      <c r="I426" s="350"/>
    </row>
    <row r="427">
      <c r="A427" s="110">
        <v>38185.0</v>
      </c>
      <c r="B427" s="111"/>
      <c r="C427" s="116" t="str">
        <f>HYPERLINK("http://phish.net/sideshows//?d=2004-07-17", "setlist")</f>
        <v>setlist</v>
      </c>
      <c r="D427" s="183" t="s">
        <v>3907</v>
      </c>
      <c r="E427" s="183" t="s">
        <v>3908</v>
      </c>
      <c r="F427" s="114" t="s">
        <v>129</v>
      </c>
      <c r="G427" s="114" t="s">
        <v>36</v>
      </c>
      <c r="H427" s="116" t="str">
        <f>HYPERLINK("http://www.mediafire.com/?6rx7c6l92c7u6", "download link")</f>
        <v>download link</v>
      </c>
      <c r="I427" s="113" t="s">
        <v>2998</v>
      </c>
    </row>
    <row r="428">
      <c r="A428" s="350"/>
      <c r="B428" s="351"/>
      <c r="C428" s="362"/>
      <c r="D428" s="356" t="s">
        <v>3790</v>
      </c>
      <c r="E428" s="350"/>
      <c r="F428" s="351"/>
      <c r="G428" s="351"/>
      <c r="H428" s="351"/>
      <c r="I428" s="350"/>
    </row>
    <row r="429">
      <c r="A429" s="110">
        <v>38233.0</v>
      </c>
      <c r="B429" s="111"/>
      <c r="C429" s="116" t="str">
        <f>HYPERLINK("http://phish.net/sideshows/guest-appearance/?d=2004-09-03", "setlist")</f>
        <v>setlist</v>
      </c>
      <c r="D429" s="183" t="s">
        <v>3238</v>
      </c>
      <c r="E429" s="183" t="s">
        <v>3239</v>
      </c>
      <c r="F429" s="114" t="s">
        <v>129</v>
      </c>
      <c r="G429" s="114" t="s">
        <v>36</v>
      </c>
      <c r="H429" s="116" t="str">
        <f>HYPERLINK("http://www.mediafire.com/?bd3a1lhuexavs", "download link")</f>
        <v>download link</v>
      </c>
      <c r="I429" s="113" t="s">
        <v>2998</v>
      </c>
    </row>
    <row r="430">
      <c r="A430" s="350"/>
      <c r="B430" s="351"/>
      <c r="C430" s="362"/>
      <c r="D430" s="356" t="s">
        <v>3909</v>
      </c>
      <c r="E430" s="350"/>
      <c r="F430" s="351"/>
      <c r="G430" s="351"/>
      <c r="H430" s="351"/>
      <c r="I430" s="350"/>
    </row>
    <row r="431">
      <c r="A431" s="110">
        <v>38353.0</v>
      </c>
      <c r="B431" s="111"/>
      <c r="C431" s="116" t="str">
        <f>HYPERLINK("http://phish.net/sideshows/guest-appearance/?d=2005-01-01", "setlist")</f>
        <v>setlist</v>
      </c>
      <c r="D431" s="183" t="s">
        <v>3511</v>
      </c>
      <c r="E431" s="183" t="s">
        <v>162</v>
      </c>
      <c r="F431" s="114" t="s">
        <v>129</v>
      </c>
      <c r="G431" s="114" t="s">
        <v>36</v>
      </c>
      <c r="H431" s="116" t="str">
        <f>HYPERLINK("http://www.mediafire.com/?vfdna5esaxf7f", "download link")</f>
        <v>download link</v>
      </c>
      <c r="I431" s="113" t="s">
        <v>3792</v>
      </c>
    </row>
    <row r="432">
      <c r="A432" s="350"/>
      <c r="B432" s="351"/>
      <c r="C432" s="362"/>
      <c r="D432" s="356" t="s">
        <v>3790</v>
      </c>
      <c r="E432" s="350"/>
      <c r="F432" s="351"/>
      <c r="G432" s="351"/>
      <c r="H432" s="351"/>
      <c r="I432" s="350"/>
    </row>
    <row r="433">
      <c r="A433" s="110">
        <v>38393.0</v>
      </c>
      <c r="B433" s="111"/>
      <c r="C433" s="116" t="str">
        <f>HYPERLINK("http://phish.net/sideshows/guest-appearance/?d=2005-02-10", "setlist")</f>
        <v>setlist</v>
      </c>
      <c r="D433" s="183" t="s">
        <v>863</v>
      </c>
      <c r="E433" s="183" t="s">
        <v>162</v>
      </c>
      <c r="F433" s="114" t="s">
        <v>129</v>
      </c>
      <c r="G433" s="114" t="s">
        <v>36</v>
      </c>
      <c r="H433" s="116" t="str">
        <f>HYPERLINK("http://www.mediafire.com/?bk27521gq9p3e", "download link")</f>
        <v>download link</v>
      </c>
      <c r="I433" s="113" t="s">
        <v>3910</v>
      </c>
    </row>
    <row r="434">
      <c r="A434" s="350"/>
      <c r="B434" s="351"/>
      <c r="C434" s="362"/>
      <c r="D434" s="356" t="s">
        <v>3725</v>
      </c>
      <c r="E434" s="350"/>
      <c r="F434" s="351"/>
      <c r="G434" s="351"/>
      <c r="H434" s="351"/>
      <c r="I434" s="350"/>
    </row>
    <row r="435">
      <c r="A435" s="110">
        <v>38432.0</v>
      </c>
      <c r="B435" s="111"/>
      <c r="C435" s="116" t="str">
        <f>HYPERLINK("http://phish.net/sideshows/guest-appearance/?d=2005-03-21", "setlist")</f>
        <v>setlist</v>
      </c>
      <c r="D435" s="183" t="s">
        <v>1330</v>
      </c>
      <c r="E435" s="183" t="s">
        <v>162</v>
      </c>
      <c r="F435" s="114" t="s">
        <v>129</v>
      </c>
      <c r="G435" s="111"/>
      <c r="H435" s="359"/>
      <c r="I435" s="113" t="s">
        <v>3911</v>
      </c>
    </row>
    <row r="436">
      <c r="A436" s="103">
        <v>38433.0</v>
      </c>
      <c r="B436" s="104"/>
      <c r="C436" s="105" t="str">
        <f>HYPERLINK("http://phish.net/sideshows/guest-appearance/?d=2005-03-22", "setlist")</f>
        <v>setlist</v>
      </c>
      <c r="D436" s="181" t="s">
        <v>1330</v>
      </c>
      <c r="E436" s="181" t="s">
        <v>162</v>
      </c>
      <c r="F436" s="107" t="s">
        <v>129</v>
      </c>
      <c r="G436" s="104"/>
      <c r="H436" s="360"/>
      <c r="I436" s="106" t="s">
        <v>3661</v>
      </c>
    </row>
    <row r="437">
      <c r="A437" s="350"/>
      <c r="B437" s="351"/>
      <c r="C437" s="362"/>
      <c r="D437" s="356" t="s">
        <v>3912</v>
      </c>
      <c r="E437" s="350"/>
      <c r="F437" s="351"/>
      <c r="G437" s="351"/>
      <c r="H437" s="351"/>
      <c r="I437" s="350"/>
    </row>
    <row r="438">
      <c r="A438" s="110">
        <v>38458.0</v>
      </c>
      <c r="B438" s="111"/>
      <c r="C438" s="116" t="str">
        <f>HYPERLINK("http://phish.net/sideshows/guest-appearance/?d=2005-04-16", "setlist")</f>
        <v>setlist</v>
      </c>
      <c r="D438" s="183" t="s">
        <v>54</v>
      </c>
      <c r="E438" s="183" t="s">
        <v>34</v>
      </c>
      <c r="F438" s="114" t="s">
        <v>35</v>
      </c>
      <c r="G438" s="111"/>
      <c r="H438" s="359"/>
      <c r="I438" s="113" t="s">
        <v>3774</v>
      </c>
    </row>
    <row r="439">
      <c r="A439" s="350"/>
      <c r="B439" s="351"/>
      <c r="C439" s="362"/>
      <c r="D439" s="356" t="s">
        <v>3814</v>
      </c>
      <c r="E439" s="350"/>
      <c r="F439" s="351"/>
      <c r="G439" s="351"/>
      <c r="H439" s="351"/>
      <c r="I439" s="350"/>
    </row>
    <row r="440">
      <c r="A440" s="110">
        <v>38465.0</v>
      </c>
      <c r="B440" s="111"/>
      <c r="C440" s="116" t="str">
        <f>HYPERLINK("http://phish.net/sideshows/guest-appearance/?d=2005-04-23", "setlist")</f>
        <v>setlist</v>
      </c>
      <c r="D440" s="183" t="s">
        <v>2817</v>
      </c>
      <c r="E440" s="183" t="s">
        <v>2826</v>
      </c>
      <c r="F440" s="114" t="s">
        <v>35</v>
      </c>
      <c r="G440" s="111"/>
      <c r="H440" s="359"/>
      <c r="I440" s="113" t="s">
        <v>3913</v>
      </c>
    </row>
    <row r="441">
      <c r="A441" s="350"/>
      <c r="B441" s="351"/>
      <c r="C441" s="362"/>
      <c r="D441" s="356" t="s">
        <v>3914</v>
      </c>
      <c r="E441" s="350"/>
      <c r="F441" s="351"/>
      <c r="G441" s="351"/>
      <c r="H441" s="351"/>
      <c r="I441" s="350"/>
    </row>
    <row r="442">
      <c r="A442" s="110">
        <v>38475.0</v>
      </c>
      <c r="B442" s="111"/>
      <c r="C442" s="116" t="str">
        <f>HYPERLINK("http://phish.net/sideshows/guest-appearance/?showid=1362195820", "setlist")</f>
        <v>setlist</v>
      </c>
      <c r="D442" s="183" t="s">
        <v>1345</v>
      </c>
      <c r="E442" s="183" t="s">
        <v>439</v>
      </c>
      <c r="F442" s="114" t="s">
        <v>430</v>
      </c>
      <c r="G442" s="114" t="s">
        <v>36</v>
      </c>
      <c r="H442" s="116" t="str">
        <f>HYPERLINK("http://www.mediafire.com/download/v2r21w46c2lth2p/2005-05-03_-_Township_Auditorium_-_Columbia%2C_SC.rar", "download link")</f>
        <v>download link</v>
      </c>
      <c r="I442" s="113" t="s">
        <v>3661</v>
      </c>
    </row>
    <row r="443">
      <c r="A443" s="350"/>
      <c r="B443" s="351"/>
      <c r="C443" s="362"/>
      <c r="D443" s="356" t="s">
        <v>3915</v>
      </c>
      <c r="E443" s="350"/>
      <c r="F443" s="351"/>
      <c r="G443" s="351"/>
      <c r="H443" s="351"/>
      <c r="I443" s="350"/>
    </row>
    <row r="444">
      <c r="A444" s="150">
        <v>38486.0</v>
      </c>
      <c r="B444" s="148" t="s">
        <v>32</v>
      </c>
      <c r="C444" s="135" t="str">
        <f>HYPERLINK("http://phish.net/sideshows/particle/?showid=1327192105", "setlist")</f>
        <v>setlist</v>
      </c>
      <c r="D444" s="149" t="s">
        <v>2902</v>
      </c>
      <c r="E444" s="149" t="s">
        <v>162</v>
      </c>
      <c r="F444" s="148" t="s">
        <v>129</v>
      </c>
      <c r="G444" s="114">
        <v>128.0</v>
      </c>
      <c r="H444" s="116" t="str">
        <f>HYPERLINK("http://www.mediafire.com/?p9f23fk414n7s", "download link")</f>
        <v>download link</v>
      </c>
      <c r="I444" s="113" t="s">
        <v>3916</v>
      </c>
    </row>
    <row r="445">
      <c r="A445" s="350"/>
      <c r="B445" s="351"/>
      <c r="C445" s="362"/>
      <c r="D445" s="356" t="s">
        <v>3912</v>
      </c>
      <c r="E445" s="350"/>
      <c r="F445" s="351"/>
      <c r="G445" s="351"/>
      <c r="H445" s="351"/>
      <c r="I445" s="350"/>
    </row>
    <row r="446">
      <c r="A446" s="110">
        <v>38521.0</v>
      </c>
      <c r="B446" s="111"/>
      <c r="C446" s="135" t="str">
        <f>HYPERLINK("http://phish.net/sideshows/guest-appearance/?d=2005-06-18", "setlist")</f>
        <v>setlist</v>
      </c>
      <c r="D446" s="183" t="s">
        <v>54</v>
      </c>
      <c r="E446" s="183" t="s">
        <v>34</v>
      </c>
      <c r="F446" s="114" t="s">
        <v>35</v>
      </c>
      <c r="G446" s="111"/>
      <c r="H446" s="359"/>
      <c r="I446" s="113" t="s">
        <v>3774</v>
      </c>
    </row>
    <row r="447">
      <c r="A447" s="350"/>
      <c r="B447" s="351"/>
      <c r="C447" s="362"/>
      <c r="D447" s="356" t="s">
        <v>3917</v>
      </c>
      <c r="E447" s="350"/>
      <c r="F447" s="351"/>
      <c r="G447" s="351"/>
      <c r="H447" s="351"/>
      <c r="I447" s="350"/>
    </row>
    <row r="448">
      <c r="A448" s="110">
        <v>38527.0</v>
      </c>
      <c r="B448" s="111"/>
      <c r="C448" s="135" t="str">
        <f>HYPERLINK("http://phish.net/sideshows/guest-appearance/?showid=1327845049", "setlist")</f>
        <v>setlist</v>
      </c>
      <c r="D448" s="183" t="s">
        <v>3246</v>
      </c>
      <c r="E448" s="183" t="s">
        <v>3247</v>
      </c>
      <c r="F448" s="114" t="s">
        <v>692</v>
      </c>
      <c r="G448" s="114" t="s">
        <v>36</v>
      </c>
      <c r="H448" s="116" t="str">
        <f>HYPERLINK("http://www.mediafire.com/?2dd3ugg72n1dm", "download link")</f>
        <v>download link</v>
      </c>
      <c r="I448" s="113" t="s">
        <v>3718</v>
      </c>
    </row>
    <row r="449">
      <c r="A449" s="350"/>
      <c r="B449" s="351"/>
      <c r="C449" s="362"/>
      <c r="D449" s="356" t="s">
        <v>3814</v>
      </c>
      <c r="E449" s="350"/>
      <c r="F449" s="351"/>
      <c r="G449" s="351"/>
      <c r="H449" s="351"/>
      <c r="I449" s="350"/>
    </row>
    <row r="450">
      <c r="A450" s="110">
        <v>38534.0</v>
      </c>
      <c r="B450" s="111"/>
      <c r="C450" s="135" t="str">
        <f>HYPERLINK("http://phish.net/sideshows/guest-appearance/?showid=1327854118", "setlist")</f>
        <v>setlist</v>
      </c>
      <c r="D450" s="183" t="s">
        <v>1297</v>
      </c>
      <c r="E450" s="183" t="s">
        <v>1298</v>
      </c>
      <c r="F450" s="114" t="s">
        <v>203</v>
      </c>
      <c r="G450" s="111"/>
      <c r="H450" s="359"/>
      <c r="I450" s="113" t="s">
        <v>2998</v>
      </c>
    </row>
    <row r="451">
      <c r="A451" s="350"/>
      <c r="B451" s="351"/>
      <c r="C451" s="362"/>
      <c r="D451" s="356" t="s">
        <v>3918</v>
      </c>
      <c r="E451" s="350"/>
      <c r="F451" s="351"/>
      <c r="G451" s="351"/>
      <c r="H451" s="351"/>
      <c r="I451" s="350"/>
    </row>
    <row r="452">
      <c r="A452" s="110">
        <v>38544.0</v>
      </c>
      <c r="B452" s="111"/>
      <c r="C452" s="135" t="str">
        <f>HYPERLINK("http://phish.net/sideshows/guest-appearance/?d=2005-07-11", "setlist")</f>
        <v>setlist</v>
      </c>
      <c r="D452" s="183" t="s">
        <v>761</v>
      </c>
      <c r="E452" s="183" t="s">
        <v>437</v>
      </c>
      <c r="F452" s="114" t="s">
        <v>433</v>
      </c>
      <c r="G452" s="111"/>
      <c r="H452" s="359"/>
      <c r="I452" s="113" t="s">
        <v>3919</v>
      </c>
    </row>
    <row r="453">
      <c r="A453" s="350"/>
      <c r="B453" s="351"/>
      <c r="C453" s="362"/>
      <c r="D453" s="356" t="s">
        <v>3707</v>
      </c>
      <c r="E453" s="350"/>
      <c r="F453" s="351"/>
      <c r="G453" s="351"/>
      <c r="H453" s="351"/>
      <c r="I453" s="350"/>
    </row>
    <row r="454">
      <c r="A454" s="110">
        <v>38546.0</v>
      </c>
      <c r="B454" s="111"/>
      <c r="C454" s="135" t="str">
        <f>HYPERLINK("http://phish.net/sideshows/guest-appearance/?d=2005-07-13", "setlist")</f>
        <v>setlist</v>
      </c>
      <c r="D454" s="183" t="s">
        <v>2267</v>
      </c>
      <c r="E454" s="183" t="s">
        <v>437</v>
      </c>
      <c r="F454" s="114" t="s">
        <v>433</v>
      </c>
      <c r="G454" s="114" t="s">
        <v>36</v>
      </c>
      <c r="H454" s="116" t="str">
        <f>HYPERLINK("http://www.mediafire.com/?9tdf28q0odpxo", "download link")</f>
        <v>download link</v>
      </c>
      <c r="I454" s="113" t="s">
        <v>3670</v>
      </c>
    </row>
    <row r="455">
      <c r="A455" s="103">
        <v>38563.0</v>
      </c>
      <c r="B455" s="104"/>
      <c r="C455" s="105" t="str">
        <f>HYPERLINK("http://phish.net/sideshows/guest-appearance/?d=2005-07-30", "setlist")</f>
        <v>setlist</v>
      </c>
      <c r="D455" s="181" t="s">
        <v>2541</v>
      </c>
      <c r="E455" s="181" t="s">
        <v>162</v>
      </c>
      <c r="F455" s="107" t="s">
        <v>129</v>
      </c>
      <c r="G455" s="107" t="s">
        <v>36</v>
      </c>
      <c r="H455" s="105" t="str">
        <f>HYPERLINK("http://www.mediafire.com/?tt9he1bh0vo3d", "download link")</f>
        <v>download link</v>
      </c>
      <c r="I455" s="106" t="s">
        <v>3661</v>
      </c>
    </row>
    <row r="456">
      <c r="A456" s="350"/>
      <c r="B456" s="351"/>
      <c r="C456" s="362"/>
      <c r="D456" s="356" t="s">
        <v>3814</v>
      </c>
      <c r="E456" s="350"/>
      <c r="F456" s="351"/>
      <c r="G456" s="351"/>
      <c r="H456" s="351"/>
      <c r="I456" s="350"/>
    </row>
    <row r="457">
      <c r="A457" s="110">
        <v>38570.0</v>
      </c>
      <c r="B457" s="111"/>
      <c r="C457" s="135" t="str">
        <f>HYPERLINK("http://phish.net/sideshows/guest-appearance/?showid=1332774529", "setlist")</f>
        <v>setlist</v>
      </c>
      <c r="D457" s="183" t="s">
        <v>993</v>
      </c>
      <c r="E457" s="183" t="s">
        <v>994</v>
      </c>
      <c r="F457" s="114" t="s">
        <v>129</v>
      </c>
      <c r="G457" s="111"/>
      <c r="H457" s="359"/>
      <c r="I457" s="113" t="s">
        <v>3661</v>
      </c>
    </row>
    <row r="458">
      <c r="A458" s="350"/>
      <c r="B458" s="351"/>
      <c r="C458" s="362"/>
      <c r="D458" s="356" t="s">
        <v>3920</v>
      </c>
      <c r="E458" s="350"/>
      <c r="F458" s="351"/>
      <c r="G458" s="351"/>
      <c r="H458" s="351"/>
      <c r="I458" s="350"/>
    </row>
    <row r="459">
      <c r="A459" s="110">
        <v>38576.0</v>
      </c>
      <c r="B459" s="111"/>
      <c r="C459" s="135" t="str">
        <f>HYPERLINK("http://phish.net/sideshows/guest-appearance/?d=2005-08-12", "setlist")</f>
        <v>setlist</v>
      </c>
      <c r="D459" s="183" t="s">
        <v>3236</v>
      </c>
      <c r="E459" s="183" t="s">
        <v>162</v>
      </c>
      <c r="F459" s="114" t="s">
        <v>129</v>
      </c>
      <c r="G459" s="111"/>
      <c r="H459" s="359"/>
      <c r="I459" s="113" t="s">
        <v>2998</v>
      </c>
    </row>
    <row r="460">
      <c r="A460" s="350"/>
      <c r="B460" s="351"/>
      <c r="C460" s="362"/>
      <c r="D460" s="356" t="s">
        <v>3725</v>
      </c>
      <c r="E460" s="350"/>
      <c r="F460" s="351"/>
      <c r="G460" s="351"/>
      <c r="H460" s="351"/>
      <c r="I460" s="350"/>
    </row>
    <row r="461">
      <c r="A461" s="110">
        <v>38592.0</v>
      </c>
      <c r="B461" s="114" t="s">
        <v>32</v>
      </c>
      <c r="C461" s="135" t="str">
        <f>HYPERLINK("http://phish.net/sideshows/guest-appearance/?d=2005-08-28", "setlist")</f>
        <v>setlist</v>
      </c>
      <c r="D461" s="183" t="s">
        <v>2462</v>
      </c>
      <c r="E461" s="183" t="s">
        <v>2463</v>
      </c>
      <c r="F461" s="114" t="s">
        <v>35</v>
      </c>
      <c r="G461" s="114" t="s">
        <v>36</v>
      </c>
      <c r="H461" s="116" t="str">
        <f>HYPERLINK("http://www.mediafire.com/?d64ca26rtz93r", "download link")</f>
        <v>download link</v>
      </c>
      <c r="I461" s="113" t="s">
        <v>3661</v>
      </c>
    </row>
    <row r="462">
      <c r="A462" s="350"/>
      <c r="B462" s="351"/>
      <c r="C462" s="362"/>
      <c r="D462" s="356" t="s">
        <v>3900</v>
      </c>
      <c r="E462" s="350"/>
      <c r="F462" s="351"/>
      <c r="G462" s="351"/>
      <c r="H462" s="351"/>
      <c r="I462" s="350"/>
    </row>
    <row r="463">
      <c r="A463" s="110">
        <v>38596.0</v>
      </c>
      <c r="B463" s="111"/>
      <c r="C463" s="135" t="str">
        <f>HYPERLINK("http://phish.net/sideshows/guest-appearance/?d=2005-09-01", "setlist")</f>
        <v>setlist</v>
      </c>
      <c r="D463" s="183" t="s">
        <v>2817</v>
      </c>
      <c r="E463" s="183" t="s">
        <v>2826</v>
      </c>
      <c r="F463" s="114" t="s">
        <v>35</v>
      </c>
      <c r="G463" s="111"/>
      <c r="H463" s="359"/>
      <c r="I463" s="113" t="s">
        <v>3770</v>
      </c>
    </row>
    <row r="464">
      <c r="A464" s="350"/>
      <c r="B464" s="351"/>
      <c r="C464" s="362"/>
      <c r="D464" s="356" t="s">
        <v>3921</v>
      </c>
      <c r="E464" s="350"/>
      <c r="F464" s="351"/>
      <c r="G464" s="351"/>
      <c r="H464" s="351"/>
      <c r="I464" s="350"/>
    </row>
    <row r="465">
      <c r="A465" s="110">
        <v>38619.0</v>
      </c>
      <c r="B465" s="111"/>
      <c r="C465" s="392" t="s">
        <v>40</v>
      </c>
      <c r="D465" s="183" t="s">
        <v>1309</v>
      </c>
      <c r="E465" s="183" t="s">
        <v>686</v>
      </c>
      <c r="F465" s="114" t="s">
        <v>679</v>
      </c>
      <c r="G465" s="114" t="s">
        <v>36</v>
      </c>
      <c r="H465" s="116" t="str">
        <f>HYPERLINK("http://www.mediafire.com/?lapx59nh6l6yc", "download link")</f>
        <v>download link</v>
      </c>
      <c r="I465" s="113" t="s">
        <v>3922</v>
      </c>
    </row>
    <row r="466">
      <c r="A466" s="350"/>
      <c r="B466" s="351"/>
      <c r="C466" s="362"/>
      <c r="D466" s="356" t="s">
        <v>3923</v>
      </c>
      <c r="E466" s="350"/>
      <c r="F466" s="351"/>
      <c r="G466" s="351"/>
      <c r="H466" s="351"/>
      <c r="I466" s="350"/>
    </row>
    <row r="467">
      <c r="A467" s="110">
        <v>38625.0</v>
      </c>
      <c r="B467" s="111"/>
      <c r="C467" s="135" t="str">
        <f>HYPERLINK("http://phish.net/sideshows/guest-appearance/?showid=1327879503", "setlist")</f>
        <v>setlist</v>
      </c>
      <c r="D467" s="183" t="s">
        <v>3924</v>
      </c>
      <c r="E467" s="183" t="s">
        <v>911</v>
      </c>
      <c r="F467" s="114" t="s">
        <v>679</v>
      </c>
      <c r="G467" s="111"/>
      <c r="H467" s="359"/>
      <c r="I467" s="113" t="s">
        <v>2998</v>
      </c>
    </row>
    <row r="468">
      <c r="A468" s="350"/>
      <c r="B468" s="351"/>
      <c r="C468" s="362"/>
      <c r="D468" s="356" t="s">
        <v>3685</v>
      </c>
      <c r="E468" s="350"/>
      <c r="F468" s="351"/>
      <c r="G468" s="351"/>
      <c r="H468" s="351"/>
      <c r="I468" s="350"/>
    </row>
    <row r="469">
      <c r="A469" s="110">
        <v>38655.0</v>
      </c>
      <c r="B469" s="111"/>
      <c r="C469" s="135" t="str">
        <f>HYPERLINK("http://phish.net/sideshows/guest-appearance/?showid=1327865248", "setlist")</f>
        <v>setlist</v>
      </c>
      <c r="D469" s="183" t="s">
        <v>2937</v>
      </c>
      <c r="E469" s="183" t="s">
        <v>1804</v>
      </c>
      <c r="F469" s="114" t="s">
        <v>1805</v>
      </c>
      <c r="G469" s="114" t="s">
        <v>36</v>
      </c>
      <c r="H469" s="116" t="str">
        <f>HYPERLINK("http://www.mediafire.com/?frhkaaiuu4ffl", "download link")</f>
        <v>download link</v>
      </c>
      <c r="I469" s="113" t="s">
        <v>3671</v>
      </c>
    </row>
    <row r="470">
      <c r="A470" s="350"/>
      <c r="B470" s="351"/>
      <c r="C470" s="362"/>
      <c r="D470" s="356" t="s">
        <v>3912</v>
      </c>
      <c r="E470" s="350"/>
      <c r="F470" s="351"/>
      <c r="G470" s="351"/>
      <c r="H470" s="351"/>
      <c r="I470" s="350"/>
    </row>
    <row r="471">
      <c r="A471" s="110">
        <v>38657.0</v>
      </c>
      <c r="B471" s="111"/>
      <c r="C471" s="135" t="str">
        <f>HYPERLINK("http://phish.net/sideshows/guest-appearance/?showid=1355716253", "setlist")</f>
        <v>setlist</v>
      </c>
      <c r="D471" s="183" t="s">
        <v>3210</v>
      </c>
      <c r="E471" s="183" t="s">
        <v>162</v>
      </c>
      <c r="F471" s="114" t="s">
        <v>129</v>
      </c>
      <c r="G471" s="111"/>
      <c r="H471" s="359"/>
      <c r="I471" s="113" t="s">
        <v>3774</v>
      </c>
    </row>
    <row r="472">
      <c r="A472" s="103">
        <v>38668.0</v>
      </c>
      <c r="B472" s="107" t="s">
        <v>32</v>
      </c>
      <c r="C472" s="105" t="str">
        <f>HYPERLINK("http://phish.net/sideshows/guest-appearance/?showid=1355716434", "setlist")</f>
        <v>setlist</v>
      </c>
      <c r="D472" s="181" t="s">
        <v>54</v>
      </c>
      <c r="E472" s="181" t="s">
        <v>34</v>
      </c>
      <c r="F472" s="107" t="s">
        <v>35</v>
      </c>
      <c r="G472" s="107" t="s">
        <v>36</v>
      </c>
      <c r="H472" s="105" t="str">
        <f>HYPERLINK("http://www.mediafire.com/?29pk3ot9uc9cf", "download link")</f>
        <v>download link</v>
      </c>
      <c r="I472" s="106" t="s">
        <v>3774</v>
      </c>
    </row>
    <row r="473">
      <c r="A473" s="350"/>
      <c r="B473" s="351"/>
      <c r="C473" s="362"/>
      <c r="D473" s="356" t="s">
        <v>3925</v>
      </c>
      <c r="E473" s="350"/>
      <c r="F473" s="351"/>
      <c r="G473" s="351"/>
      <c r="H473" s="351"/>
      <c r="I473" s="350"/>
    </row>
    <row r="474">
      <c r="A474" s="110">
        <v>38668.0</v>
      </c>
      <c r="B474" s="114" t="s">
        <v>32</v>
      </c>
      <c r="C474" s="135" t="str">
        <f>HYPERLINK("http://phish.net/sideshows/guest-appearance/?showid=1327869908", "setlist")</f>
        <v>setlist</v>
      </c>
      <c r="D474" s="183" t="s">
        <v>2944</v>
      </c>
      <c r="E474" s="183" t="s">
        <v>363</v>
      </c>
      <c r="F474" s="114" t="s">
        <v>257</v>
      </c>
      <c r="G474" s="114">
        <v>128.0</v>
      </c>
      <c r="H474" s="116" t="str">
        <f>HYPERLINK("http://www.mediafire.com/?aqgv6p8aoo99b", "download link")</f>
        <v>download link</v>
      </c>
      <c r="I474" s="113" t="s">
        <v>3661</v>
      </c>
    </row>
    <row r="475">
      <c r="A475" s="350"/>
      <c r="B475" s="351"/>
      <c r="C475" s="362"/>
      <c r="D475" s="356" t="s">
        <v>3926</v>
      </c>
      <c r="E475" s="350"/>
      <c r="F475" s="351"/>
      <c r="G475" s="351"/>
      <c r="H475" s="351"/>
      <c r="I475" s="350"/>
    </row>
    <row r="476">
      <c r="A476" s="110">
        <v>38700.0</v>
      </c>
      <c r="B476" s="111"/>
      <c r="C476" s="135" t="str">
        <f>HYPERLINK("http://phish.net/sideshows/guest-appearance/?d=2005-12-14", "setlist")</f>
        <v>setlist</v>
      </c>
      <c r="D476" s="183" t="s">
        <v>3892</v>
      </c>
      <c r="E476" s="183" t="s">
        <v>162</v>
      </c>
      <c r="F476" s="114" t="s">
        <v>129</v>
      </c>
      <c r="G476" s="111"/>
      <c r="H476" s="359"/>
      <c r="I476" s="113" t="s">
        <v>3774</v>
      </c>
    </row>
    <row r="477">
      <c r="A477" s="350"/>
      <c r="B477" s="351"/>
      <c r="C477" s="362"/>
      <c r="D477" s="356" t="s">
        <v>3814</v>
      </c>
      <c r="E477" s="350"/>
      <c r="F477" s="351"/>
      <c r="G477" s="351"/>
      <c r="H477" s="351"/>
      <c r="I477" s="350"/>
    </row>
    <row r="478">
      <c r="A478" s="110">
        <v>38703.0</v>
      </c>
      <c r="B478" s="111"/>
      <c r="C478" s="135" t="str">
        <f>HYPERLINK("http://phish.net/sideshows/guest-appearance/?showid=1332772485", "setlist")</f>
        <v>setlist</v>
      </c>
      <c r="D478" s="183" t="s">
        <v>2326</v>
      </c>
      <c r="E478" s="183" t="s">
        <v>2327</v>
      </c>
      <c r="F478" s="114" t="s">
        <v>443</v>
      </c>
      <c r="G478" s="111"/>
      <c r="H478" s="359"/>
      <c r="I478" s="113" t="s">
        <v>3661</v>
      </c>
    </row>
    <row r="479">
      <c r="A479" s="350"/>
      <c r="B479" s="351"/>
      <c r="C479" s="362"/>
      <c r="D479" s="356" t="s">
        <v>3914</v>
      </c>
      <c r="E479" s="350"/>
      <c r="F479" s="351"/>
      <c r="G479" s="351"/>
      <c r="H479" s="351"/>
      <c r="I479" s="350"/>
    </row>
    <row r="480">
      <c r="A480" s="110">
        <v>38717.0</v>
      </c>
      <c r="B480" s="111"/>
      <c r="C480" s="135" t="str">
        <f>HYPERLINK("http://phish.net/sideshows/guest-appearance/?showid=1327873950", "setlist")</f>
        <v>setlist</v>
      </c>
      <c r="D480" s="183" t="s">
        <v>1553</v>
      </c>
      <c r="E480" s="183" t="s">
        <v>162</v>
      </c>
      <c r="F480" s="114" t="s">
        <v>129</v>
      </c>
      <c r="G480" s="114" t="s">
        <v>36</v>
      </c>
      <c r="H480" s="116" t="str">
        <f>HYPERLINK("http://www.mediafire.com/?e1z6vkyvib74k", "download link")</f>
        <v>download link</v>
      </c>
      <c r="I480" s="113" t="s">
        <v>3661</v>
      </c>
    </row>
    <row r="481">
      <c r="A481" s="350"/>
      <c r="B481" s="351"/>
      <c r="C481" s="362"/>
      <c r="D481" s="356" t="s">
        <v>3927</v>
      </c>
      <c r="E481" s="350"/>
      <c r="F481" s="351"/>
      <c r="G481" s="351"/>
      <c r="H481" s="351"/>
      <c r="I481" s="350"/>
    </row>
    <row r="482">
      <c r="A482" s="110">
        <v>38717.0</v>
      </c>
      <c r="B482" s="111"/>
      <c r="C482" s="135" t="str">
        <f>HYPERLINK("http://phish.net/sideshows/guest-appearance/?showid=1327874211", "setlist")</f>
        <v>setlist</v>
      </c>
      <c r="D482" s="183" t="s">
        <v>1553</v>
      </c>
      <c r="E482" s="183" t="s">
        <v>162</v>
      </c>
      <c r="F482" s="114" t="s">
        <v>129</v>
      </c>
      <c r="G482" s="114" t="s">
        <v>36</v>
      </c>
      <c r="H482" s="116" t="str">
        <f>HYPERLINK("http://www.mediafire.com/?l0cb6nl2dv2k6", "download link")</f>
        <v>download link</v>
      </c>
      <c r="I482" s="113" t="s">
        <v>3670</v>
      </c>
    </row>
    <row r="483">
      <c r="A483" s="350"/>
      <c r="B483" s="351"/>
      <c r="C483" s="362"/>
      <c r="D483" s="356" t="s">
        <v>3928</v>
      </c>
      <c r="E483" s="350"/>
      <c r="F483" s="351"/>
      <c r="G483" s="351"/>
      <c r="H483" s="351"/>
      <c r="I483" s="350"/>
    </row>
    <row r="484">
      <c r="A484" s="110">
        <v>38759.0</v>
      </c>
      <c r="B484" s="114" t="s">
        <v>32</v>
      </c>
      <c r="C484" s="135" t="str">
        <f>HYPERLINK("http://phish.net/sideshows/guest-appearance/?d=2006-02-11", "setlist")</f>
        <v>setlist</v>
      </c>
      <c r="D484" s="183" t="s">
        <v>54</v>
      </c>
      <c r="E484" s="183" t="s">
        <v>34</v>
      </c>
      <c r="F484" s="114" t="s">
        <v>35</v>
      </c>
      <c r="G484" s="114" t="s">
        <v>36</v>
      </c>
      <c r="H484" s="116" t="str">
        <f>HYPERLINK("http://www.mediafire.com/?zqa7bmha0br73", "download link")</f>
        <v>download link</v>
      </c>
      <c r="I484" s="113" t="s">
        <v>2812</v>
      </c>
    </row>
    <row r="485">
      <c r="A485" s="350"/>
      <c r="B485" s="351"/>
      <c r="C485" s="362"/>
      <c r="D485" s="356" t="s">
        <v>3912</v>
      </c>
      <c r="E485" s="350"/>
      <c r="F485" s="351"/>
      <c r="G485" s="351"/>
      <c r="H485" s="351"/>
      <c r="I485" s="350"/>
    </row>
    <row r="486">
      <c r="A486" s="110">
        <v>38759.0</v>
      </c>
      <c r="B486" s="114" t="s">
        <v>32</v>
      </c>
      <c r="C486" s="135" t="str">
        <f>HYPERLINK("http://phish.net/sideshows/guest-appearance/?showid=1355711291", "setlist")</f>
        <v>setlist</v>
      </c>
      <c r="D486" s="183" t="s">
        <v>54</v>
      </c>
      <c r="E486" s="183" t="s">
        <v>34</v>
      </c>
      <c r="F486" s="114" t="s">
        <v>35</v>
      </c>
      <c r="G486" s="114" t="s">
        <v>36</v>
      </c>
      <c r="H486" s="135" t="str">
        <f>HYPERLINK("http://www.mediafire.com/?tvybo8mtt5o80","download link")</f>
        <v>download link</v>
      </c>
      <c r="I486" s="113" t="s">
        <v>3774</v>
      </c>
    </row>
    <row r="487">
      <c r="A487" s="350"/>
      <c r="B487" s="354"/>
      <c r="C487" s="352"/>
      <c r="D487" s="353" t="s">
        <v>3494</v>
      </c>
      <c r="E487" s="355"/>
      <c r="F487" s="354"/>
      <c r="G487" s="354"/>
      <c r="H487" s="351"/>
      <c r="I487" s="355"/>
    </row>
    <row r="488">
      <c r="A488" s="110">
        <v>38760.0</v>
      </c>
      <c r="B488" s="114" t="s">
        <v>32</v>
      </c>
      <c r="C488" s="116" t="str">
        <f>HYPERLINK("http://phish.net/sideshows/guest-appearance/?d=2006-02-12", "setlist")</f>
        <v>setlist</v>
      </c>
      <c r="D488" s="113" t="s">
        <v>1330</v>
      </c>
      <c r="E488" s="113" t="s">
        <v>162</v>
      </c>
      <c r="F488" s="114" t="s">
        <v>129</v>
      </c>
      <c r="G488" s="114" t="s">
        <v>36</v>
      </c>
      <c r="H488" s="135" t="str">
        <f>HYPERLINK("http://www.mediafire.com/?8kd1sdi1m6mfm", "download link")</f>
        <v>download link</v>
      </c>
      <c r="I488" s="113" t="s">
        <v>3699</v>
      </c>
    </row>
    <row r="489">
      <c r="A489" s="350"/>
      <c r="B489" s="351"/>
      <c r="C489" s="362"/>
      <c r="D489" s="356" t="s">
        <v>3929</v>
      </c>
      <c r="E489" s="350"/>
      <c r="F489" s="351"/>
      <c r="G489" s="351"/>
      <c r="H489" s="351"/>
      <c r="I489" s="350"/>
    </row>
    <row r="490">
      <c r="A490" s="110">
        <v>38787.0</v>
      </c>
      <c r="B490" s="111"/>
      <c r="C490" s="135" t="str">
        <f>HYPERLINK("http://phish.net/sideshows/guest-appearance/?d=2006-03-11", "setlist")</f>
        <v>setlist</v>
      </c>
      <c r="D490" s="183" t="s">
        <v>2817</v>
      </c>
      <c r="E490" s="183" t="s">
        <v>2826</v>
      </c>
      <c r="F490" s="114" t="s">
        <v>35</v>
      </c>
      <c r="G490" s="114" t="s">
        <v>36</v>
      </c>
      <c r="H490" s="116" t="str">
        <f>HYPERLINK("http://www.mediafire.com/?dj9bq1jc00fn2", "download link")</f>
        <v>download link</v>
      </c>
      <c r="I490" s="113" t="s">
        <v>2998</v>
      </c>
    </row>
    <row r="491">
      <c r="A491" s="350"/>
      <c r="B491" s="351"/>
      <c r="C491" s="362"/>
      <c r="D491" s="356" t="s">
        <v>3790</v>
      </c>
      <c r="E491" s="350"/>
      <c r="F491" s="351"/>
      <c r="G491" s="351"/>
      <c r="H491" s="351"/>
      <c r="I491" s="350"/>
    </row>
    <row r="492">
      <c r="A492" s="110">
        <v>38794.0</v>
      </c>
      <c r="B492" s="111"/>
      <c r="C492" s="135" t="str">
        <f>HYPERLINK("http://phish.net/sideshows/guest-appearance/?d=2006-03-18", "setlist")</f>
        <v>setlist</v>
      </c>
      <c r="D492" s="183" t="s">
        <v>1680</v>
      </c>
      <c r="E492" s="183" t="s">
        <v>3930</v>
      </c>
      <c r="F492" s="114" t="s">
        <v>129</v>
      </c>
      <c r="G492" s="114" t="s">
        <v>36</v>
      </c>
      <c r="H492" s="116" t="str">
        <f>HYPERLINK("http://www.mediafire.com/?2ldrtrbw19r1r", "download link")</f>
        <v>download link</v>
      </c>
      <c r="I492" s="113" t="s">
        <v>3664</v>
      </c>
    </row>
    <row r="493">
      <c r="A493" s="350"/>
      <c r="B493" s="351"/>
      <c r="C493" s="362"/>
      <c r="D493" s="356" t="s">
        <v>3931</v>
      </c>
      <c r="E493" s="350"/>
      <c r="F493" s="351"/>
      <c r="G493" s="351"/>
      <c r="H493" s="351"/>
      <c r="I493" s="350"/>
    </row>
    <row r="494">
      <c r="A494" s="110">
        <v>38813.0</v>
      </c>
      <c r="B494" s="111"/>
      <c r="C494" s="135" t="str">
        <f>HYPERLINK("http://phish.net/sideshows/guest-appearance/?d=2006-04-06", "setlist")</f>
        <v>setlist</v>
      </c>
      <c r="D494" s="183" t="s">
        <v>2817</v>
      </c>
      <c r="E494" s="183" t="s">
        <v>2826</v>
      </c>
      <c r="F494" s="114" t="s">
        <v>35</v>
      </c>
      <c r="G494" s="114" t="s">
        <v>36</v>
      </c>
      <c r="H494" s="116" t="str">
        <f>HYPERLINK("http://www.mediafire.com/?tgwbl3bm8zi6s", "download link")</f>
        <v>download link</v>
      </c>
      <c r="I494" s="113" t="s">
        <v>3932</v>
      </c>
    </row>
    <row r="495">
      <c r="A495" s="350"/>
      <c r="B495" s="351"/>
      <c r="C495" s="362"/>
      <c r="D495" s="356" t="s">
        <v>3494</v>
      </c>
      <c r="E495" s="350"/>
      <c r="F495" s="351"/>
      <c r="G495" s="351"/>
      <c r="H495" s="351"/>
      <c r="I495" s="350"/>
    </row>
    <row r="496">
      <c r="A496" s="110">
        <v>38898.0</v>
      </c>
      <c r="B496" s="111"/>
      <c r="C496" s="135" t="str">
        <f>HYPERLINK("http://phish.net/sideshows/guest-appearance/?showid=1326901819", "setlist")</f>
        <v>setlist</v>
      </c>
      <c r="D496" s="113" t="s">
        <v>2272</v>
      </c>
      <c r="E496" s="113" t="s">
        <v>2070</v>
      </c>
      <c r="F496" s="114" t="s">
        <v>43</v>
      </c>
      <c r="G496" s="114" t="s">
        <v>36</v>
      </c>
      <c r="H496" s="116" t="str">
        <f>HYPERLINK("http://www.mediafire.com/?mcos4ta322h07", "download link")</f>
        <v>download link</v>
      </c>
      <c r="I496" s="113" t="s">
        <v>3933</v>
      </c>
    </row>
    <row r="497">
      <c r="A497" s="103">
        <v>38899.0</v>
      </c>
      <c r="B497" s="104"/>
      <c r="C497" s="105" t="str">
        <f>HYPERLINK("http://phish.net/sideshows/guest-appearance/?showid=1326913599", "setlist")</f>
        <v>setlist</v>
      </c>
      <c r="D497" s="106" t="s">
        <v>2072</v>
      </c>
      <c r="E497" s="106" t="s">
        <v>992</v>
      </c>
      <c r="F497" s="107" t="s">
        <v>43</v>
      </c>
      <c r="G497" s="107" t="s">
        <v>36</v>
      </c>
      <c r="H497" s="105" t="str">
        <f>HYPERLINK("http://www.mediafire.com/?w2dtsnmc9ebw7", "download link")</f>
        <v>download link</v>
      </c>
      <c r="I497" s="106" t="s">
        <v>3934</v>
      </c>
    </row>
    <row r="498">
      <c r="A498" s="110">
        <v>38900.0</v>
      </c>
      <c r="B498" s="111"/>
      <c r="C498" s="135" t="str">
        <f>HYPERLINK("http://phish.net/sideshows/guest-appearance/?showid=1326913761", "setlist")</f>
        <v>setlist</v>
      </c>
      <c r="D498" s="113" t="s">
        <v>1015</v>
      </c>
      <c r="E498" s="113" t="s">
        <v>465</v>
      </c>
      <c r="F498" s="114" t="s">
        <v>129</v>
      </c>
      <c r="G498" s="114" t="s">
        <v>36</v>
      </c>
      <c r="H498" s="116" t="str">
        <f>HYPERLINK("http://www.mediafire.com/download/fz1r21ftewk9ro6/2006-07-02_-_Saratoga_Performing_Arts_Center_-_Saratoga_Springs%2C_NY.rar", "download link")</f>
        <v>download link</v>
      </c>
      <c r="I498" s="113" t="s">
        <v>3671</v>
      </c>
    </row>
    <row r="499">
      <c r="A499" s="103">
        <v>38901.0</v>
      </c>
      <c r="B499" s="104"/>
      <c r="C499" s="105" t="str">
        <f>HYPERLINK("http://phish.net/sideshows/guest-appearance/?showid=1326913881", "setlist")</f>
        <v>setlist</v>
      </c>
      <c r="D499" s="106" t="s">
        <v>2973</v>
      </c>
      <c r="E499" s="106" t="s">
        <v>323</v>
      </c>
      <c r="F499" s="107" t="s">
        <v>171</v>
      </c>
      <c r="G499" s="107" t="s">
        <v>36</v>
      </c>
      <c r="H499" s="105" t="str">
        <f>HYPERLINK("http://www.mediafire.com/download/7s16oru69w1hcg7/2006-07-03_-_New_England_Dodge_Music_Center_-_Hartford%2C_CT.rar", "download link")</f>
        <v>download link</v>
      </c>
      <c r="I499" s="106" t="s">
        <v>3933</v>
      </c>
    </row>
    <row r="500">
      <c r="A500" s="110">
        <v>38904.0</v>
      </c>
      <c r="B500" s="111"/>
      <c r="C500" s="135" t="str">
        <f>HYPERLINK("http://phish.net/sideshows/guest-appearance/?showid=1326913990", "setlist")</f>
        <v>setlist</v>
      </c>
      <c r="D500" s="113" t="s">
        <v>2071</v>
      </c>
      <c r="E500" s="113" t="s">
        <v>1004</v>
      </c>
      <c r="F500" s="114" t="s">
        <v>95</v>
      </c>
      <c r="G500" s="114" t="s">
        <v>36</v>
      </c>
      <c r="H500" s="116" t="str">
        <f>HYPERLINK("http://www.mediafire.com/download/783fxmxn1h8fkzc/2006-07-06_-_Tweeter_Center_-_Mansfield%2C_MA.rar", "download link")</f>
        <v>download link</v>
      </c>
      <c r="I500" s="113" t="s">
        <v>3935</v>
      </c>
    </row>
    <row r="501">
      <c r="A501" s="103">
        <v>38905.0</v>
      </c>
      <c r="B501" s="104"/>
      <c r="C501" s="105" t="str">
        <f>HYPERLINK("http://phish.net/sideshows/guest-appearance/?showid=1326914167", "setlist")</f>
        <v>setlist</v>
      </c>
      <c r="D501" s="106" t="s">
        <v>993</v>
      </c>
      <c r="E501" s="106" t="s">
        <v>994</v>
      </c>
      <c r="F501" s="107" t="s">
        <v>129</v>
      </c>
      <c r="G501" s="107" t="s">
        <v>36</v>
      </c>
      <c r="H501" s="105" t="str">
        <f>HYPERLINK("http://www.mediafire.com/?7d1yq4s8pg6d6", "download link")</f>
        <v>download link</v>
      </c>
      <c r="I501" s="106" t="s">
        <v>3933</v>
      </c>
    </row>
    <row r="502">
      <c r="A502" s="110">
        <v>38907.0</v>
      </c>
      <c r="B502" s="114" t="s">
        <v>32</v>
      </c>
      <c r="C502" s="135" t="str">
        <f>HYPERLINK("http://phish.net/sideshows/guest-appearance/?showid=1326914319", "setlist")</f>
        <v>setlist</v>
      </c>
      <c r="D502" s="113" t="s">
        <v>2425</v>
      </c>
      <c r="E502" s="113" t="s">
        <v>2426</v>
      </c>
      <c r="F502" s="114" t="s">
        <v>129</v>
      </c>
      <c r="G502" s="114" t="s">
        <v>36</v>
      </c>
      <c r="H502" s="116" t="str">
        <f>HYPERLINK("http://www.mediafire.com/download/1kzdb5ntxvp5c62/2006-07-09_-_Bethel_Woods_Center_for_the_Arts_-_Bethel%2C_NY.rar", "download link")</f>
        <v>download link</v>
      </c>
      <c r="I502" s="113" t="s">
        <v>3933</v>
      </c>
    </row>
    <row r="503">
      <c r="A503" s="103">
        <v>38909.0</v>
      </c>
      <c r="B503" s="104"/>
      <c r="C503" s="105" t="str">
        <f>HYPERLINK("http://phish.net/sideshows/guest-appearance/?showid=1326914637", "setlist")</f>
        <v>setlist</v>
      </c>
      <c r="D503" s="106" t="s">
        <v>2975</v>
      </c>
      <c r="E503" s="106" t="s">
        <v>2976</v>
      </c>
      <c r="F503" s="107" t="s">
        <v>212</v>
      </c>
      <c r="G503" s="107" t="s">
        <v>36</v>
      </c>
      <c r="H503" s="105" t="str">
        <f>HYPERLINK("http://www.mediafire.com/download/rmq7cxnc7b8bl8c/2006-07-11_-_Ford_Pavilion_at_Montage_Mountain_-_Scranton%2C_PA.rar", "download link")</f>
        <v>download link</v>
      </c>
      <c r="I503" s="106" t="s">
        <v>3933</v>
      </c>
    </row>
    <row r="504">
      <c r="A504" s="110">
        <v>38910.0</v>
      </c>
      <c r="B504" s="111"/>
      <c r="C504" s="135" t="str">
        <f>HYPERLINK("http://phish.net/sideshows/guest-appearance/?showid=1326914816", "setlist")</f>
        <v>setlist</v>
      </c>
      <c r="D504" s="113" t="s">
        <v>2462</v>
      </c>
      <c r="E504" s="113" t="s">
        <v>2463</v>
      </c>
      <c r="F504" s="114" t="s">
        <v>35</v>
      </c>
      <c r="G504" s="114" t="s">
        <v>36</v>
      </c>
      <c r="H504" s="116" t="str">
        <f>HYPERLINK("http://www.mediafire.com/download/v9bb0hhxal66rj2/2006-07-12_-_Champlain_Valley_Exposition_-_Essex_Junction%2C_VT.rar","download link")</f>
        <v>download link</v>
      </c>
      <c r="I504" s="113" t="s">
        <v>3936</v>
      </c>
    </row>
    <row r="505">
      <c r="A505" s="350"/>
      <c r="B505" s="351"/>
      <c r="C505" s="362"/>
      <c r="D505" s="356" t="s">
        <v>3937</v>
      </c>
      <c r="E505" s="350"/>
      <c r="F505" s="351"/>
      <c r="G505" s="351"/>
      <c r="H505" s="351"/>
      <c r="I505" s="350"/>
    </row>
    <row r="506">
      <c r="A506" s="110">
        <v>38912.0</v>
      </c>
      <c r="B506" s="111"/>
      <c r="C506" s="397" t="s">
        <v>40</v>
      </c>
      <c r="D506" s="183" t="s">
        <v>2977</v>
      </c>
      <c r="E506" s="113" t="s">
        <v>2978</v>
      </c>
      <c r="F506" s="114" t="s">
        <v>874</v>
      </c>
      <c r="G506" s="114" t="s">
        <v>36</v>
      </c>
      <c r="H506" s="116" t="str">
        <f>HYPERLINK("http://www.mediafire.com/?carswur3a1o3v","download link")</f>
        <v>download link</v>
      </c>
      <c r="I506" s="113" t="s">
        <v>3671</v>
      </c>
    </row>
    <row r="507">
      <c r="A507" s="350"/>
      <c r="B507" s="351"/>
      <c r="C507" s="362"/>
      <c r="D507" s="356" t="s">
        <v>3931</v>
      </c>
      <c r="E507" s="350"/>
      <c r="F507" s="351"/>
      <c r="G507" s="351"/>
      <c r="H507" s="351"/>
      <c r="I507" s="350"/>
    </row>
    <row r="508">
      <c r="A508" s="110">
        <v>38920.0</v>
      </c>
      <c r="B508" s="111"/>
      <c r="C508" s="135" t="str">
        <f>HYPERLINK("http://phish.net/sideshows/guest-appearance/?showid=1327982252", "setlist")</f>
        <v>setlist</v>
      </c>
      <c r="D508" s="183" t="s">
        <v>2927</v>
      </c>
      <c r="E508" s="113" t="s">
        <v>2928</v>
      </c>
      <c r="F508" s="114" t="s">
        <v>486</v>
      </c>
      <c r="G508" s="114" t="s">
        <v>36</v>
      </c>
      <c r="H508" s="116" t="str">
        <f>HYPERLINK("http://www.mediafire.com/?j5mcua15d3dhz", "download link")</f>
        <v>download link</v>
      </c>
      <c r="I508" s="113" t="s">
        <v>3809</v>
      </c>
    </row>
    <row r="509">
      <c r="A509" s="350"/>
      <c r="B509" s="351"/>
      <c r="C509" s="362"/>
      <c r="D509" s="356" t="s">
        <v>3723</v>
      </c>
      <c r="E509" s="350"/>
      <c r="F509" s="351"/>
      <c r="G509" s="351"/>
      <c r="H509" s="351"/>
      <c r="I509" s="350"/>
    </row>
    <row r="510">
      <c r="A510" s="110">
        <v>38920.0</v>
      </c>
      <c r="B510" s="111"/>
      <c r="C510" s="135" t="str">
        <f>HYPERLINK("http://phish.net/sideshows/guest-appearance/?showid=1328239228", "setlist")</f>
        <v>setlist</v>
      </c>
      <c r="D510" s="183" t="s">
        <v>2927</v>
      </c>
      <c r="E510" s="113" t="s">
        <v>2928</v>
      </c>
      <c r="F510" s="114" t="s">
        <v>486</v>
      </c>
      <c r="G510" s="114" t="s">
        <v>36</v>
      </c>
      <c r="H510" s="116" t="str">
        <f>HYPERLINK("http://www.mediafire.com/?1blk2oqjz2pbp", "download link")</f>
        <v>download link</v>
      </c>
      <c r="I510" s="113" t="s">
        <v>3708</v>
      </c>
    </row>
    <row r="511">
      <c r="A511" s="350"/>
      <c r="B511" s="351"/>
      <c r="C511" s="362"/>
      <c r="D511" s="356" t="s">
        <v>3790</v>
      </c>
      <c r="E511" s="350"/>
      <c r="F511" s="351"/>
      <c r="G511" s="351"/>
      <c r="H511" s="351"/>
      <c r="I511" s="350"/>
    </row>
    <row r="512">
      <c r="A512" s="110">
        <v>38961.0</v>
      </c>
      <c r="B512" s="111"/>
      <c r="C512" s="135" t="str">
        <f>HYPERLINK("http://phish.net/sideshows/guest-appearance/?showid=1328586860", "setlist")</f>
        <v>setlist</v>
      </c>
      <c r="D512" s="183" t="s">
        <v>3238</v>
      </c>
      <c r="E512" s="113" t="s">
        <v>3239</v>
      </c>
      <c r="F512" s="114" t="s">
        <v>3938</v>
      </c>
      <c r="G512" s="114" t="s">
        <v>36</v>
      </c>
      <c r="H512" s="116" t="str">
        <f>HYPERLINK("http://www.mediafire.com/?aik9bktyubuiq", "download link")</f>
        <v>download link</v>
      </c>
      <c r="I512" s="113" t="s">
        <v>2852</v>
      </c>
    </row>
    <row r="513">
      <c r="A513" s="350"/>
      <c r="B513" s="351"/>
      <c r="C513" s="362"/>
      <c r="D513" s="356" t="s">
        <v>3790</v>
      </c>
      <c r="E513" s="350"/>
      <c r="F513" s="351"/>
      <c r="G513" s="351"/>
      <c r="H513" s="351"/>
      <c r="I513" s="350"/>
    </row>
    <row r="514">
      <c r="A514" s="110">
        <v>39000.0</v>
      </c>
      <c r="B514" s="111"/>
      <c r="C514" s="135" t="str">
        <f>HYPERLINK("http://phish.net/sideshows/guest-appearance/?d=2006-10-10", "setlist")</f>
        <v>setlist</v>
      </c>
      <c r="D514" s="183" t="s">
        <v>2817</v>
      </c>
      <c r="E514" s="113" t="s">
        <v>2826</v>
      </c>
      <c r="F514" s="114" t="s">
        <v>35</v>
      </c>
      <c r="G514" s="111"/>
      <c r="H514" s="359"/>
      <c r="I514" s="113" t="s">
        <v>3939</v>
      </c>
    </row>
    <row r="515">
      <c r="A515" s="350"/>
      <c r="B515" s="351"/>
      <c r="C515" s="362"/>
      <c r="D515" s="356" t="s">
        <v>3940</v>
      </c>
      <c r="E515" s="350"/>
      <c r="F515" s="351"/>
      <c r="G515" s="351"/>
      <c r="H515" s="351"/>
      <c r="I515" s="350"/>
    </row>
    <row r="516">
      <c r="A516" s="110">
        <v>39032.0</v>
      </c>
      <c r="B516" s="111"/>
      <c r="C516" s="135" t="str">
        <f>HYPERLINK("http://phish.net/sideshows/guest-appearance/?d=2006-11-11", "setlist")</f>
        <v>setlist</v>
      </c>
      <c r="D516" s="183" t="s">
        <v>54</v>
      </c>
      <c r="E516" s="113" t="s">
        <v>34</v>
      </c>
      <c r="F516" s="114" t="s">
        <v>35</v>
      </c>
      <c r="G516" s="111"/>
      <c r="H516" s="359"/>
      <c r="I516" s="113" t="s">
        <v>2998</v>
      </c>
    </row>
    <row r="517">
      <c r="A517" s="350"/>
      <c r="B517" s="351"/>
      <c r="C517" s="362"/>
      <c r="D517" s="356" t="s">
        <v>3941</v>
      </c>
      <c r="E517" s="350"/>
      <c r="F517" s="351"/>
      <c r="G517" s="351"/>
      <c r="H517" s="351"/>
      <c r="I517" s="350"/>
    </row>
    <row r="518">
      <c r="A518" s="110">
        <v>39056.0</v>
      </c>
      <c r="B518" s="111"/>
      <c r="C518" s="135" t="str">
        <f>HYPERLINK("http://phish.net/sideshows/guest-appearance/?d=2006-12-05", "setlist")</f>
        <v>setlist</v>
      </c>
      <c r="D518" s="183" t="s">
        <v>2817</v>
      </c>
      <c r="E518" s="113" t="s">
        <v>2826</v>
      </c>
      <c r="F518" s="114" t="s">
        <v>35</v>
      </c>
      <c r="G518" s="111"/>
      <c r="H518" s="359"/>
      <c r="I518" s="113" t="s">
        <v>2998</v>
      </c>
    </row>
    <row r="519">
      <c r="A519" s="350"/>
      <c r="B519" s="351"/>
      <c r="C519" s="362"/>
      <c r="D519" s="356" t="s">
        <v>3931</v>
      </c>
      <c r="E519" s="350"/>
      <c r="F519" s="351"/>
      <c r="G519" s="351"/>
      <c r="H519" s="351"/>
      <c r="I519" s="350"/>
    </row>
    <row r="520">
      <c r="A520" s="110">
        <v>39059.0</v>
      </c>
      <c r="B520" s="111"/>
      <c r="C520" s="135" t="str">
        <f>HYPERLINK("http://phish.net/sideshows/guest-appearance/?showid=1328063470", "setlist")</f>
        <v>setlist</v>
      </c>
      <c r="D520" s="183" t="s">
        <v>2817</v>
      </c>
      <c r="E520" s="113" t="s">
        <v>2826</v>
      </c>
      <c r="F520" s="114" t="s">
        <v>35</v>
      </c>
      <c r="G520" s="114" t="s">
        <v>36</v>
      </c>
      <c r="H520" s="116" t="str">
        <f>HYPERLINK("http://www.mediafire.com/?r7pqr5f6knr15", "download link")</f>
        <v>download link</v>
      </c>
      <c r="I520" s="113" t="s">
        <v>3720</v>
      </c>
    </row>
    <row r="521">
      <c r="A521" s="350"/>
      <c r="B521" s="351"/>
      <c r="C521" s="362"/>
      <c r="D521" s="356" t="s">
        <v>3942</v>
      </c>
      <c r="E521" s="350"/>
      <c r="F521" s="351"/>
      <c r="G521" s="351"/>
      <c r="H521" s="351"/>
      <c r="I521" s="350"/>
    </row>
    <row r="522">
      <c r="A522" s="110">
        <v>39120.0</v>
      </c>
      <c r="B522" s="111"/>
      <c r="C522" s="135" t="str">
        <f>HYPERLINK("http://phish.net/sideshows/guest-appearance/?showid=1328587437", "setlist")</f>
        <v>setlist</v>
      </c>
      <c r="D522" s="183" t="s">
        <v>3841</v>
      </c>
      <c r="E522" s="113" t="s">
        <v>162</v>
      </c>
      <c r="F522" s="114" t="s">
        <v>129</v>
      </c>
      <c r="G522" s="114" t="s">
        <v>3354</v>
      </c>
      <c r="H522" s="116" t="str">
        <f>HYPERLINK("http://www.mediafire.com/?s2h73g8vv38fd", "download link")</f>
        <v>download link</v>
      </c>
      <c r="I522" s="113" t="s">
        <v>3943</v>
      </c>
    </row>
    <row r="523">
      <c r="A523" s="350"/>
      <c r="B523" s="351"/>
      <c r="C523" s="362"/>
      <c r="D523" s="356" t="s">
        <v>3929</v>
      </c>
      <c r="E523" s="350"/>
      <c r="F523" s="351"/>
      <c r="G523" s="351"/>
      <c r="H523" s="351"/>
      <c r="I523" s="350"/>
    </row>
    <row r="524">
      <c r="A524" s="110">
        <v>39192.0</v>
      </c>
      <c r="B524" s="111"/>
      <c r="C524" s="135" t="str">
        <f>HYPERLINK("http://phish.net/sideshows/guest-appearance/?d=2007-04-20", "setlist")</f>
        <v>setlist</v>
      </c>
      <c r="D524" s="183" t="s">
        <v>2817</v>
      </c>
      <c r="E524" s="113" t="s">
        <v>2826</v>
      </c>
      <c r="F524" s="114" t="s">
        <v>35</v>
      </c>
      <c r="G524" s="114" t="s">
        <v>36</v>
      </c>
      <c r="H524" s="116" t="str">
        <f>HYPERLINK("http://www.mediafire.com/?etdp2egxwfgg7", "download link")</f>
        <v>download link</v>
      </c>
      <c r="I524" s="113" t="s">
        <v>2787</v>
      </c>
    </row>
    <row r="525">
      <c r="A525" s="350"/>
      <c r="B525" s="351"/>
      <c r="C525" s="362"/>
      <c r="D525" s="356" t="s">
        <v>3707</v>
      </c>
      <c r="E525" s="350"/>
      <c r="F525" s="351"/>
      <c r="G525" s="351"/>
      <c r="H525" s="351"/>
      <c r="I525" s="350"/>
    </row>
    <row r="526">
      <c r="A526" s="110">
        <v>39308.0</v>
      </c>
      <c r="B526" s="111"/>
      <c r="C526" s="135" t="str">
        <f>HYPERLINK("http://phish.net/sideshows/guest-appearance/?d=2007-08-14", "setlist")</f>
        <v>setlist</v>
      </c>
      <c r="D526" s="183" t="s">
        <v>1015</v>
      </c>
      <c r="E526" s="113" t="s">
        <v>465</v>
      </c>
      <c r="F526" s="114" t="s">
        <v>129</v>
      </c>
      <c r="G526" s="114" t="s">
        <v>36</v>
      </c>
      <c r="H526" s="116" t="str">
        <f>HYPERLINK("http://www.mediafire.com/?kw66w79am8o2w", "download link")</f>
        <v>download link</v>
      </c>
      <c r="I526" s="113" t="s">
        <v>3661</v>
      </c>
    </row>
    <row r="527">
      <c r="A527" s="350"/>
      <c r="B527" s="351"/>
      <c r="C527" s="352"/>
      <c r="D527" s="356" t="s">
        <v>3917</v>
      </c>
      <c r="E527" s="357"/>
      <c r="F527" s="351"/>
      <c r="G527" s="351"/>
      <c r="H527" s="358"/>
      <c r="I527" s="357"/>
    </row>
    <row r="528">
      <c r="A528" s="110">
        <v>39326.0</v>
      </c>
      <c r="B528" s="111"/>
      <c r="C528" s="135" t="str">
        <f>HYPERLINK("http://phish.net/sideshows/guest-appearance/?d=2007-09-01", "setlist")</f>
        <v>setlist</v>
      </c>
      <c r="D528" s="183" t="s">
        <v>897</v>
      </c>
      <c r="E528" s="183" t="s">
        <v>488</v>
      </c>
      <c r="F528" s="114" t="s">
        <v>203</v>
      </c>
      <c r="G528" s="114" t="s">
        <v>36</v>
      </c>
      <c r="H528" s="135" t="str">
        <f>HYPERLINK("http://www.mediafire.com/?3qdqhh59msc7p", "download link")</f>
        <v>download link</v>
      </c>
      <c r="I528" s="183" t="s">
        <v>3944</v>
      </c>
    </row>
    <row r="529">
      <c r="A529" s="103">
        <v>39327.0</v>
      </c>
      <c r="B529" s="104"/>
      <c r="C529" s="105" t="str">
        <f>HYPERLINK("http://phish.net/sideshows/guest-appearance/?d=2007-09-02", "setlist")</f>
        <v>setlist</v>
      </c>
      <c r="D529" s="181" t="s">
        <v>1297</v>
      </c>
      <c r="E529" s="181" t="s">
        <v>1298</v>
      </c>
      <c r="F529" s="107" t="s">
        <v>203</v>
      </c>
      <c r="G529" s="107" t="s">
        <v>36</v>
      </c>
      <c r="H529" s="105" t="str">
        <f>HYPERLINK("http://www.mediafire.com/?fct8faiocjc86", "download link")</f>
        <v>download link</v>
      </c>
      <c r="I529" s="181" t="s">
        <v>3945</v>
      </c>
    </row>
    <row r="530">
      <c r="A530" s="350"/>
      <c r="B530" s="351"/>
      <c r="C530" s="362"/>
      <c r="D530" s="356" t="s">
        <v>3946</v>
      </c>
      <c r="E530" s="350"/>
      <c r="F530" s="351"/>
      <c r="G530" s="351"/>
      <c r="H530" s="351"/>
      <c r="I530" s="350"/>
    </row>
    <row r="531">
      <c r="A531" s="110">
        <v>39330.0</v>
      </c>
      <c r="B531" s="111"/>
      <c r="C531" s="135" t="str">
        <f>HYPERLINK("http://phish.net/sideshows/guest-appearance/?d=2007-09-05", "setlist")</f>
        <v>setlist</v>
      </c>
      <c r="D531" s="183" t="s">
        <v>3947</v>
      </c>
      <c r="E531" s="113" t="s">
        <v>185</v>
      </c>
      <c r="F531" s="114" t="s">
        <v>35</v>
      </c>
      <c r="G531" s="114" t="s">
        <v>36</v>
      </c>
      <c r="H531" s="116" t="str">
        <f>HYPERLINK("http://www.mediafire.com/?w7ncmgk175449", "download link")</f>
        <v>download link</v>
      </c>
      <c r="I531" s="113" t="s">
        <v>3720</v>
      </c>
    </row>
    <row r="532">
      <c r="A532" s="350"/>
      <c r="B532" s="351"/>
      <c r="C532" s="352"/>
      <c r="D532" s="356" t="s">
        <v>3917</v>
      </c>
      <c r="E532" s="357"/>
      <c r="F532" s="351"/>
      <c r="G532" s="351"/>
      <c r="H532" s="358"/>
      <c r="I532" s="357"/>
    </row>
    <row r="533">
      <c r="A533" s="110">
        <v>39361.0</v>
      </c>
      <c r="B533" s="111"/>
      <c r="C533" s="135" t="str">
        <f>HYPERLINK("http://phish.net/sideshows/guest-appearance/?d=2007-10-06", "setlist")</f>
        <v>setlist</v>
      </c>
      <c r="D533" s="183" t="s">
        <v>3948</v>
      </c>
      <c r="E533" s="183" t="s">
        <v>479</v>
      </c>
      <c r="F533" s="114" t="s">
        <v>480</v>
      </c>
      <c r="G533" s="114" t="s">
        <v>36</v>
      </c>
      <c r="H533" s="135" t="str">
        <f>HYPERLINK("http://www.mediafire.com/?3v0e1fb7y48mj", "download link")</f>
        <v>download link</v>
      </c>
      <c r="I533" s="183" t="s">
        <v>3949</v>
      </c>
    </row>
    <row r="534">
      <c r="A534" s="350"/>
      <c r="B534" s="354"/>
      <c r="C534" s="352"/>
      <c r="D534" s="353" t="s">
        <v>3494</v>
      </c>
      <c r="E534" s="350"/>
      <c r="F534" s="351"/>
      <c r="G534" s="354"/>
      <c r="H534" s="351"/>
      <c r="I534" s="355"/>
    </row>
    <row r="535">
      <c r="A535" s="110">
        <v>39375.0</v>
      </c>
      <c r="B535" s="111"/>
      <c r="C535" s="116" t="str">
        <f>HYPERLINK("http://phish.net/sideshows/trey-anastasio-band/?d="&amp;RIGHT(TEXT(A535,"mm/dd/yyyy"),4)&amp;"-"&amp;LEFT(TEXT(A535,"mm/dd/yyyy"),2)&amp;"-"&amp;MID(TEXT(A535,"mm/dd/yyyy"),4,2), "setlist")</f>
        <v>setlist</v>
      </c>
      <c r="D535" s="113" t="s">
        <v>1489</v>
      </c>
      <c r="E535" s="113" t="s">
        <v>1490</v>
      </c>
      <c r="F535" s="114" t="s">
        <v>129</v>
      </c>
      <c r="G535" s="114" t="s">
        <v>36</v>
      </c>
      <c r="H535" s="135" t="str">
        <f>HYPERLINK("http://www.mediafire.com/?5x9xr2z9e77rk", "download link")</f>
        <v>download link</v>
      </c>
      <c r="I535" s="113" t="s">
        <v>3699</v>
      </c>
    </row>
    <row r="536">
      <c r="A536" s="350"/>
      <c r="B536" s="351"/>
      <c r="C536" s="362"/>
      <c r="D536" s="356" t="s">
        <v>3950</v>
      </c>
      <c r="E536" s="350"/>
      <c r="F536" s="351"/>
      <c r="G536" s="351"/>
      <c r="H536" s="351"/>
      <c r="I536" s="350"/>
    </row>
    <row r="537">
      <c r="A537" s="110">
        <v>39382.0</v>
      </c>
      <c r="B537" s="114" t="s">
        <v>32</v>
      </c>
      <c r="C537" s="135" t="str">
        <f>HYPERLINK("http://phish.net/sideshows/guest-appearance/?d=2007-10-27", "setlist")</f>
        <v>setlist</v>
      </c>
      <c r="D537" s="183" t="s">
        <v>2817</v>
      </c>
      <c r="E537" s="113" t="s">
        <v>2826</v>
      </c>
      <c r="F537" s="114" t="s">
        <v>35</v>
      </c>
      <c r="G537" s="114" t="s">
        <v>36</v>
      </c>
      <c r="H537" s="116" t="str">
        <f>HYPERLINK("http://www.mediafire.com/?92vz80atbw88s", "download link")</f>
        <v>download link</v>
      </c>
      <c r="I537" s="113" t="s">
        <v>3951</v>
      </c>
    </row>
    <row r="538">
      <c r="A538" s="350"/>
      <c r="B538" s="351"/>
      <c r="C538" s="362"/>
      <c r="D538" s="356" t="s">
        <v>3952</v>
      </c>
      <c r="E538" s="350"/>
      <c r="F538" s="351"/>
      <c r="G538" s="351"/>
      <c r="H538" s="351"/>
      <c r="I538" s="350"/>
    </row>
    <row r="539">
      <c r="A539" s="110">
        <v>39388.0</v>
      </c>
      <c r="B539" s="111"/>
      <c r="C539" s="135" t="str">
        <f>HYPERLINK("http://phish.net/sideshows/guest-appearance/?d=2007-11-02", "setlist")</f>
        <v>setlist</v>
      </c>
      <c r="D539" s="183" t="s">
        <v>2895</v>
      </c>
      <c r="E539" s="113" t="s">
        <v>34</v>
      </c>
      <c r="F539" s="114" t="s">
        <v>35</v>
      </c>
      <c r="G539" s="114" t="s">
        <v>36</v>
      </c>
      <c r="H539" s="116" t="str">
        <f>HYPERLINK("http://www.mediafire.com/?2baya5262thau", "download link")</f>
        <v>download link</v>
      </c>
      <c r="I539" s="113" t="s">
        <v>3718</v>
      </c>
    </row>
    <row r="540">
      <c r="A540" s="350"/>
      <c r="B540" s="351"/>
      <c r="C540" s="362"/>
      <c r="D540" s="356" t="s">
        <v>3953</v>
      </c>
      <c r="E540" s="350"/>
      <c r="F540" s="351"/>
      <c r="G540" s="351"/>
      <c r="H540" s="351"/>
      <c r="I540" s="350"/>
    </row>
    <row r="541">
      <c r="A541" s="110">
        <v>39389.0</v>
      </c>
      <c r="B541" s="111"/>
      <c r="C541" s="135" t="str">
        <f>HYPERLINK("http://phish.net/sideshows/guest-appearance/?d=2007-11-03", "setlist")</f>
        <v>setlist</v>
      </c>
      <c r="D541" s="183" t="s">
        <v>2817</v>
      </c>
      <c r="E541" s="113" t="s">
        <v>2826</v>
      </c>
      <c r="F541" s="114" t="s">
        <v>35</v>
      </c>
      <c r="G541" s="111"/>
      <c r="H541" s="359"/>
      <c r="I541" s="113" t="s">
        <v>2998</v>
      </c>
    </row>
    <row r="542">
      <c r="A542" s="350"/>
      <c r="B542" s="351"/>
      <c r="C542" s="362"/>
      <c r="D542" s="356" t="s">
        <v>3931</v>
      </c>
      <c r="E542" s="350"/>
      <c r="F542" s="351"/>
      <c r="G542" s="351"/>
      <c r="H542" s="351"/>
      <c r="I542" s="350"/>
    </row>
    <row r="543">
      <c r="A543" s="110">
        <v>39401.0</v>
      </c>
      <c r="B543" s="111"/>
      <c r="C543" s="135" t="str">
        <f>HYPERLINK("http://phish.net/sideshows/guest-appearance/?d=2007-11-15", "setlist")</f>
        <v>setlist</v>
      </c>
      <c r="D543" s="183" t="s">
        <v>2817</v>
      </c>
      <c r="E543" s="113" t="s">
        <v>2826</v>
      </c>
      <c r="F543" s="114" t="s">
        <v>35</v>
      </c>
      <c r="G543" s="114" t="s">
        <v>36</v>
      </c>
      <c r="H543" s="116" t="str">
        <f>HYPERLINK("http://www.mediafire.com/?ko5ip5d1h5c13", "download link")</f>
        <v>download link</v>
      </c>
      <c r="I543" s="113" t="s">
        <v>2998</v>
      </c>
    </row>
    <row r="544">
      <c r="A544" s="350"/>
      <c r="B544" s="351"/>
      <c r="C544" s="362"/>
      <c r="D544" s="356" t="s">
        <v>3954</v>
      </c>
      <c r="E544" s="350"/>
      <c r="F544" s="351"/>
      <c r="G544" s="351"/>
      <c r="H544" s="351"/>
      <c r="I544" s="350"/>
    </row>
    <row r="545">
      <c r="A545" s="110">
        <v>39447.0</v>
      </c>
      <c r="B545" s="111"/>
      <c r="C545" s="135" t="str">
        <f>HYPERLINK("http://phish.net/sideshows/guest-appearance/?d=2007-12-31", "setlist")</f>
        <v>setlist</v>
      </c>
      <c r="D545" s="183" t="s">
        <v>2918</v>
      </c>
      <c r="E545" s="113" t="s">
        <v>652</v>
      </c>
      <c r="F545" s="114" t="s">
        <v>650</v>
      </c>
      <c r="G545" s="114" t="s">
        <v>36</v>
      </c>
      <c r="H545" s="116" t="str">
        <f>HYPERLINK("http://www.mediafire.com/?6zwwmiwwdu423", "download link")</f>
        <v>download link</v>
      </c>
      <c r="I545" s="113" t="s">
        <v>3955</v>
      </c>
    </row>
    <row r="546">
      <c r="A546" s="350"/>
      <c r="B546" s="351"/>
      <c r="C546" s="362"/>
      <c r="D546" s="356" t="s">
        <v>3956</v>
      </c>
      <c r="E546" s="350"/>
      <c r="F546" s="351"/>
      <c r="G546" s="351"/>
      <c r="H546" s="351"/>
      <c r="I546" s="350"/>
    </row>
    <row r="547">
      <c r="A547" s="110">
        <v>39453.0</v>
      </c>
      <c r="B547" s="111"/>
      <c r="C547" s="135" t="str">
        <f>HYPERLINK("http://phish.net/sideshows/guest-appearance/?d=2008-01-06", "setlist")</f>
        <v>setlist</v>
      </c>
      <c r="D547" s="183" t="s">
        <v>2817</v>
      </c>
      <c r="E547" s="113" t="s">
        <v>2826</v>
      </c>
      <c r="F547" s="114" t="s">
        <v>35</v>
      </c>
      <c r="G547" s="111"/>
      <c r="H547" s="359"/>
      <c r="I547" s="113" t="s">
        <v>3957</v>
      </c>
    </row>
    <row r="548">
      <c r="A548" s="350"/>
      <c r="B548" s="351"/>
      <c r="C548" s="362"/>
      <c r="D548" s="356" t="s">
        <v>3958</v>
      </c>
      <c r="E548" s="350"/>
      <c r="F548" s="351"/>
      <c r="G548" s="351"/>
      <c r="H548" s="351"/>
      <c r="I548" s="350"/>
    </row>
    <row r="549">
      <c r="A549" s="110">
        <v>39478.0</v>
      </c>
      <c r="B549" s="114" t="s">
        <v>32</v>
      </c>
      <c r="C549" s="135" t="str">
        <f>HYPERLINK("http://phish.net/sideshows/guest-appearance/?d=2008-01-31", "setlist")</f>
        <v>setlist</v>
      </c>
      <c r="D549" s="183" t="s">
        <v>54</v>
      </c>
      <c r="E549" s="113" t="s">
        <v>34</v>
      </c>
      <c r="F549" s="114" t="s">
        <v>35</v>
      </c>
      <c r="G549" s="114" t="s">
        <v>36</v>
      </c>
      <c r="H549" s="116" t="str">
        <f>HYPERLINK("http://www.mediafire.com/?dj9m1srjj97vs", "download link")</f>
        <v>download link</v>
      </c>
      <c r="I549" s="113" t="s">
        <v>2998</v>
      </c>
    </row>
    <row r="550">
      <c r="A550" s="350"/>
      <c r="B550" s="351"/>
      <c r="C550" s="362"/>
      <c r="D550" s="356" t="s">
        <v>3959</v>
      </c>
      <c r="E550" s="350"/>
      <c r="F550" s="351"/>
      <c r="G550" s="351"/>
      <c r="H550" s="351"/>
      <c r="I550" s="350"/>
    </row>
    <row r="551">
      <c r="A551" s="110">
        <v>39480.0</v>
      </c>
      <c r="B551" s="114" t="s">
        <v>32</v>
      </c>
      <c r="C551" s="135" t="str">
        <f>HYPERLINK("http://phish.net/sideshows/guest-appearance/?d=2008-02-02", "setlist")</f>
        <v>setlist</v>
      </c>
      <c r="D551" s="183" t="s">
        <v>3960</v>
      </c>
      <c r="E551" s="113" t="s">
        <v>3961</v>
      </c>
      <c r="F551" s="114" t="s">
        <v>35</v>
      </c>
      <c r="G551" s="114" t="s">
        <v>36</v>
      </c>
      <c r="H551" s="116" t="str">
        <f>HYPERLINK("http://www.mediafire.com/?6q57eb132lnq9", "download link")</f>
        <v>download link</v>
      </c>
      <c r="I551" s="113" t="s">
        <v>2787</v>
      </c>
    </row>
    <row r="552">
      <c r="A552" s="350"/>
      <c r="B552" s="351"/>
      <c r="C552" s="362"/>
      <c r="D552" s="356" t="s">
        <v>3962</v>
      </c>
      <c r="E552" s="350"/>
      <c r="F552" s="351"/>
      <c r="G552" s="351"/>
      <c r="H552" s="351"/>
      <c r="I552" s="350"/>
    </row>
    <row r="553">
      <c r="A553" s="110">
        <v>39494.0</v>
      </c>
      <c r="B553" s="111"/>
      <c r="C553" s="135" t="str">
        <f>HYPERLINK("http://phish.net/sideshows/guest-appearance/?d=2008-02-16", "setlist")</f>
        <v>setlist</v>
      </c>
      <c r="D553" s="183" t="s">
        <v>54</v>
      </c>
      <c r="E553" s="113" t="s">
        <v>34</v>
      </c>
      <c r="F553" s="114" t="s">
        <v>35</v>
      </c>
      <c r="G553" s="111"/>
      <c r="H553" s="359"/>
      <c r="I553" s="113" t="s">
        <v>2787</v>
      </c>
    </row>
    <row r="554">
      <c r="A554" s="350"/>
      <c r="B554" s="351"/>
      <c r="C554" s="352"/>
      <c r="D554" s="356" t="s">
        <v>3917</v>
      </c>
      <c r="E554" s="357"/>
      <c r="F554" s="351"/>
      <c r="G554" s="351"/>
      <c r="H554" s="358"/>
      <c r="I554" s="357"/>
    </row>
    <row r="555">
      <c r="A555" s="142">
        <v>39498.0</v>
      </c>
      <c r="B555" s="144"/>
      <c r="C555" s="135" t="str">
        <f>HYPERLINK("http://phish.net/sideshows/guest-appearance/?d=2008-02-20", "setlist")</f>
        <v>setlist</v>
      </c>
      <c r="D555" s="272" t="s">
        <v>3039</v>
      </c>
      <c r="E555" s="272" t="s">
        <v>471</v>
      </c>
      <c r="F555" s="115" t="s">
        <v>472</v>
      </c>
      <c r="G555" s="115" t="s">
        <v>36</v>
      </c>
      <c r="H555" s="116" t="str">
        <f>HYPERLINK("http://www.mediafire.com/?i48a0o77jee9e", "download link")</f>
        <v>download link</v>
      </c>
      <c r="I555" s="272" t="s">
        <v>3963</v>
      </c>
    </row>
    <row r="556">
      <c r="A556" s="103">
        <v>39499.0</v>
      </c>
      <c r="B556" s="104"/>
      <c r="C556" s="105" t="str">
        <f>HYPERLINK("http://phish.net/sideshows/guest-appearance/?d=2008-02-21", "setlist")</f>
        <v>setlist</v>
      </c>
      <c r="D556" s="181" t="s">
        <v>3964</v>
      </c>
      <c r="E556" s="181" t="s">
        <v>2327</v>
      </c>
      <c r="F556" s="107" t="s">
        <v>443</v>
      </c>
      <c r="G556" s="107" t="s">
        <v>36</v>
      </c>
      <c r="H556" s="105" t="str">
        <f>HYPERLINK("http://www.mediafire.com/?5zd6ndmtkklky", "download link")</f>
        <v>download link</v>
      </c>
      <c r="I556" s="181" t="s">
        <v>3963</v>
      </c>
    </row>
    <row r="557">
      <c r="A557" s="350"/>
      <c r="B557" s="351"/>
      <c r="C557" s="362"/>
      <c r="D557" s="356" t="s">
        <v>3965</v>
      </c>
      <c r="E557" s="350"/>
      <c r="F557" s="351"/>
      <c r="G557" s="351"/>
      <c r="H557" s="351"/>
      <c r="I557" s="350"/>
    </row>
    <row r="558">
      <c r="A558" s="110">
        <v>39555.0</v>
      </c>
      <c r="B558" s="111"/>
      <c r="C558" s="135" t="str">
        <f>HYPERLINK("http://phish.net/sideshows/guest-appearance/?d=2008-04-17", "setlist")</f>
        <v>setlist</v>
      </c>
      <c r="D558" s="183" t="s">
        <v>2817</v>
      </c>
      <c r="E558" s="113" t="s">
        <v>2826</v>
      </c>
      <c r="F558" s="114" t="s">
        <v>35</v>
      </c>
      <c r="G558" s="111"/>
      <c r="H558" s="359"/>
      <c r="I558" s="113" t="s">
        <v>2998</v>
      </c>
    </row>
    <row r="559">
      <c r="A559" s="350"/>
      <c r="B559" s="351"/>
      <c r="C559" s="352"/>
      <c r="D559" s="356" t="s">
        <v>3917</v>
      </c>
      <c r="E559" s="357"/>
      <c r="F559" s="351"/>
      <c r="G559" s="351"/>
      <c r="H559" s="358"/>
      <c r="I559" s="357"/>
    </row>
    <row r="560">
      <c r="A560" s="142">
        <v>39556.0</v>
      </c>
      <c r="B560" s="144"/>
      <c r="C560" s="135" t="str">
        <f>HYPERLINK("http://phish.net/sideshows/guest-appearance/?d=2008-04-18", "setlist")</f>
        <v>setlist</v>
      </c>
      <c r="D560" s="272" t="s">
        <v>914</v>
      </c>
      <c r="E560" s="272" t="s">
        <v>683</v>
      </c>
      <c r="F560" s="115" t="s">
        <v>679</v>
      </c>
      <c r="G560" s="115" t="s">
        <v>36</v>
      </c>
      <c r="H560" s="116" t="str">
        <f>HYPERLINK("http://www.mediafire.com/?vesp5bv7x3m3m", "download link")</f>
        <v>download link</v>
      </c>
      <c r="I560" s="272" t="s">
        <v>3966</v>
      </c>
    </row>
    <row r="561">
      <c r="A561" s="350"/>
      <c r="B561" s="351"/>
      <c r="C561" s="352"/>
      <c r="D561" s="356" t="s">
        <v>3967</v>
      </c>
      <c r="E561" s="357"/>
      <c r="F561" s="351"/>
      <c r="G561" s="351"/>
      <c r="H561" s="358"/>
      <c r="I561" s="357"/>
    </row>
    <row r="562">
      <c r="A562" s="110">
        <v>39558.0</v>
      </c>
      <c r="B562" s="111"/>
      <c r="C562" s="135" t="str">
        <f>HYPERLINK("http://phish.net/sideshows/guest-appearance/?d=2008-04-20", "setlist")</f>
        <v>setlist</v>
      </c>
      <c r="D562" s="183" t="s">
        <v>3968</v>
      </c>
      <c r="E562" s="183" t="s">
        <v>683</v>
      </c>
      <c r="F562" s="114" t="s">
        <v>679</v>
      </c>
      <c r="G562" s="114" t="s">
        <v>36</v>
      </c>
      <c r="H562" s="116" t="str">
        <f>HYPERLINK("http://www.mediafire.com/?6yisfxqwsijwh", "download link")</f>
        <v>download link</v>
      </c>
      <c r="I562" s="183" t="s">
        <v>3715</v>
      </c>
    </row>
    <row r="563">
      <c r="A563" s="350"/>
      <c r="B563" s="351"/>
      <c r="C563" s="362"/>
      <c r="D563" s="356" t="s">
        <v>3969</v>
      </c>
      <c r="E563" s="350"/>
      <c r="F563" s="351"/>
      <c r="G563" s="351"/>
      <c r="H563" s="351"/>
      <c r="I563" s="350"/>
    </row>
    <row r="564">
      <c r="A564" s="110">
        <v>39569.0</v>
      </c>
      <c r="B564" s="114" t="s">
        <v>32</v>
      </c>
      <c r="C564" s="135" t="str">
        <f>HYPERLINK("http://phish.net/sideshows/guest-appearance/?showid=1361934398", "setlist")</f>
        <v>setlist</v>
      </c>
      <c r="D564" s="183" t="s">
        <v>1686</v>
      </c>
      <c r="E564" s="113" t="s">
        <v>585</v>
      </c>
      <c r="F564" s="114" t="s">
        <v>586</v>
      </c>
      <c r="G564" s="114" t="s">
        <v>36</v>
      </c>
      <c r="H564" s="135" t="str">
        <f>HYPERLINK("http://www.mediafire.com/?6gt32w2gkbm8f","download link")</f>
        <v>download link</v>
      </c>
      <c r="I564" s="113" t="s">
        <v>3316</v>
      </c>
    </row>
    <row r="565">
      <c r="A565" s="350"/>
      <c r="B565" s="351"/>
      <c r="C565" s="362"/>
      <c r="D565" s="356" t="s">
        <v>3926</v>
      </c>
      <c r="E565" s="350"/>
      <c r="F565" s="351"/>
      <c r="G565" s="351"/>
      <c r="H565" s="351"/>
      <c r="I565" s="350"/>
    </row>
    <row r="566">
      <c r="A566" s="110">
        <v>39569.0</v>
      </c>
      <c r="B566" s="111"/>
      <c r="C566" s="135" t="str">
        <f>HYPERLINK("http://phish.net/sideshows/guest-appearance/?showid=1362105640", "setlist")</f>
        <v>setlist</v>
      </c>
      <c r="D566" s="183" t="s">
        <v>3970</v>
      </c>
      <c r="E566" s="113" t="s">
        <v>585</v>
      </c>
      <c r="F566" s="114" t="s">
        <v>586</v>
      </c>
      <c r="G566" s="114" t="s">
        <v>36</v>
      </c>
      <c r="H566" s="135" t="str">
        <f>HYPERLINK("https://mega.co.nz/#!vUpkhYqK!Q0VTQRjjJgBRkyOckozbPDtG2RNOAhY_fwsOWoni1E0","download link")</f>
        <v>download link</v>
      </c>
      <c r="I566" s="113" t="s">
        <v>3971</v>
      </c>
    </row>
    <row r="567">
      <c r="A567" s="350"/>
      <c r="B567" s="351"/>
      <c r="C567" s="362"/>
      <c r="D567" s="356" t="s">
        <v>3972</v>
      </c>
      <c r="E567" s="350"/>
      <c r="F567" s="351"/>
      <c r="G567" s="351"/>
      <c r="H567" s="351"/>
      <c r="I567" s="350"/>
    </row>
    <row r="568">
      <c r="A568" s="110">
        <v>39572.0</v>
      </c>
      <c r="B568" s="111"/>
      <c r="C568" s="135" t="str">
        <f>HYPERLINK("http://phish.net/sideshows/mike-gordon/?d=2008-05-04", "setlist")</f>
        <v>setlist</v>
      </c>
      <c r="D568" s="183" t="s">
        <v>584</v>
      </c>
      <c r="E568" s="113" t="s">
        <v>585</v>
      </c>
      <c r="F568" s="114" t="s">
        <v>586</v>
      </c>
      <c r="G568" s="114" t="s">
        <v>36</v>
      </c>
      <c r="H568" s="135" t="str">
        <f>HYPERLINK("http://www.mediafire.com/?wg459n90blp5g", "download link")</f>
        <v>download link</v>
      </c>
      <c r="I568" s="113" t="s">
        <v>3712</v>
      </c>
    </row>
    <row r="569">
      <c r="A569" s="350"/>
      <c r="B569" s="351"/>
      <c r="C569" s="362"/>
      <c r="D569" s="356" t="s">
        <v>3761</v>
      </c>
      <c r="E569" s="350"/>
      <c r="F569" s="351"/>
      <c r="G569" s="351"/>
      <c r="H569" s="351"/>
      <c r="I569" s="350"/>
    </row>
    <row r="570">
      <c r="A570" s="110">
        <v>39601.0</v>
      </c>
      <c r="B570" s="111"/>
      <c r="C570" s="135" t="str">
        <f>HYPERLINK("http://phish.net/sideshows/guest-appearance/?d=2008-06-02", "setlist")</f>
        <v>setlist</v>
      </c>
      <c r="D570" s="183" t="s">
        <v>2817</v>
      </c>
      <c r="E570" s="113" t="s">
        <v>2826</v>
      </c>
      <c r="F570" s="114" t="s">
        <v>35</v>
      </c>
      <c r="G570" s="114" t="s">
        <v>36</v>
      </c>
      <c r="H570" s="116" t="str">
        <f>HYPERLINK("http://www.mediafire.com/?lfkjuz42leifz", "download link")</f>
        <v>download link</v>
      </c>
      <c r="I570" s="113" t="s">
        <v>2998</v>
      </c>
    </row>
    <row r="571">
      <c r="A571" s="103">
        <v>39602.0</v>
      </c>
      <c r="B571" s="104"/>
      <c r="C571" s="105" t="str">
        <f>HYPERLINK("http://phish.net/sideshows/guest-appearance/?d=2008-06-03", "setlist")</f>
        <v>setlist</v>
      </c>
      <c r="D571" s="181" t="s">
        <v>2817</v>
      </c>
      <c r="E571" s="106" t="s">
        <v>2826</v>
      </c>
      <c r="F571" s="107" t="s">
        <v>35</v>
      </c>
      <c r="G571" s="107" t="s">
        <v>36</v>
      </c>
      <c r="H571" s="105" t="str">
        <f>HYPERLINK("http://www.mediafire.com/?74hr7v9jk7dka", "download link")</f>
        <v>download link</v>
      </c>
      <c r="I571" s="106" t="s">
        <v>2787</v>
      </c>
    </row>
    <row r="572">
      <c r="A572" s="350"/>
      <c r="B572" s="351"/>
      <c r="C572" s="352"/>
      <c r="D572" s="356" t="s">
        <v>3917</v>
      </c>
      <c r="E572" s="357"/>
      <c r="F572" s="351"/>
      <c r="G572" s="351"/>
      <c r="H572" s="358"/>
      <c r="I572" s="357"/>
    </row>
    <row r="573">
      <c r="A573" s="110">
        <v>39633.0</v>
      </c>
      <c r="B573" s="111"/>
      <c r="C573" s="135" t="str">
        <f>HYPERLINK("http://phish.net/sideshows/guest-appearance/?showid=1335924960", "setlist")</f>
        <v>setlist</v>
      </c>
      <c r="D573" s="183" t="s">
        <v>3009</v>
      </c>
      <c r="E573" s="183" t="s">
        <v>3010</v>
      </c>
      <c r="F573" s="114" t="s">
        <v>712</v>
      </c>
      <c r="G573" s="114" t="s">
        <v>36</v>
      </c>
      <c r="H573" s="135" t="str">
        <f>HYPERLINK("http://www.mediafire.com/?pwm2xkfdk8qk6", "download link")</f>
        <v>download link</v>
      </c>
      <c r="I573" s="183" t="s">
        <v>3973</v>
      </c>
    </row>
    <row r="574">
      <c r="A574" s="350"/>
      <c r="B574" s="351"/>
      <c r="C574" s="362"/>
      <c r="D574" s="356" t="s">
        <v>3974</v>
      </c>
      <c r="E574" s="350"/>
      <c r="F574" s="351"/>
      <c r="G574" s="351"/>
      <c r="H574" s="351"/>
      <c r="I574" s="350"/>
    </row>
    <row r="575">
      <c r="A575" s="110">
        <v>39641.0</v>
      </c>
      <c r="B575" s="111"/>
      <c r="C575" s="135" t="str">
        <f>HYPERLINK("http://phish.net/sideshows/guest-appearance/?showid=1327717026", "setlist")</f>
        <v>setlist</v>
      </c>
      <c r="D575" s="183" t="s">
        <v>2977</v>
      </c>
      <c r="E575" s="113" t="s">
        <v>2978</v>
      </c>
      <c r="F575" s="114" t="s">
        <v>874</v>
      </c>
      <c r="G575" s="114" t="s">
        <v>36</v>
      </c>
      <c r="H575" s="116" t="str">
        <f>HYPERLINK("http://www.mediafire.com/?6ph7vbm91vquy", "download link")</f>
        <v>download link</v>
      </c>
      <c r="I575" s="113" t="s">
        <v>2998</v>
      </c>
    </row>
    <row r="576">
      <c r="A576" s="350"/>
      <c r="B576" s="351"/>
      <c r="C576" s="362"/>
      <c r="D576" s="356" t="s">
        <v>3871</v>
      </c>
      <c r="E576" s="350"/>
      <c r="F576" s="351"/>
      <c r="G576" s="351"/>
      <c r="H576" s="351"/>
      <c r="I576" s="350"/>
    </row>
    <row r="577">
      <c r="A577" s="110">
        <v>39652.0</v>
      </c>
      <c r="B577" s="111"/>
      <c r="C577" s="135" t="str">
        <f>HYPERLINK("http://phish.net/sideshows/guest-appearance/?d=2008-07-23", "setlist")</f>
        <v>setlist</v>
      </c>
      <c r="D577" s="183" t="s">
        <v>2817</v>
      </c>
      <c r="E577" s="113" t="s">
        <v>2826</v>
      </c>
      <c r="F577" s="114" t="s">
        <v>35</v>
      </c>
      <c r="G577" s="114" t="s">
        <v>36</v>
      </c>
      <c r="H577" s="116" t="str">
        <f>HYPERLINK("http://www.mediafire.com/?rhav64pk8ex1v", "download link")</f>
        <v>download link</v>
      </c>
      <c r="I577" s="113" t="s">
        <v>2998</v>
      </c>
    </row>
    <row r="578">
      <c r="A578" s="350"/>
      <c r="B578" s="351"/>
      <c r="C578" s="362"/>
      <c r="D578" s="356" t="s">
        <v>3975</v>
      </c>
      <c r="E578" s="350"/>
      <c r="F578" s="351"/>
      <c r="G578" s="351"/>
      <c r="H578" s="351"/>
      <c r="I578" s="350"/>
    </row>
    <row r="579">
      <c r="A579" s="110">
        <v>39725.0</v>
      </c>
      <c r="B579" s="111"/>
      <c r="C579" s="135" t="str">
        <f>HYPERLINK("http://phish.net/sideshows/guest-appearance/?d=2008-10-04", "setlist")</f>
        <v>setlist</v>
      </c>
      <c r="D579" s="183" t="s">
        <v>2817</v>
      </c>
      <c r="E579" s="113" t="s">
        <v>2826</v>
      </c>
      <c r="F579" s="114" t="s">
        <v>35</v>
      </c>
      <c r="G579" s="114" t="s">
        <v>36</v>
      </c>
      <c r="H579" s="116" t="str">
        <f>HYPERLINK("http://www.mediafire.com/?eigf7423cdarr", "download link")</f>
        <v>download link</v>
      </c>
      <c r="I579" s="113" t="s">
        <v>3718</v>
      </c>
    </row>
    <row r="580">
      <c r="A580" s="350"/>
      <c r="B580" s="351"/>
      <c r="C580" s="352"/>
      <c r="D580" s="356" t="s">
        <v>3917</v>
      </c>
      <c r="E580" s="357"/>
      <c r="F580" s="351"/>
      <c r="G580" s="351"/>
      <c r="H580" s="358"/>
      <c r="I580" s="357"/>
    </row>
    <row r="581">
      <c r="A581" s="110">
        <v>39731.0</v>
      </c>
      <c r="B581" s="111"/>
      <c r="C581" s="135" t="str">
        <f>HYPERLINK("http://phish.net/sideshows/guest-appearance/?d=2008-10-10", "setlist")</f>
        <v>setlist</v>
      </c>
      <c r="D581" s="183" t="s">
        <v>3976</v>
      </c>
      <c r="E581" s="183" t="s">
        <v>162</v>
      </c>
      <c r="F581" s="114" t="s">
        <v>129</v>
      </c>
      <c r="G581" s="114" t="s">
        <v>36</v>
      </c>
      <c r="H581" s="135" t="str">
        <f>HYPERLINK("http://www.mediafire.com/?vru2vobc0s7ob", "download link")</f>
        <v>download link</v>
      </c>
      <c r="I581" s="183" t="s">
        <v>3945</v>
      </c>
    </row>
    <row r="582">
      <c r="A582" s="103">
        <v>39732.0</v>
      </c>
      <c r="B582" s="104"/>
      <c r="C582" s="105" t="str">
        <f>HYPERLINK("http://phish.net/sideshows/guest-appearance/?showid=1335961341", "setlist")</f>
        <v>setlist</v>
      </c>
      <c r="D582" s="181" t="s">
        <v>2903</v>
      </c>
      <c r="E582" s="181" t="s">
        <v>871</v>
      </c>
      <c r="F582" s="107" t="s">
        <v>212</v>
      </c>
      <c r="G582" s="107" t="s">
        <v>36</v>
      </c>
      <c r="H582" s="105" t="str">
        <f>HYPERLINK("http://www.mediafire.com/?haw8td4un5oag", "download link")</f>
        <v>download link</v>
      </c>
      <c r="I582" s="181" t="s">
        <v>3977</v>
      </c>
    </row>
    <row r="583">
      <c r="A583" s="350"/>
      <c r="B583" s="351"/>
      <c r="C583" s="362"/>
      <c r="D583" s="356" t="s">
        <v>3920</v>
      </c>
      <c r="E583" s="350"/>
      <c r="F583" s="351"/>
      <c r="G583" s="351"/>
      <c r="H583" s="351"/>
      <c r="I583" s="350"/>
    </row>
    <row r="584">
      <c r="A584" s="110">
        <v>39732.0</v>
      </c>
      <c r="B584" s="111"/>
      <c r="C584" s="135" t="str">
        <f>HYPERLINK("http://phish.net/sideshows/guest-appearance/?d=2008-10-11", "setlist")</f>
        <v>setlist</v>
      </c>
      <c r="D584" s="183" t="s">
        <v>2804</v>
      </c>
      <c r="E584" s="113" t="s">
        <v>34</v>
      </c>
      <c r="F584" s="114" t="s">
        <v>35</v>
      </c>
      <c r="G584" s="111"/>
      <c r="H584" s="359"/>
      <c r="I584" s="113" t="s">
        <v>2998</v>
      </c>
    </row>
    <row r="585">
      <c r="A585" s="350"/>
      <c r="B585" s="351"/>
      <c r="C585" s="362"/>
      <c r="D585" s="356" t="s">
        <v>3931</v>
      </c>
      <c r="E585" s="350"/>
      <c r="F585" s="351"/>
      <c r="G585" s="351"/>
      <c r="H585" s="351"/>
      <c r="I585" s="350"/>
    </row>
    <row r="586">
      <c r="A586" s="110">
        <v>39737.0</v>
      </c>
      <c r="B586" s="114" t="s">
        <v>32</v>
      </c>
      <c r="C586" s="135" t="str">
        <f>HYPERLINK("http://phish.net/sideshows/guest-appearance/?showid=1328069603", "setlist")</f>
        <v>setlist</v>
      </c>
      <c r="D586" s="183" t="s">
        <v>2817</v>
      </c>
      <c r="E586" s="113" t="s">
        <v>2826</v>
      </c>
      <c r="F586" s="114" t="s">
        <v>35</v>
      </c>
      <c r="G586" s="114" t="s">
        <v>36</v>
      </c>
      <c r="H586" s="116" t="str">
        <f>HYPERLINK("http://www.mediafire.com/?bnp9wc7tk457n", "download link")</f>
        <v>download link</v>
      </c>
      <c r="I586" s="113" t="s">
        <v>2998</v>
      </c>
    </row>
    <row r="587">
      <c r="A587" s="350"/>
      <c r="B587" s="351"/>
      <c r="C587" s="362"/>
      <c r="D587" s="356" t="s">
        <v>3725</v>
      </c>
      <c r="E587" s="350"/>
      <c r="F587" s="351"/>
      <c r="G587" s="351"/>
      <c r="H587" s="351"/>
      <c r="I587" s="350"/>
    </row>
    <row r="588">
      <c r="A588" s="110">
        <v>39884.0</v>
      </c>
      <c r="B588" s="114" t="s">
        <v>32</v>
      </c>
      <c r="C588" s="135" t="str">
        <f>HYPERLINK("http://phish.net/sideshows/guest-appearance/?d=2009-03-12", "setlist")</f>
        <v>setlist</v>
      </c>
      <c r="D588" s="183" t="s">
        <v>1330</v>
      </c>
      <c r="E588" s="113" t="s">
        <v>162</v>
      </c>
      <c r="F588" s="114" t="s">
        <v>129</v>
      </c>
      <c r="G588" s="114" t="s">
        <v>36</v>
      </c>
      <c r="H588" s="116" t="str">
        <f>HYPERLINK("http://www.mediafire.com/?l5d0bc4zsi3af", "download link")</f>
        <v>download link</v>
      </c>
      <c r="I588" s="113" t="s">
        <v>3978</v>
      </c>
    </row>
    <row r="589">
      <c r="A589" s="350"/>
      <c r="B589" s="351"/>
      <c r="C589" s="362"/>
      <c r="D589" s="356" t="s">
        <v>3979</v>
      </c>
      <c r="E589" s="350"/>
      <c r="F589" s="351"/>
      <c r="G589" s="351"/>
      <c r="H589" s="351"/>
      <c r="I589" s="350"/>
    </row>
    <row r="590">
      <c r="A590" s="110">
        <v>39945.0</v>
      </c>
      <c r="B590" s="111"/>
      <c r="C590" s="135" t="str">
        <f>HYPERLINK("http://phish.net/sideshows/guest-appearance/?d=2009-05-12", "setlist")</f>
        <v>setlist</v>
      </c>
      <c r="D590" s="183" t="s">
        <v>3980</v>
      </c>
      <c r="E590" s="113" t="s">
        <v>162</v>
      </c>
      <c r="F590" s="114" t="s">
        <v>129</v>
      </c>
      <c r="G590" s="114" t="s">
        <v>36</v>
      </c>
      <c r="H590" s="116" t="str">
        <f>HYPERLINK("http://www.mediafire.com/?bjwi4pl5lfgbq", "download link")</f>
        <v>download link</v>
      </c>
      <c r="I590" s="113" t="s">
        <v>3718</v>
      </c>
    </row>
    <row r="591">
      <c r="A591" s="350"/>
      <c r="B591" s="351"/>
      <c r="C591" s="362"/>
      <c r="D591" s="356" t="s">
        <v>3981</v>
      </c>
      <c r="E591" s="350"/>
      <c r="F591" s="351"/>
      <c r="G591" s="351"/>
      <c r="H591" s="351"/>
      <c r="I591" s="350"/>
    </row>
    <row r="592">
      <c r="A592" s="110">
        <v>40130.0</v>
      </c>
      <c r="B592" s="111"/>
      <c r="C592" s="135" t="str">
        <f>HYPERLINK("http://phish.net/sideshows/guest-appearance/?d=2009-11-13", "setlist")</f>
        <v>setlist</v>
      </c>
      <c r="D592" s="183" t="s">
        <v>2817</v>
      </c>
      <c r="E592" s="113" t="s">
        <v>2826</v>
      </c>
      <c r="F592" s="114" t="s">
        <v>35</v>
      </c>
      <c r="G592" s="111"/>
      <c r="H592" s="359"/>
      <c r="I592" s="113" t="s">
        <v>2998</v>
      </c>
    </row>
    <row r="593">
      <c r="A593" s="350"/>
      <c r="B593" s="351"/>
      <c r="C593" s="362"/>
      <c r="D593" s="356" t="s">
        <v>3982</v>
      </c>
      <c r="E593" s="350"/>
      <c r="F593" s="351"/>
      <c r="G593" s="351"/>
      <c r="H593" s="351"/>
      <c r="I593" s="350"/>
    </row>
    <row r="594">
      <c r="A594" s="110">
        <v>40192.0</v>
      </c>
      <c r="B594" s="111"/>
      <c r="C594" s="135" t="str">
        <f>HYPERLINK("http://phish.net/sideshows/guest-appearance/?d=2010-01-14", "setlist")</f>
        <v>setlist</v>
      </c>
      <c r="D594" s="183" t="s">
        <v>2817</v>
      </c>
      <c r="E594" s="113" t="s">
        <v>2826</v>
      </c>
      <c r="F594" s="114" t="s">
        <v>35</v>
      </c>
      <c r="G594" s="114" t="s">
        <v>36</v>
      </c>
      <c r="H594" s="116" t="str">
        <f>HYPERLINK("http://www.mediafire.com/?ccbuwyg691z1e", "download link")</f>
        <v>download link</v>
      </c>
      <c r="I594" s="113" t="s">
        <v>2885</v>
      </c>
    </row>
    <row r="595">
      <c r="A595" s="350"/>
      <c r="B595" s="351"/>
      <c r="C595" s="362"/>
      <c r="D595" s="356" t="s">
        <v>3983</v>
      </c>
      <c r="E595" s="350"/>
      <c r="F595" s="351"/>
      <c r="G595" s="351"/>
      <c r="H595" s="351"/>
      <c r="I595" s="350"/>
    </row>
    <row r="596">
      <c r="A596" s="110">
        <v>40336.0</v>
      </c>
      <c r="B596" s="111"/>
      <c r="C596" s="135" t="str">
        <f>HYPERLINK("http://phish.net/sideshows/guest-appearance/?d=2010-06-07", "setlist")</f>
        <v>setlist</v>
      </c>
      <c r="D596" s="183" t="s">
        <v>1366</v>
      </c>
      <c r="E596" s="113" t="s">
        <v>1230</v>
      </c>
      <c r="F596" s="114" t="s">
        <v>212</v>
      </c>
      <c r="G596" s="114" t="s">
        <v>36</v>
      </c>
      <c r="H596" s="116" t="str">
        <f>HYPERLINK("http://www.mediafire.com/?8hznufzyg3sad", "download link")</f>
        <v>download link</v>
      </c>
      <c r="I596" s="113" t="s">
        <v>3661</v>
      </c>
    </row>
    <row r="597">
      <c r="A597" s="350"/>
      <c r="B597" s="351"/>
      <c r="C597" s="362"/>
      <c r="D597" s="356" t="s">
        <v>3984</v>
      </c>
      <c r="E597" s="350"/>
      <c r="F597" s="351"/>
      <c r="G597" s="351"/>
      <c r="H597" s="351"/>
      <c r="I597" s="350"/>
    </row>
    <row r="598">
      <c r="A598" s="110">
        <v>40378.0</v>
      </c>
      <c r="B598" s="111"/>
      <c r="C598" s="135" t="str">
        <f>HYPERLINK("http://phish.net/sideshows/guest-appearance/?d=2010-07-19", "setlist")</f>
        <v>setlist</v>
      </c>
      <c r="D598" s="183" t="s">
        <v>3985</v>
      </c>
      <c r="E598" s="113" t="s">
        <v>162</v>
      </c>
      <c r="F598" s="114" t="s">
        <v>129</v>
      </c>
      <c r="G598" s="111"/>
      <c r="H598" s="359"/>
      <c r="I598" s="113" t="s">
        <v>3781</v>
      </c>
    </row>
    <row r="599">
      <c r="A599" s="380"/>
      <c r="B599" s="381"/>
      <c r="C599" s="366"/>
      <c r="D599" s="356" t="s">
        <v>3917</v>
      </c>
      <c r="E599" s="391"/>
      <c r="F599" s="381"/>
      <c r="G599" s="381"/>
      <c r="H599" s="358"/>
      <c r="I599" s="391"/>
    </row>
    <row r="600">
      <c r="A600" s="110">
        <v>40460.0</v>
      </c>
      <c r="B600" s="111"/>
      <c r="C600" s="135" t="str">
        <f>HYPERLINK("http://phish.net/sideshows/guest-appearance/?showid=1336441730", "setlist")</f>
        <v>setlist</v>
      </c>
      <c r="D600" s="183" t="s">
        <v>2406</v>
      </c>
      <c r="E600" s="113" t="s">
        <v>2407</v>
      </c>
      <c r="F600" s="114" t="s">
        <v>203</v>
      </c>
      <c r="G600" s="151" t="s">
        <v>36</v>
      </c>
      <c r="H600" s="116" t="str">
        <f>HYPERLINK("http://www.mediafire.com/?62cgeunu6jxe0", "download link")</f>
        <v>download link</v>
      </c>
      <c r="I600" s="113" t="s">
        <v>3973</v>
      </c>
    </row>
    <row r="601">
      <c r="A601" s="380"/>
      <c r="B601" s="381"/>
      <c r="C601" s="366"/>
      <c r="D601" s="356" t="s">
        <v>3986</v>
      </c>
      <c r="E601" s="391"/>
      <c r="F601" s="381"/>
      <c r="G601" s="381"/>
      <c r="H601" s="358"/>
      <c r="I601" s="391"/>
    </row>
    <row r="602">
      <c r="A602" s="110">
        <v>40460.0</v>
      </c>
      <c r="B602" s="111"/>
      <c r="C602" s="135" t="str">
        <f>HYPERLINK("http://phish.net/sideshows/guest-appearance/?showid=1336442546", "setlist")</f>
        <v>setlist</v>
      </c>
      <c r="D602" s="183" t="s">
        <v>2406</v>
      </c>
      <c r="E602" s="113" t="s">
        <v>2407</v>
      </c>
      <c r="F602" s="114" t="s">
        <v>203</v>
      </c>
      <c r="G602" s="114" t="s">
        <v>36</v>
      </c>
      <c r="H602" s="116" t="str">
        <f>HYPERLINK("http://www.mediafire.com/?466fppcadslgq", "download link")</f>
        <v>download link</v>
      </c>
      <c r="I602" s="113" t="s">
        <v>3670</v>
      </c>
    </row>
    <row r="603">
      <c r="A603" s="380"/>
      <c r="B603" s="381"/>
      <c r="C603" s="366"/>
      <c r="D603" s="356" t="s">
        <v>3717</v>
      </c>
      <c r="E603" s="391"/>
      <c r="F603" s="381"/>
      <c r="G603" s="381"/>
      <c r="H603" s="358"/>
      <c r="I603" s="391"/>
    </row>
    <row r="604">
      <c r="A604" s="110">
        <v>40460.0</v>
      </c>
      <c r="B604" s="111"/>
      <c r="C604" s="135" t="str">
        <f>HYPERLINK("http://phish.net/sideshows/guest-appearance/?showid=1336443936", "setlist")</f>
        <v>setlist</v>
      </c>
      <c r="D604" s="183" t="s">
        <v>2406</v>
      </c>
      <c r="E604" s="113" t="s">
        <v>2407</v>
      </c>
      <c r="F604" s="114" t="s">
        <v>203</v>
      </c>
      <c r="G604" s="114" t="s">
        <v>36</v>
      </c>
      <c r="H604" s="116" t="str">
        <f>HYPERLINK("http://www.mediafire.com/?7t8p8p91yp1pc", "download link")</f>
        <v>download link</v>
      </c>
      <c r="I604" s="113" t="s">
        <v>3987</v>
      </c>
    </row>
    <row r="605">
      <c r="A605" s="350"/>
      <c r="B605" s="351"/>
      <c r="C605" s="362"/>
      <c r="D605" s="356" t="s">
        <v>3988</v>
      </c>
      <c r="E605" s="350"/>
      <c r="F605" s="351"/>
      <c r="G605" s="351"/>
      <c r="H605" s="351"/>
      <c r="I605" s="350"/>
    </row>
    <row r="606">
      <c r="A606" s="110">
        <v>40799.0</v>
      </c>
      <c r="B606" s="111"/>
      <c r="C606" s="135" t="str">
        <f>HYPERLINK("http://phish.net/sideshows/guest-appearance/?d=2011-09-13", "setlist")</f>
        <v>setlist</v>
      </c>
      <c r="D606" s="183" t="s">
        <v>2817</v>
      </c>
      <c r="E606" s="113" t="s">
        <v>2826</v>
      </c>
      <c r="F606" s="114" t="s">
        <v>35</v>
      </c>
      <c r="G606" s="111"/>
      <c r="H606" s="359"/>
      <c r="I606" s="113" t="s">
        <v>2787</v>
      </c>
    </row>
    <row r="607">
      <c r="A607" s="350"/>
      <c r="B607" s="351"/>
      <c r="C607" s="362"/>
      <c r="D607" s="356" t="s">
        <v>3989</v>
      </c>
      <c r="E607" s="350"/>
      <c r="F607" s="351"/>
      <c r="G607" s="351"/>
      <c r="H607" s="351"/>
      <c r="I607" s="350"/>
    </row>
    <row r="608">
      <c r="A608" s="110">
        <v>40802.0</v>
      </c>
      <c r="B608" s="111"/>
      <c r="C608" s="135" t="str">
        <f>HYPERLINK("http://phish.net/sideshows/guest-appearance/?d=2011-09-16", "setlist")</f>
        <v>setlist</v>
      </c>
      <c r="D608" s="183" t="s">
        <v>3078</v>
      </c>
      <c r="E608" s="113" t="s">
        <v>2294</v>
      </c>
      <c r="F608" s="114" t="s">
        <v>129</v>
      </c>
      <c r="G608" s="111"/>
      <c r="H608" s="359"/>
      <c r="I608" s="113" t="s">
        <v>2998</v>
      </c>
    </row>
    <row r="609">
      <c r="A609" s="350"/>
      <c r="B609" s="351"/>
      <c r="C609" s="362"/>
      <c r="D609" s="356" t="s">
        <v>3990</v>
      </c>
      <c r="E609" s="350"/>
      <c r="F609" s="351"/>
      <c r="G609" s="351"/>
      <c r="H609" s="351"/>
      <c r="I609" s="350"/>
    </row>
    <row r="610">
      <c r="A610" s="110">
        <v>40827.0</v>
      </c>
      <c r="B610" s="111"/>
      <c r="C610" s="135" t="str">
        <f>HYPERLINK("http://phish.net/sideshows/guest-appearance/?d=2011-10-11", "setlist")</f>
        <v>setlist</v>
      </c>
      <c r="D610" s="183" t="s">
        <v>2817</v>
      </c>
      <c r="E610" s="113" t="s">
        <v>2826</v>
      </c>
      <c r="F610" s="114" t="s">
        <v>35</v>
      </c>
      <c r="G610" s="111"/>
      <c r="H610" s="359"/>
      <c r="I610" s="113" t="s">
        <v>2998</v>
      </c>
    </row>
    <row r="611">
      <c r="A611" s="350"/>
      <c r="B611" s="351"/>
      <c r="C611" s="362"/>
      <c r="D611" s="356" t="s">
        <v>3991</v>
      </c>
      <c r="E611" s="350"/>
      <c r="F611" s="351"/>
      <c r="G611" s="351"/>
      <c r="H611" s="351"/>
      <c r="I611" s="350"/>
    </row>
    <row r="612">
      <c r="A612" s="110">
        <v>40832.0</v>
      </c>
      <c r="B612" s="111"/>
      <c r="C612" s="135" t="str">
        <f>HYPERLINK("http://phish.net/sideshows/guest-appearance/?d=2011-10-16", "setlist")</f>
        <v>setlist</v>
      </c>
      <c r="D612" s="183" t="s">
        <v>2817</v>
      </c>
      <c r="E612" s="113" t="s">
        <v>2826</v>
      </c>
      <c r="F612" s="114" t="s">
        <v>35</v>
      </c>
      <c r="G612" s="111"/>
      <c r="H612" s="359"/>
      <c r="I612" s="113" t="s">
        <v>2998</v>
      </c>
    </row>
    <row r="613">
      <c r="A613" s="350"/>
      <c r="B613" s="351"/>
      <c r="C613" s="362"/>
      <c r="D613" s="356" t="s">
        <v>3615</v>
      </c>
      <c r="E613" s="350"/>
      <c r="F613" s="351"/>
      <c r="G613" s="351"/>
      <c r="H613" s="351"/>
      <c r="I613" s="350"/>
    </row>
    <row r="614">
      <c r="A614" s="110">
        <v>40837.0</v>
      </c>
      <c r="B614" s="111"/>
      <c r="C614" s="135" t="str">
        <f>HYPERLINK("http://phish.net/sideshows/guest-appearance/?d=2011-10-21", "setlist")</f>
        <v>setlist</v>
      </c>
      <c r="D614" s="183" t="s">
        <v>3992</v>
      </c>
      <c r="E614" s="113" t="s">
        <v>34</v>
      </c>
      <c r="F614" s="114" t="s">
        <v>35</v>
      </c>
      <c r="G614" s="111"/>
      <c r="H614" s="359"/>
      <c r="I614" s="113" t="s">
        <v>2787</v>
      </c>
    </row>
    <row r="615">
      <c r="A615" s="350"/>
      <c r="B615" s="351"/>
      <c r="C615" s="362"/>
      <c r="D615" s="356" t="s">
        <v>3019</v>
      </c>
      <c r="E615" s="350"/>
      <c r="F615" s="351"/>
      <c r="G615" s="351"/>
      <c r="H615" s="351"/>
      <c r="I615" s="350"/>
    </row>
    <row r="616">
      <c r="A616" s="110">
        <v>40893.0</v>
      </c>
      <c r="B616" s="111"/>
      <c r="C616" s="135" t="str">
        <f>HYPERLINK("http://phish.net/sideshows/guest-appearance/?d=2011-12-16", "setlist")</f>
        <v>setlist</v>
      </c>
      <c r="D616" s="113" t="s">
        <v>1330</v>
      </c>
      <c r="E616" s="113" t="s">
        <v>162</v>
      </c>
      <c r="F616" s="114" t="s">
        <v>129</v>
      </c>
      <c r="G616" s="111"/>
      <c r="H616" s="138"/>
      <c r="I616" s="113" t="s">
        <v>3787</v>
      </c>
    </row>
    <row r="617">
      <c r="A617" s="350"/>
      <c r="B617" s="351"/>
      <c r="C617" s="362"/>
      <c r="D617" s="356" t="s">
        <v>3993</v>
      </c>
      <c r="E617" s="350"/>
      <c r="F617" s="351"/>
      <c r="G617" s="351"/>
      <c r="H617" s="351"/>
      <c r="I617" s="350"/>
    </row>
    <row r="618">
      <c r="A618" s="110">
        <v>40992.0</v>
      </c>
      <c r="B618" s="111"/>
      <c r="C618" s="135" t="str">
        <f>HYPERLINK("http://phish.net/sideshows/guest-appearance/?d=2012-03-24", "setlist")</f>
        <v>setlist</v>
      </c>
      <c r="D618" s="113" t="s">
        <v>2817</v>
      </c>
      <c r="E618" s="113" t="s">
        <v>2826</v>
      </c>
      <c r="F618" s="114" t="s">
        <v>35</v>
      </c>
      <c r="G618" s="111"/>
      <c r="H618" s="138"/>
      <c r="I618" s="113" t="s">
        <v>2787</v>
      </c>
    </row>
    <row r="619">
      <c r="A619" s="350"/>
      <c r="B619" s="351"/>
      <c r="C619" s="362"/>
      <c r="D619" s="356" t="s">
        <v>3956</v>
      </c>
      <c r="E619" s="350"/>
      <c r="F619" s="351"/>
      <c r="G619" s="351"/>
      <c r="H619" s="351"/>
      <c r="I619" s="350"/>
    </row>
    <row r="620">
      <c r="A620" s="110">
        <v>41047.0</v>
      </c>
      <c r="B620" s="111"/>
      <c r="C620" s="135" t="str">
        <f>HYPERLINK("http://phish.net/sideshows/guest-appearance/?d=2012-05-18", "setlist")</f>
        <v>setlist</v>
      </c>
      <c r="D620" s="183" t="s">
        <v>2817</v>
      </c>
      <c r="E620" s="113" t="s">
        <v>2826</v>
      </c>
      <c r="F620" s="114" t="s">
        <v>35</v>
      </c>
      <c r="G620" s="114" t="s">
        <v>36</v>
      </c>
      <c r="H620" s="398" t="str">
        <f>HYPERLINK("http://www.mediafire.com/?1duj7nuza1qm3","download link")</f>
        <v>download link</v>
      </c>
      <c r="I620" s="113" t="s">
        <v>3957</v>
      </c>
    </row>
    <row r="621">
      <c r="A621" s="350"/>
      <c r="B621" s="351"/>
      <c r="C621" s="362"/>
      <c r="D621" s="356" t="s">
        <v>3994</v>
      </c>
      <c r="E621" s="350"/>
      <c r="F621" s="351"/>
      <c r="G621" s="351"/>
      <c r="H621" s="351"/>
      <c r="I621" s="350"/>
    </row>
    <row r="622">
      <c r="A622" s="110">
        <v>41109.0</v>
      </c>
      <c r="B622" s="111"/>
      <c r="C622" s="135" t="str">
        <f>HYPERLINK("http://phish.net/sideshows/guest-appearance/?d=2012-07-19", "setlist")</f>
        <v>setlist</v>
      </c>
      <c r="D622" s="183" t="s">
        <v>2817</v>
      </c>
      <c r="E622" s="113" t="s">
        <v>2826</v>
      </c>
      <c r="F622" s="114" t="s">
        <v>35</v>
      </c>
      <c r="G622" s="114" t="s">
        <v>36</v>
      </c>
      <c r="H622" s="398" t="str">
        <f>HYPERLINK("http://www.mediafire.com/?067o16o7oeokw","download link")</f>
        <v>download link</v>
      </c>
      <c r="I622" s="113" t="s">
        <v>2998</v>
      </c>
    </row>
    <row r="623">
      <c r="A623" s="350"/>
      <c r="B623" s="351"/>
      <c r="C623" s="362"/>
      <c r="D623" s="356" t="s">
        <v>3995</v>
      </c>
      <c r="E623" s="350"/>
      <c r="F623" s="351"/>
      <c r="G623" s="351"/>
      <c r="H623" s="351"/>
      <c r="I623" s="350"/>
    </row>
    <row r="624">
      <c r="A624" s="110">
        <v>41124.0</v>
      </c>
      <c r="B624" s="111"/>
      <c r="C624" s="135" t="str">
        <f>HYPERLINK("http://phish.net/sideshows/guest-appearance/?d=2012-08-03", "setlist")</f>
        <v>setlist</v>
      </c>
      <c r="D624" s="183" t="s">
        <v>3996</v>
      </c>
      <c r="E624" s="113" t="s">
        <v>2832</v>
      </c>
      <c r="F624" s="114" t="s">
        <v>679</v>
      </c>
      <c r="G624" s="111"/>
      <c r="H624" s="111"/>
      <c r="I624" s="113" t="s">
        <v>3997</v>
      </c>
    </row>
    <row r="625">
      <c r="A625" s="350"/>
      <c r="B625" s="351"/>
      <c r="C625" s="362"/>
      <c r="D625" s="356" t="s">
        <v>3494</v>
      </c>
      <c r="E625" s="350"/>
      <c r="F625" s="351"/>
      <c r="G625" s="351"/>
      <c r="H625" s="351"/>
      <c r="I625" s="350"/>
    </row>
    <row r="626">
      <c r="A626" s="110">
        <v>41137.0</v>
      </c>
      <c r="B626" s="111"/>
      <c r="C626" s="135" t="str">
        <f>HYPERLINK("http://phish.net/sideshows/mike-gordon/?d=2012-08-16", "setlist")</f>
        <v>setlist</v>
      </c>
      <c r="D626" s="113" t="s">
        <v>3998</v>
      </c>
      <c r="E626" s="113" t="s">
        <v>2832</v>
      </c>
      <c r="F626" s="114" t="s">
        <v>679</v>
      </c>
      <c r="G626" s="114" t="s">
        <v>36</v>
      </c>
      <c r="H626" s="398" t="str">
        <f>HYPERLINK("http://www.mediafire.com/?35es2s6cjdbju","download link")</f>
        <v>download link</v>
      </c>
      <c r="I626" s="113" t="s">
        <v>3724</v>
      </c>
    </row>
    <row r="627">
      <c r="A627" s="350"/>
      <c r="B627" s="351"/>
      <c r="C627" s="362"/>
      <c r="D627" s="356" t="s">
        <v>3999</v>
      </c>
      <c r="E627" s="350"/>
      <c r="F627" s="351"/>
      <c r="G627" s="351"/>
      <c r="H627" s="351"/>
      <c r="I627" s="350"/>
    </row>
    <row r="628">
      <c r="A628" s="110">
        <v>41159.0</v>
      </c>
      <c r="B628" s="111"/>
      <c r="C628" s="135" t="str">
        <f>HYPERLINK("http://phish.net/sideshows/trey-anastasio-band/?d=2012-09-07", "setlist")</f>
        <v>setlist</v>
      </c>
      <c r="D628" s="113" t="s">
        <v>570</v>
      </c>
      <c r="E628" s="113" t="s">
        <v>571</v>
      </c>
      <c r="F628" s="114" t="s">
        <v>129</v>
      </c>
      <c r="G628" s="114" t="s">
        <v>36</v>
      </c>
      <c r="H628" s="116" t="str">
        <f>HYPERLINK("http://www.mediafire.com/?1foq4657wa4nl", "download link")</f>
        <v>download link</v>
      </c>
      <c r="I628" s="113" t="s">
        <v>3807</v>
      </c>
    </row>
    <row r="629">
      <c r="A629" s="350"/>
      <c r="B629" s="351"/>
      <c r="C629" s="362"/>
      <c r="D629" s="356" t="s">
        <v>4000</v>
      </c>
      <c r="E629" s="350"/>
      <c r="F629" s="351"/>
      <c r="G629" s="351"/>
      <c r="H629" s="351"/>
      <c r="I629" s="350"/>
    </row>
    <row r="630">
      <c r="A630" s="110">
        <v>41167.0</v>
      </c>
      <c r="B630" s="111"/>
      <c r="C630" s="135" t="str">
        <f>HYPERLINK("http://phish.net/sideshows/guest-appearance/?d=2012-09-15", "setlist")</f>
        <v>setlist</v>
      </c>
      <c r="D630" s="113" t="s">
        <v>3116</v>
      </c>
      <c r="E630" s="113" t="s">
        <v>34</v>
      </c>
      <c r="F630" s="114" t="s">
        <v>35</v>
      </c>
      <c r="G630" s="111"/>
      <c r="H630" s="145"/>
      <c r="I630" s="113" t="s">
        <v>2812</v>
      </c>
    </row>
    <row r="631">
      <c r="A631" s="350"/>
      <c r="B631" s="351"/>
      <c r="C631" s="362"/>
      <c r="D631" s="356" t="s">
        <v>4001</v>
      </c>
      <c r="E631" s="350"/>
      <c r="F631" s="351"/>
      <c r="G631" s="351"/>
      <c r="H631" s="351"/>
      <c r="I631" s="350"/>
    </row>
    <row r="632">
      <c r="A632" s="110">
        <v>41185.0</v>
      </c>
      <c r="B632" s="111"/>
      <c r="C632" s="135" t="str">
        <f>HYPERLINK("http://phish.net/sideshows/mike-gordon/?d=2012-10-03", "setlist")</f>
        <v>setlist</v>
      </c>
      <c r="D632" s="113" t="s">
        <v>4002</v>
      </c>
      <c r="E632" s="113" t="s">
        <v>2243</v>
      </c>
      <c r="F632" s="114" t="s">
        <v>43</v>
      </c>
      <c r="G632" s="111"/>
      <c r="H632" s="145"/>
      <c r="I632" s="113" t="s">
        <v>2787</v>
      </c>
    </row>
    <row r="633">
      <c r="A633" s="380"/>
      <c r="B633" s="381"/>
      <c r="C633" s="366"/>
      <c r="D633" s="356" t="s">
        <v>4003</v>
      </c>
      <c r="E633" s="391"/>
      <c r="F633" s="381"/>
      <c r="G633" s="381"/>
      <c r="H633" s="358"/>
      <c r="I633" s="391"/>
    </row>
    <row r="634">
      <c r="A634" s="110">
        <v>41193.0</v>
      </c>
      <c r="B634" s="111"/>
      <c r="C634" s="116" t="str">
        <f>HYPERLINK("http://phish.net/sideshows/jon-fishman/?d="&amp;RIGHT(TEXT(A634,"mm/dd/yyyy"),4)&amp;"-"&amp;LEFT(TEXT(A634,"mm/dd/yyyy"),2)&amp;"-"&amp;MID(TEXT(A634,"mm/dd/yyyy"),4,2), "setlist")</f>
        <v>setlist</v>
      </c>
      <c r="D634" s="183" t="s">
        <v>2817</v>
      </c>
      <c r="E634" s="183" t="s">
        <v>2826</v>
      </c>
      <c r="F634" s="114" t="s">
        <v>35</v>
      </c>
      <c r="G634" s="111"/>
      <c r="H634" s="138"/>
      <c r="I634" s="183" t="s">
        <v>4004</v>
      </c>
    </row>
    <row r="635">
      <c r="A635" s="380"/>
      <c r="B635" s="381"/>
      <c r="C635" s="366"/>
      <c r="D635" s="356" t="s">
        <v>3984</v>
      </c>
      <c r="E635" s="391"/>
      <c r="F635" s="381"/>
      <c r="G635" s="381"/>
      <c r="H635" s="358"/>
      <c r="I635" s="391"/>
    </row>
    <row r="636">
      <c r="A636" s="110">
        <v>41239.0</v>
      </c>
      <c r="B636" s="111"/>
      <c r="C636" s="116" t="str">
        <f>HYPERLINK("http://phish.net/sideshows/jon-fishman/?d="&amp;RIGHT(TEXT(A636,"mm/dd/yyyy"),4)&amp;"-"&amp;LEFT(TEXT(A636,"mm/dd/yyyy"),2)&amp;"-"&amp;MID(TEXT(A636,"mm/dd/yyyy"),4,2), "setlist")</f>
        <v>setlist</v>
      </c>
      <c r="D636" s="183" t="s">
        <v>3985</v>
      </c>
      <c r="E636" s="183" t="s">
        <v>162</v>
      </c>
      <c r="F636" s="114" t="s">
        <v>129</v>
      </c>
      <c r="G636" s="111"/>
      <c r="H636" s="138"/>
      <c r="I636" s="183" t="s">
        <v>3670</v>
      </c>
    </row>
    <row r="637">
      <c r="A637" s="380"/>
      <c r="B637" s="381"/>
      <c r="C637" s="366"/>
      <c r="D637" s="356" t="s">
        <v>3777</v>
      </c>
      <c r="E637" s="391"/>
      <c r="F637" s="381"/>
      <c r="G637" s="381"/>
      <c r="H637" s="358"/>
      <c r="I637" s="391"/>
    </row>
    <row r="638">
      <c r="A638" s="110">
        <v>41292.0</v>
      </c>
      <c r="B638" s="111"/>
      <c r="C638" s="135" t="str">
        <f>HYPERLINK("http://phish.net/sideshows/guest-appearance/?d=2013-01-18", "setlist")</f>
        <v>setlist</v>
      </c>
      <c r="D638" s="183" t="s">
        <v>54</v>
      </c>
      <c r="E638" s="183" t="s">
        <v>34</v>
      </c>
      <c r="F638" s="114" t="s">
        <v>35</v>
      </c>
      <c r="G638" s="111"/>
      <c r="H638" s="138"/>
      <c r="I638" s="183" t="s">
        <v>2889</v>
      </c>
    </row>
    <row r="639">
      <c r="A639" s="380"/>
      <c r="B639" s="381"/>
      <c r="C639" s="366"/>
      <c r="D639" s="356" t="s">
        <v>3719</v>
      </c>
      <c r="E639" s="391"/>
      <c r="F639" s="381"/>
      <c r="G639" s="381"/>
      <c r="H639" s="358"/>
      <c r="I639" s="391"/>
    </row>
    <row r="640">
      <c r="A640" s="110">
        <v>41299.0</v>
      </c>
      <c r="B640" s="111"/>
      <c r="C640" s="135" t="str">
        <f>HYPERLINK("http://phish.net/sideshows/guest-appearance/?d=2013-01-25", "setlist")</f>
        <v>setlist</v>
      </c>
      <c r="D640" s="183" t="s">
        <v>2817</v>
      </c>
      <c r="E640" s="183" t="s">
        <v>2826</v>
      </c>
      <c r="F640" s="114" t="s">
        <v>35</v>
      </c>
      <c r="G640" s="114" t="s">
        <v>36</v>
      </c>
      <c r="H640" s="116" t="str">
        <f>HYPERLINK("http://www.mediafire.com/?cz4n538n8xh6u", "download link")</f>
        <v>download link</v>
      </c>
      <c r="I640" s="183" t="s">
        <v>2787</v>
      </c>
    </row>
    <row r="641">
      <c r="A641" s="380"/>
      <c r="B641" s="381"/>
      <c r="C641" s="366"/>
      <c r="D641" s="356" t="s">
        <v>4005</v>
      </c>
      <c r="E641" s="391"/>
      <c r="F641" s="381"/>
      <c r="G641" s="381"/>
      <c r="H641" s="358"/>
      <c r="I641" s="391"/>
    </row>
    <row r="642">
      <c r="A642" s="110">
        <v>41300.0</v>
      </c>
      <c r="B642" s="111"/>
      <c r="C642" s="135" t="str">
        <f>HYPERLINK("http://phish.net/sideshows/jon-fishman/?showid=1358959158", "setlist")</f>
        <v>setlist</v>
      </c>
      <c r="D642" s="183" t="s">
        <v>4006</v>
      </c>
      <c r="E642" s="183" t="s">
        <v>393</v>
      </c>
      <c r="F642" s="114" t="s">
        <v>394</v>
      </c>
      <c r="G642" s="111"/>
      <c r="H642" s="138"/>
      <c r="I642" s="183" t="s">
        <v>3791</v>
      </c>
    </row>
    <row r="643">
      <c r="A643" s="380"/>
      <c r="B643" s="381"/>
      <c r="C643" s="366"/>
      <c r="D643" s="356" t="s">
        <v>4007</v>
      </c>
      <c r="E643" s="391"/>
      <c r="F643" s="381"/>
      <c r="G643" s="381"/>
      <c r="H643" s="358"/>
      <c r="I643" s="391"/>
    </row>
    <row r="644">
      <c r="A644" s="110">
        <v>41335.0</v>
      </c>
      <c r="B644" s="111"/>
      <c r="C644" s="135" t="str">
        <f>HYPERLINK("http://phish.net/sideshows/guest-appearance/?d=2013-03-02", "setlist")</f>
        <v>setlist</v>
      </c>
      <c r="D644" s="183" t="s">
        <v>2817</v>
      </c>
      <c r="E644" s="183" t="s">
        <v>2826</v>
      </c>
      <c r="F644" s="114" t="s">
        <v>35</v>
      </c>
      <c r="G644" s="111"/>
      <c r="H644" s="138"/>
      <c r="I644" s="183" t="s">
        <v>3718</v>
      </c>
    </row>
    <row r="645">
      <c r="A645" s="381"/>
      <c r="B645" s="381"/>
      <c r="C645" s="366"/>
      <c r="D645" s="356" t="s">
        <v>4008</v>
      </c>
      <c r="E645" s="391"/>
      <c r="F645" s="381"/>
      <c r="G645" s="381"/>
      <c r="H645" s="358"/>
      <c r="I645" s="391"/>
    </row>
    <row r="646">
      <c r="A646" s="110">
        <v>41487.0</v>
      </c>
      <c r="B646" s="111"/>
      <c r="C646" s="135" t="str">
        <f>HYPERLINK("http://phish.net/sideshows/mike-gordon/?d=2013-08-01", "setlist")</f>
        <v>setlist</v>
      </c>
      <c r="D646" s="183" t="s">
        <v>3998</v>
      </c>
      <c r="E646" s="183" t="s">
        <v>2832</v>
      </c>
      <c r="F646" s="114" t="s">
        <v>679</v>
      </c>
      <c r="G646" s="111"/>
      <c r="H646" s="138"/>
      <c r="I646" s="183" t="s">
        <v>2787</v>
      </c>
    </row>
    <row r="647">
      <c r="A647" s="381"/>
      <c r="B647" s="381"/>
      <c r="C647" s="366"/>
      <c r="D647" s="356" t="s">
        <v>4009</v>
      </c>
      <c r="E647" s="391"/>
      <c r="F647" s="381"/>
      <c r="G647" s="381"/>
      <c r="H647" s="358"/>
      <c r="I647" s="391"/>
    </row>
    <row r="648">
      <c r="A648" s="110">
        <v>41524.0</v>
      </c>
      <c r="B648" s="111"/>
      <c r="C648" s="135" t="str">
        <f>HYPERLINK("http://phish.net/sideshows/guest-appearance/?showid=1378613140", "setlist")</f>
        <v>setlist</v>
      </c>
      <c r="D648" s="183" t="s">
        <v>3074</v>
      </c>
      <c r="E648" s="183" t="s">
        <v>2627</v>
      </c>
      <c r="F648" s="114" t="s">
        <v>446</v>
      </c>
      <c r="G648" s="114" t="s">
        <v>36</v>
      </c>
      <c r="H648" s="135" t="str">
        <f>HYPERLINK("http://www.mediafire.com/download/sd3r4qveurc3pge/2013-09-07_-_Lockn%27_Festival_-_Arrington%2C_VA.rar","download link")</f>
        <v>download link</v>
      </c>
      <c r="I648" s="183" t="s">
        <v>3789</v>
      </c>
    </row>
    <row r="649">
      <c r="A649" s="381"/>
      <c r="B649" s="381"/>
      <c r="C649" s="366"/>
      <c r="D649" s="356" t="s">
        <v>3719</v>
      </c>
      <c r="E649" s="391"/>
      <c r="F649" s="381"/>
      <c r="G649" s="381"/>
      <c r="H649" s="358"/>
      <c r="I649" s="391"/>
    </row>
    <row r="650">
      <c r="A650" s="110">
        <v>41671.0</v>
      </c>
      <c r="B650" s="111"/>
      <c r="C650" s="135" t="str">
        <f>HYPERLINK("http://phish.net/sideshows/mike-gordon/?d=2014-02-01", "setlist")</f>
        <v>setlist</v>
      </c>
      <c r="D650" s="183" t="s">
        <v>2817</v>
      </c>
      <c r="E650" s="183" t="s">
        <v>2826</v>
      </c>
      <c r="F650" s="114" t="s">
        <v>35</v>
      </c>
      <c r="G650" s="111"/>
      <c r="H650" s="138"/>
      <c r="I650" s="183" t="s">
        <v>3720</v>
      </c>
    </row>
    <row r="651">
      <c r="A651" s="381"/>
      <c r="B651" s="381"/>
      <c r="C651" s="366"/>
      <c r="D651" s="356" t="s">
        <v>3952</v>
      </c>
      <c r="E651" s="391"/>
      <c r="F651" s="381"/>
      <c r="G651" s="381"/>
      <c r="H651" s="358"/>
      <c r="I651" s="391"/>
    </row>
    <row r="652">
      <c r="A652" s="110">
        <v>41694.0</v>
      </c>
      <c r="B652" s="111"/>
      <c r="C652" s="135" t="str">
        <f>HYPERLINK("http://phish.net/sideshows/mike-gordon/?d=2014-02-24", "setlist")</f>
        <v>setlist</v>
      </c>
      <c r="D652" s="183" t="s">
        <v>2990</v>
      </c>
      <c r="E652" s="183" t="s">
        <v>94</v>
      </c>
      <c r="F652" s="114" t="s">
        <v>95</v>
      </c>
      <c r="G652" s="114" t="s">
        <v>36</v>
      </c>
      <c r="H652" s="135" t="str">
        <f>HYPERLINK("http://www.mediafire.com/download/h6smxsxhc2sgzat/2014-02-24_-_House_of_Blues_-_Boston,_MA.rar","download link")</f>
        <v>download link</v>
      </c>
      <c r="I652" s="183" t="s">
        <v>2998</v>
      </c>
    </row>
    <row r="653">
      <c r="A653" s="380"/>
      <c r="B653" s="381"/>
      <c r="C653" s="362"/>
      <c r="D653" s="356" t="s">
        <v>4010</v>
      </c>
      <c r="E653" s="382"/>
      <c r="F653" s="381"/>
      <c r="G653" s="381"/>
      <c r="H653" s="358"/>
      <c r="I653" s="382"/>
    </row>
    <row r="654">
      <c r="A654" s="147">
        <v>41729.0</v>
      </c>
      <c r="B654" s="111"/>
      <c r="C654" s="116" t="str">
        <f>HYPERLINK("http://phish.net/sideshows/mike-gordon/?d="&amp;RIGHT(TEXT(A654,"mm/dd/yyyy"),4)&amp;"-"&amp;LEFT(TEXT(A654,"mm/dd/yyyy"),2)&amp;"-"&amp;MID(TEXT(A654,"mm/dd/yyyy"),4,2), "setlist")</f>
        <v>setlist</v>
      </c>
      <c r="D654" s="149" t="s">
        <v>2823</v>
      </c>
      <c r="E654" s="149" t="s">
        <v>162</v>
      </c>
      <c r="F654" s="148" t="s">
        <v>129</v>
      </c>
      <c r="G654" s="111"/>
      <c r="H654" s="138"/>
      <c r="I654" s="113" t="s">
        <v>2787</v>
      </c>
    </row>
    <row r="655">
      <c r="A655" s="381"/>
      <c r="B655" s="381"/>
      <c r="C655" s="366"/>
      <c r="D655" s="356" t="s">
        <v>3725</v>
      </c>
      <c r="E655" s="391"/>
      <c r="F655" s="381"/>
      <c r="G655" s="381"/>
      <c r="H655" s="358"/>
      <c r="I655" s="391"/>
    </row>
    <row r="656">
      <c r="A656" s="110">
        <v>41740.0</v>
      </c>
      <c r="B656" s="111"/>
      <c r="C656" s="135" t="str">
        <f>HYPERLINK("http://phish.net/sideshows/trey-anastasio-band/?showid=1397275645", "setlist")</f>
        <v>setlist</v>
      </c>
      <c r="D656" s="183" t="s">
        <v>3049</v>
      </c>
      <c r="E656" s="183" t="s">
        <v>3050</v>
      </c>
      <c r="F656" s="114" t="s">
        <v>1133</v>
      </c>
      <c r="G656" s="111"/>
      <c r="H656" s="184"/>
      <c r="I656" s="183" t="s">
        <v>3670</v>
      </c>
    </row>
    <row r="657">
      <c r="A657" s="381"/>
      <c r="B657" s="381"/>
      <c r="C657" s="366"/>
      <c r="D657" s="356" t="s">
        <v>4011</v>
      </c>
      <c r="E657" s="391"/>
      <c r="F657" s="381"/>
      <c r="G657" s="381"/>
      <c r="H657" s="358"/>
      <c r="I657" s="391"/>
    </row>
    <row r="658">
      <c r="A658" s="110">
        <v>41760.0</v>
      </c>
      <c r="B658" s="111"/>
      <c r="C658" s="135" t="str">
        <f>HYPERLINK("http://phish.net/sideshows/trey-anastasio-band/?d=2014-05-01", "setlist")</f>
        <v>setlist</v>
      </c>
      <c r="D658" s="183" t="s">
        <v>4012</v>
      </c>
      <c r="E658" s="183" t="s">
        <v>162</v>
      </c>
      <c r="F658" s="114" t="s">
        <v>129</v>
      </c>
      <c r="G658" s="114" t="s">
        <v>36</v>
      </c>
      <c r="H658" s="135" t="str">
        <f>HYPERLINK("http://www.mediafire.com/download/b4s2cfkh1ufkc94/2014-05-01_-_The_Iridium_-_New_York,_NY.rar","download link")</f>
        <v>download link</v>
      </c>
      <c r="I658" s="183" t="s">
        <v>4013</v>
      </c>
    </row>
    <row r="659">
      <c r="A659" s="381"/>
      <c r="B659" s="381"/>
      <c r="C659" s="366"/>
      <c r="D659" s="356" t="s">
        <v>4014</v>
      </c>
      <c r="E659" s="391"/>
      <c r="F659" s="381"/>
      <c r="G659" s="381"/>
      <c r="H659" s="358"/>
      <c r="I659" s="391"/>
    </row>
    <row r="660">
      <c r="A660" s="110">
        <v>41790.0</v>
      </c>
      <c r="B660" s="111"/>
      <c r="C660" s="135" t="str">
        <f>HYPERLINK("http://phish.net/sideshows/mike-gordon/?d=2014-05-31", "setlist")</f>
        <v>setlist</v>
      </c>
      <c r="D660" s="183" t="s">
        <v>3992</v>
      </c>
      <c r="E660" s="183" t="s">
        <v>34</v>
      </c>
      <c r="F660" s="114" t="s">
        <v>35</v>
      </c>
      <c r="G660" s="114" t="s">
        <v>36</v>
      </c>
      <c r="H660" s="135" t="str">
        <f>HYPERLINK("http://www.mediafire.com/download/hce0833oedto78g/2014-05-31_-_Radio_Bean_-_Burlington,_VT.rar","download link")</f>
        <v>download link</v>
      </c>
      <c r="I660" s="183" t="s">
        <v>2920</v>
      </c>
    </row>
    <row r="661">
      <c r="A661" s="381"/>
      <c r="B661" s="381"/>
      <c r="C661" s="366"/>
      <c r="D661" s="356" t="s">
        <v>3814</v>
      </c>
      <c r="E661" s="391"/>
      <c r="F661" s="381"/>
      <c r="G661" s="381"/>
      <c r="H661" s="358"/>
      <c r="I661" s="391"/>
    </row>
    <row r="662">
      <c r="A662" s="110">
        <v>41844.0</v>
      </c>
      <c r="B662" s="111"/>
      <c r="C662" s="135" t="str">
        <f>HYPERLINK("http://phish.net/sideshows/mike-gordon/?d=2014-07-24", "setlist")</f>
        <v>setlist</v>
      </c>
      <c r="D662" s="183" t="s">
        <v>4015</v>
      </c>
      <c r="E662" s="183" t="s">
        <v>541</v>
      </c>
      <c r="F662" s="114" t="s">
        <v>443</v>
      </c>
      <c r="G662" s="114" t="s">
        <v>36</v>
      </c>
      <c r="H662" s="135" t="str">
        <f>HYPERLINK("http://www.mediafire.com/download/685axu5guo11nug/2014-07-24_-_Uptown_Amphitheatre_-_Charlotte,_NC.rar","download link")</f>
        <v>download link</v>
      </c>
      <c r="I662" s="183" t="s">
        <v>2787</v>
      </c>
    </row>
    <row r="663">
      <c r="A663" s="350"/>
      <c r="B663" s="351"/>
      <c r="C663" s="396"/>
      <c r="D663" s="356" t="s">
        <v>4016</v>
      </c>
      <c r="E663" s="350"/>
      <c r="F663" s="351"/>
      <c r="G663" s="351"/>
      <c r="H663" s="351"/>
      <c r="I663" s="350"/>
    </row>
    <row r="664">
      <c r="A664" s="110">
        <v>41879.0</v>
      </c>
      <c r="B664" s="111"/>
      <c r="C664" s="135" t="str">
        <f>HYPERLINK("http://phish.net/sideshows/mike-gordon/?d=2014-08-28","setlist")</f>
        <v>setlist</v>
      </c>
      <c r="D664" s="183" t="s">
        <v>3483</v>
      </c>
      <c r="E664" s="183" t="s">
        <v>499</v>
      </c>
      <c r="F664" s="114" t="s">
        <v>203</v>
      </c>
      <c r="G664" s="111"/>
      <c r="H664" s="111"/>
      <c r="I664" s="183" t="s">
        <v>2998</v>
      </c>
    </row>
    <row r="665">
      <c r="A665" s="381"/>
      <c r="B665" s="381"/>
      <c r="C665" s="366"/>
      <c r="D665" s="356" t="s">
        <v>3717</v>
      </c>
      <c r="E665" s="391"/>
      <c r="F665" s="381"/>
      <c r="G665" s="381"/>
      <c r="H665" s="358"/>
      <c r="I665" s="391"/>
    </row>
    <row r="666">
      <c r="A666" s="110">
        <v>41882.0</v>
      </c>
      <c r="B666" s="111"/>
      <c r="C666" s="135" t="str">
        <f>HYPERLINK("http://phish.net/sideshows/mike-gordon/?d=2014-08-31", "setlist")</f>
        <v>setlist</v>
      </c>
      <c r="D666" s="183" t="s">
        <v>4017</v>
      </c>
      <c r="E666" s="183" t="s">
        <v>499</v>
      </c>
      <c r="F666" s="114" t="s">
        <v>203</v>
      </c>
      <c r="G666" s="114" t="s">
        <v>36</v>
      </c>
      <c r="H666" s="135" t="str">
        <f>HYPERLINK("http://www.mediafire.com/download/d5na8npg3igo1s1/2014-08-31_-_Cervantes_Masterpiece_Ballroom_-_Denver,_CO.rar","download link")</f>
        <v>download link</v>
      </c>
      <c r="I666" s="183" t="s">
        <v>4018</v>
      </c>
    </row>
    <row r="667">
      <c r="A667" s="381"/>
      <c r="B667" s="381"/>
      <c r="C667" s="366"/>
      <c r="D667" s="356" t="s">
        <v>4019</v>
      </c>
      <c r="E667" s="391"/>
      <c r="F667" s="381"/>
      <c r="G667" s="381"/>
      <c r="H667" s="358"/>
      <c r="I667" s="391"/>
    </row>
    <row r="668">
      <c r="A668" s="110">
        <v>41938.0</v>
      </c>
      <c r="B668" s="111"/>
      <c r="C668" s="135" t="str">
        <f>HYPERLINK("http://phish.net/sideshows/mike-gordon/?showid=1414252647", "setlist")</f>
        <v>setlist</v>
      </c>
      <c r="D668" s="183" t="s">
        <v>3998</v>
      </c>
      <c r="E668" s="183" t="s">
        <v>2832</v>
      </c>
      <c r="F668" s="114" t="s">
        <v>679</v>
      </c>
      <c r="G668" s="111"/>
      <c r="H668" s="138"/>
      <c r="I668" s="183" t="s">
        <v>3712</v>
      </c>
    </row>
    <row r="669">
      <c r="A669" s="381"/>
      <c r="B669" s="381"/>
      <c r="C669" s="366"/>
      <c r="D669" s="383" t="s">
        <v>4020</v>
      </c>
      <c r="E669" s="391"/>
      <c r="F669" s="381"/>
      <c r="G669" s="381"/>
      <c r="H669" s="358"/>
      <c r="I669" s="391"/>
    </row>
    <row r="670">
      <c r="A670" s="110">
        <v>42068.0</v>
      </c>
      <c r="B670" s="111"/>
      <c r="C670" s="135" t="str">
        <f>HYPERLINK("http://phish.net/sideshows/jon-fishman/?d=2015-03-05", "setlist")</f>
        <v>setlist</v>
      </c>
      <c r="D670" s="269" t="s">
        <v>4021</v>
      </c>
      <c r="E670" s="269" t="s">
        <v>311</v>
      </c>
      <c r="F670" s="139" t="s">
        <v>129</v>
      </c>
      <c r="G670" s="111"/>
      <c r="H670" s="138"/>
      <c r="I670" s="269" t="s">
        <v>3791</v>
      </c>
    </row>
    <row r="671">
      <c r="A671" s="381"/>
      <c r="B671" s="381"/>
      <c r="C671" s="366"/>
      <c r="D671" s="356" t="s">
        <v>4022</v>
      </c>
      <c r="E671" s="391"/>
      <c r="F671" s="381"/>
      <c r="G671" s="381"/>
      <c r="H671" s="358"/>
      <c r="I671" s="391"/>
    </row>
    <row r="672">
      <c r="A672" s="110">
        <v>42125.0</v>
      </c>
      <c r="B672" s="111"/>
      <c r="C672" s="135" t="str">
        <f>HYPERLINK("http://phish.net/sideshows/trey-anastasio-band/?d=2015-05-01", "setlist")</f>
        <v>setlist</v>
      </c>
      <c r="D672" s="183" t="s">
        <v>3998</v>
      </c>
      <c r="E672" s="183" t="s">
        <v>2832</v>
      </c>
      <c r="F672" s="114" t="s">
        <v>679</v>
      </c>
      <c r="G672" s="114" t="s">
        <v>4023</v>
      </c>
      <c r="H672" s="135" t="str">
        <f>HYPERLINK("http://www.mediafire.com/download/fjaugkw0lhcx9lh/2015-05-01_-_Terrapin_Crossroads_-_San_Rafael,_CA.rar","download link")</f>
        <v>download link</v>
      </c>
      <c r="I672" s="183" t="s">
        <v>3670</v>
      </c>
    </row>
    <row r="673">
      <c r="A673" s="381"/>
      <c r="B673" s="381"/>
      <c r="C673" s="366"/>
      <c r="D673" s="383" t="s">
        <v>4024</v>
      </c>
      <c r="E673" s="391"/>
      <c r="F673" s="381"/>
      <c r="G673" s="381"/>
      <c r="H673" s="358"/>
      <c r="I673" s="391"/>
    </row>
    <row r="674">
      <c r="A674" s="110">
        <v>42258.0</v>
      </c>
      <c r="B674" s="111"/>
      <c r="C674" s="135" t="str">
        <f>HYPERLINK("http://phish.net/sideshows/mike-gordon/?d=2015-09-11", "setlist")</f>
        <v>setlist</v>
      </c>
      <c r="D674" s="269" t="s">
        <v>4025</v>
      </c>
      <c r="E674" s="269" t="s">
        <v>34</v>
      </c>
      <c r="F674" s="139" t="s">
        <v>35</v>
      </c>
      <c r="G674" s="114"/>
      <c r="H674" s="270"/>
      <c r="I674" s="269" t="s">
        <v>2998</v>
      </c>
    </row>
    <row r="675">
      <c r="A675" s="381"/>
      <c r="B675" s="381"/>
      <c r="C675" s="366"/>
      <c r="D675" s="383" t="s">
        <v>4000</v>
      </c>
      <c r="E675" s="391"/>
      <c r="F675" s="381"/>
      <c r="G675" s="381"/>
      <c r="H675" s="358"/>
      <c r="I675" s="391"/>
    </row>
    <row r="676">
      <c r="A676" s="110">
        <v>42259.0</v>
      </c>
      <c r="B676" s="111"/>
      <c r="C676" s="135" t="str">
        <f>HYPERLINK("http://phish.net/sideshows/mike-gordon/?d=2015-09-12", "setlist")</f>
        <v>setlist</v>
      </c>
      <c r="D676" s="269" t="s">
        <v>3116</v>
      </c>
      <c r="E676" s="269" t="s">
        <v>34</v>
      </c>
      <c r="F676" s="139" t="s">
        <v>35</v>
      </c>
      <c r="G676" s="114"/>
      <c r="H676" s="270"/>
      <c r="I676" s="269" t="s">
        <v>2998</v>
      </c>
    </row>
    <row r="677">
      <c r="A677" s="381"/>
      <c r="B677" s="381"/>
      <c r="C677" s="366"/>
      <c r="D677" s="383" t="s">
        <v>4026</v>
      </c>
      <c r="E677" s="391"/>
      <c r="F677" s="381"/>
      <c r="G677" s="381"/>
      <c r="H677" s="358"/>
      <c r="I677" s="391"/>
    </row>
    <row r="678">
      <c r="A678" s="110">
        <v>42408.0</v>
      </c>
      <c r="B678" s="111"/>
      <c r="C678" s="399" t="str">
        <f>HYPERLINK("http://phish.net/sideshows/jon-fishman/?d=2016-02-08", "setlist")</f>
        <v>setlist</v>
      </c>
      <c r="D678" s="269" t="s">
        <v>4027</v>
      </c>
      <c r="E678" s="269" t="s">
        <v>225</v>
      </c>
      <c r="F678" s="139" t="s">
        <v>182</v>
      </c>
      <c r="G678" s="139"/>
      <c r="H678" s="270"/>
      <c r="I678" s="269" t="s">
        <v>4028</v>
      </c>
    </row>
    <row r="679">
      <c r="A679" s="381"/>
      <c r="B679" s="381"/>
      <c r="C679" s="366"/>
      <c r="D679" s="383" t="s">
        <v>4029</v>
      </c>
      <c r="E679" s="391"/>
      <c r="F679" s="381"/>
      <c r="G679" s="381"/>
      <c r="H679" s="358"/>
      <c r="I679" s="391"/>
    </row>
    <row r="680">
      <c r="A680" s="110">
        <v>42431.0</v>
      </c>
      <c r="B680" s="111"/>
      <c r="C680" s="399" t="str">
        <f>HYPERLINK("http://phish.net/sideshows/jon-fishman/?d=2016-03-02", "setlist")</f>
        <v>setlist</v>
      </c>
      <c r="D680" s="269" t="s">
        <v>1193</v>
      </c>
      <c r="E680" s="269" t="s">
        <v>279</v>
      </c>
      <c r="F680" s="139" t="s">
        <v>257</v>
      </c>
      <c r="G680" s="139"/>
      <c r="H680" s="270"/>
      <c r="I680" s="170" t="s">
        <v>4028</v>
      </c>
    </row>
    <row r="681">
      <c r="A681" s="381"/>
      <c r="B681" s="381"/>
      <c r="C681" s="366"/>
      <c r="D681" s="383" t="s">
        <v>4030</v>
      </c>
      <c r="E681" s="391"/>
      <c r="F681" s="381"/>
      <c r="G681" s="381"/>
      <c r="H681" s="358"/>
      <c r="I681" s="391"/>
    </row>
    <row r="682">
      <c r="A682" s="110">
        <v>42433.0</v>
      </c>
      <c r="B682" s="111"/>
      <c r="C682" s="399" t="str">
        <f>HYPERLINK("http://phish.net/sideshows/jon-fishman/?d=2016-03-04", "setlist")</f>
        <v>setlist</v>
      </c>
      <c r="D682" s="269" t="s">
        <v>4031</v>
      </c>
      <c r="E682" s="269" t="s">
        <v>279</v>
      </c>
      <c r="F682" s="139" t="s">
        <v>257</v>
      </c>
      <c r="G682" s="139"/>
      <c r="H682" s="270"/>
      <c r="I682" s="170" t="s">
        <v>2889</v>
      </c>
    </row>
    <row r="683">
      <c r="A683" s="381"/>
      <c r="B683" s="381"/>
      <c r="C683" s="366"/>
      <c r="D683" s="383" t="s">
        <v>4032</v>
      </c>
      <c r="E683" s="391"/>
      <c r="F683" s="381"/>
      <c r="G683" s="381"/>
      <c r="H683" s="358"/>
      <c r="I683" s="358"/>
    </row>
    <row r="684">
      <c r="A684" s="110">
        <v>42434.0</v>
      </c>
      <c r="B684" s="111"/>
      <c r="C684" s="399" t="str">
        <f>HYPERLINK("http://phish.net/sideshows/jon-fishman/?showid=1457492610", "setlist")</f>
        <v>setlist</v>
      </c>
      <c r="D684" s="269" t="s">
        <v>4033</v>
      </c>
      <c r="E684" s="269" t="s">
        <v>259</v>
      </c>
      <c r="F684" s="139" t="s">
        <v>257</v>
      </c>
      <c r="G684" s="139"/>
      <c r="H684" s="270"/>
      <c r="I684" s="170" t="s">
        <v>4028</v>
      </c>
    </row>
    <row r="685">
      <c r="A685" s="381"/>
      <c r="B685" s="381"/>
      <c r="C685" s="366"/>
      <c r="D685" s="383" t="s">
        <v>4034</v>
      </c>
      <c r="E685" s="391"/>
      <c r="F685" s="381"/>
      <c r="G685" s="381"/>
      <c r="H685" s="358"/>
      <c r="I685" s="391"/>
    </row>
    <row r="686">
      <c r="A686" s="110">
        <v>42478.0</v>
      </c>
      <c r="B686" s="111"/>
      <c r="C686" s="399" t="str">
        <f>HYPERLINK("http://phish.net/sideshows/jon-fishman/?d=2016-04-18", "setlist")</f>
        <v>setlist</v>
      </c>
      <c r="D686" s="269" t="s">
        <v>4035</v>
      </c>
      <c r="E686" s="269" t="s">
        <v>2294</v>
      </c>
      <c r="F686" s="139" t="s">
        <v>129</v>
      </c>
      <c r="G686" s="139"/>
      <c r="H686" s="270"/>
      <c r="I686" s="170" t="s">
        <v>4036</v>
      </c>
    </row>
    <row r="687">
      <c r="A687" s="381"/>
      <c r="B687" s="381"/>
      <c r="C687" s="366"/>
      <c r="D687" s="383" t="s">
        <v>3494</v>
      </c>
      <c r="E687" s="391"/>
      <c r="F687" s="381"/>
      <c r="G687" s="381"/>
      <c r="H687" s="358"/>
      <c r="I687" s="391"/>
    </row>
    <row r="688">
      <c r="A688" s="110">
        <v>42568.0</v>
      </c>
      <c r="B688" s="111"/>
      <c r="C688" s="135" t="str">
        <f>HYPERLINK("http://phish.net/sideshows/mike-gordon/?d=2016-07-17", "setlist")</f>
        <v>setlist</v>
      </c>
      <c r="D688" s="269" t="s">
        <v>4037</v>
      </c>
      <c r="E688" s="183" t="s">
        <v>2832</v>
      </c>
      <c r="F688" s="114" t="s">
        <v>679</v>
      </c>
      <c r="G688" s="139" t="s">
        <v>36</v>
      </c>
      <c r="H688" s="135" t="str">
        <f>HYPERLINK("http://www.mediafire.com/download/tk2ye7bm95y931c/2016-07-17_-_Terrapin_Crossroads_Backyard_-_San_Rafael%2C_CA.rar","download link")</f>
        <v>download link</v>
      </c>
      <c r="I688" s="269" t="s">
        <v>3712</v>
      </c>
    </row>
    <row r="689">
      <c r="A689" s="381"/>
      <c r="B689" s="381"/>
      <c r="C689" s="366"/>
      <c r="D689" s="383" t="s">
        <v>4038</v>
      </c>
      <c r="E689" s="391"/>
      <c r="F689" s="381"/>
      <c r="G689" s="381"/>
      <c r="H689" s="358"/>
      <c r="I689" s="391"/>
    </row>
    <row r="690">
      <c r="A690" s="110">
        <v>42581.0</v>
      </c>
      <c r="B690" s="111"/>
      <c r="C690" s="135" t="str">
        <f>HYPERLINK("http://phish.net/sideshows/page-mcconnell/?d=2016-07-30", "setlist")</f>
        <v>setlist</v>
      </c>
      <c r="D690" s="269" t="s">
        <v>3116</v>
      </c>
      <c r="E690" s="269" t="s">
        <v>34</v>
      </c>
      <c r="F690" s="139" t="s">
        <v>35</v>
      </c>
      <c r="G690" s="139"/>
      <c r="H690" s="270"/>
      <c r="I690" s="269" t="s">
        <v>2812</v>
      </c>
    </row>
    <row r="691">
      <c r="A691" s="381"/>
      <c r="B691" s="381"/>
      <c r="C691" s="366"/>
      <c r="D691" s="383" t="s">
        <v>4039</v>
      </c>
      <c r="E691" s="391"/>
      <c r="F691" s="381"/>
      <c r="G691" s="381"/>
      <c r="H691" s="358"/>
      <c r="I691" s="391"/>
    </row>
    <row r="692">
      <c r="A692" s="110">
        <v>42601.0</v>
      </c>
      <c r="B692" s="111"/>
      <c r="C692" s="135" t="str">
        <f>HYPERLINK("http://phish.net/sideshows/page-mcconnell/?d=2016-08-19", "setlist")</f>
        <v>setlist</v>
      </c>
      <c r="D692" s="269" t="s">
        <v>54</v>
      </c>
      <c r="E692" s="269" t="s">
        <v>34</v>
      </c>
      <c r="F692" s="139" t="s">
        <v>35</v>
      </c>
      <c r="G692" s="139"/>
      <c r="H692" s="270"/>
      <c r="I692" s="269" t="s">
        <v>2885</v>
      </c>
    </row>
    <row r="693">
      <c r="A693" s="381"/>
      <c r="B693" s="381"/>
      <c r="C693" s="366"/>
      <c r="D693" s="383" t="s">
        <v>4040</v>
      </c>
      <c r="E693" s="391"/>
      <c r="F693" s="381"/>
      <c r="G693" s="381"/>
      <c r="H693" s="358"/>
      <c r="I693" s="391"/>
    </row>
    <row r="694">
      <c r="A694" s="110">
        <v>42609.0</v>
      </c>
      <c r="B694" s="111"/>
      <c r="C694" s="135" t="str">
        <f>HYPERLINK("http://phish.net/setlists/mike-gordon-july-27-2016-oak-ridge-farm-arrington-va-usa-2.html", "setlist")</f>
        <v>setlist</v>
      </c>
      <c r="D694" s="269" t="s">
        <v>2626</v>
      </c>
      <c r="E694" s="269" t="s">
        <v>2627</v>
      </c>
      <c r="F694" s="139" t="s">
        <v>446</v>
      </c>
      <c r="G694" s="139"/>
      <c r="H694" s="270"/>
      <c r="I694" s="269" t="s">
        <v>4041</v>
      </c>
    </row>
    <row r="695">
      <c r="A695" s="381"/>
      <c r="B695" s="381"/>
      <c r="C695" s="366"/>
      <c r="D695" s="383" t="s">
        <v>4042</v>
      </c>
      <c r="E695" s="391"/>
      <c r="F695" s="381"/>
      <c r="G695" s="381"/>
      <c r="H695" s="358"/>
      <c r="I695" s="391"/>
    </row>
    <row r="696">
      <c r="A696" s="110">
        <v>43022.0</v>
      </c>
      <c r="B696" s="111"/>
      <c r="C696" s="135" t="str">
        <f>HYPERLINK("http://phish.net/setlists/mike-gordon-july-27-2016-oak-ridge-farm-arrington-va-usa-2.html", "setlist")</f>
        <v>setlist</v>
      </c>
      <c r="D696" s="269" t="s">
        <v>1330</v>
      </c>
      <c r="E696" s="269" t="s">
        <v>162</v>
      </c>
      <c r="F696" s="139" t="s">
        <v>129</v>
      </c>
      <c r="G696" s="139" t="s">
        <v>36</v>
      </c>
      <c r="H696" s="135" t="str">
        <f>HYPERLINK("http://www.mediafire.com/file/9r6ubawsa5x08g0/2017-10-14_-_Beacon_Theatre_-_New_York%2C_NY.rar","download link")</f>
        <v>download link</v>
      </c>
      <c r="I696" s="269" t="s">
        <v>3670</v>
      </c>
    </row>
    <row r="697">
      <c r="A697" s="381"/>
      <c r="B697" s="381"/>
      <c r="C697" s="366"/>
      <c r="D697" s="383" t="s">
        <v>3931</v>
      </c>
      <c r="E697" s="391"/>
      <c r="F697" s="381"/>
      <c r="G697" s="381"/>
      <c r="H697" s="358"/>
      <c r="I697" s="391"/>
    </row>
    <row r="698">
      <c r="A698" s="110">
        <v>43035.0</v>
      </c>
      <c r="B698" s="111"/>
      <c r="C698" s="135" t="str">
        <f>HYPERLINK("http://phish.net/setlists/mike-gordon-october-27-2017-spirit-of-the-suwannee-music-park-live-oak-fl-usa-2.html", "setlist")</f>
        <v>setlist</v>
      </c>
      <c r="D698" s="269" t="s">
        <v>3049</v>
      </c>
      <c r="E698" s="269" t="s">
        <v>3050</v>
      </c>
      <c r="F698" s="139" t="s">
        <v>1133</v>
      </c>
      <c r="G698" s="139"/>
      <c r="H698" s="270"/>
      <c r="I698" s="269" t="s">
        <v>2998</v>
      </c>
    </row>
    <row r="699">
      <c r="A699" s="381"/>
      <c r="B699" s="381"/>
      <c r="C699" s="366"/>
      <c r="D699" s="383" t="s">
        <v>3988</v>
      </c>
      <c r="E699" s="391"/>
      <c r="F699" s="381"/>
      <c r="G699" s="381"/>
      <c r="H699" s="358"/>
      <c r="I699" s="391"/>
    </row>
    <row r="700">
      <c r="A700" s="110">
        <v>43078.0</v>
      </c>
      <c r="B700" s="111"/>
      <c r="C700" s="135" t="str">
        <f>HYPERLINK("http://phish.net/setlists/trey-anastasio-december-09-2017-us-cellular-center-asheville-nc-usa-2.html", "setlist")</f>
        <v>setlist</v>
      </c>
      <c r="D700" s="269" t="s">
        <v>3123</v>
      </c>
      <c r="E700" s="269" t="s">
        <v>2327</v>
      </c>
      <c r="F700" s="139" t="s">
        <v>443</v>
      </c>
      <c r="G700" s="139" t="s">
        <v>36</v>
      </c>
      <c r="H700" s="135" t="str">
        <f>HYPERLINK("http://www.mediafire.com/file/v85d9kkt002th9v/2017-12-09_-_U.S._Cellular_Arena_-_Asheville%2C_NC.rar","download link")</f>
        <v>download link</v>
      </c>
      <c r="I700" s="269" t="s">
        <v>3670</v>
      </c>
    </row>
    <row r="701">
      <c r="A701" s="350"/>
      <c r="B701" s="354"/>
      <c r="C701" s="352"/>
      <c r="D701" s="370" t="s">
        <v>4043</v>
      </c>
      <c r="E701" s="355"/>
      <c r="F701" s="354"/>
      <c r="G701" s="354"/>
      <c r="H701" s="351"/>
      <c r="I701" s="355"/>
    </row>
    <row r="702">
      <c r="A702" s="150">
        <v>43106.0</v>
      </c>
      <c r="B702" s="156"/>
      <c r="C702" s="116" t="str">
        <f>HYPERLINK("http://phish.net/sideshows/trey-anastasio-band/?d="&amp;RIGHT(TEXT(A673,"mm/dd/yyyy"),4)&amp;"-"&amp;LEFT(TEXT(A673,"mm/dd/yyyy"),2)&amp;"-"&amp;MID(TEXT(A673,"mm/dd/yyyy"),4,2), "setlist")</f>
        <v>setlist</v>
      </c>
      <c r="D702" s="152" t="s">
        <v>2157</v>
      </c>
      <c r="E702" s="152" t="s">
        <v>162</v>
      </c>
      <c r="F702" s="196" t="s">
        <v>129</v>
      </c>
      <c r="G702" s="196"/>
      <c r="H702" s="197"/>
      <c r="I702" s="152" t="s">
        <v>3708</v>
      </c>
    </row>
    <row r="703">
      <c r="A703" s="350"/>
      <c r="B703" s="354"/>
      <c r="C703" s="352"/>
      <c r="D703" s="370" t="s">
        <v>4044</v>
      </c>
      <c r="E703" s="355"/>
      <c r="F703" s="354"/>
      <c r="G703" s="354"/>
      <c r="H703" s="351"/>
      <c r="I703" s="355"/>
    </row>
    <row r="704">
      <c r="A704" s="150">
        <v>43162.0</v>
      </c>
      <c r="B704" s="156"/>
      <c r="C704" s="116" t="str">
        <f>HYPERLINK("http://phish.net/sideshows/trey-anastasio-band/?d="&amp;RIGHT(TEXT(A675,"mm/dd/yyyy"),4)&amp;"-"&amp;LEFT(TEXT(A675,"mm/dd/yyyy"),2)&amp;"-"&amp;MID(TEXT(A675,"mm/dd/yyyy"),4,2), "setlist")</f>
        <v>setlist</v>
      </c>
      <c r="D704" s="152" t="s">
        <v>2157</v>
      </c>
      <c r="E704" s="152" t="s">
        <v>162</v>
      </c>
      <c r="F704" s="196" t="s">
        <v>129</v>
      </c>
      <c r="G704" s="196" t="s">
        <v>36</v>
      </c>
      <c r="H704" s="116" t="str">
        <f>HYPERLINK("http://www.mediafire.com/file/79b8dpv2758jr1j/2018-03-03_-_Radio_City_Music_Hall_-_New_York%2C_NY.rar","download link")</f>
        <v>download link</v>
      </c>
      <c r="I704" s="152" t="s">
        <v>4045</v>
      </c>
    </row>
    <row r="705">
      <c r="A705" s="350"/>
      <c r="B705" s="354"/>
      <c r="C705" s="352"/>
      <c r="D705" s="370" t="s">
        <v>4011</v>
      </c>
      <c r="E705" s="355"/>
      <c r="F705" s="354"/>
      <c r="G705" s="354"/>
      <c r="H705" s="351"/>
      <c r="I705" s="355"/>
    </row>
    <row r="706">
      <c r="A706" s="150">
        <v>43475.0</v>
      </c>
      <c r="B706" s="156"/>
      <c r="C706" s="116" t="str">
        <f>HYPERLINK("http://phish.net/setlists/trey-anastasio-january-11-2019-leonard-nimoy-thalia-at-symphony-space-new-york-ny-usa.html", "setlist")</f>
        <v>setlist</v>
      </c>
      <c r="D706" s="152" t="s">
        <v>4046</v>
      </c>
      <c r="E706" s="152" t="s">
        <v>162</v>
      </c>
      <c r="F706" s="196" t="s">
        <v>129</v>
      </c>
      <c r="G706" s="196" t="s">
        <v>36</v>
      </c>
      <c r="H706" s="116" t="str">
        <f>HYPERLINK("http://www.mediafire.com/file/wd50miowczhdoey/2019-01-10_-_Leonard_Nimoy_Thalia_at_Symphony_Space_-_New_York%252C_NY.rar/file","download link")</f>
        <v>download link</v>
      </c>
      <c r="I706" s="152" t="s">
        <v>3699</v>
      </c>
    </row>
    <row r="707">
      <c r="A707" s="350"/>
      <c r="B707" s="354"/>
      <c r="C707" s="352"/>
      <c r="D707" s="370" t="s">
        <v>4042</v>
      </c>
      <c r="E707" s="355"/>
      <c r="F707" s="354"/>
      <c r="G707" s="354"/>
      <c r="H707" s="351"/>
      <c r="I707" s="355"/>
    </row>
    <row r="708">
      <c r="A708" s="150">
        <v>43701.0</v>
      </c>
      <c r="B708" s="156"/>
      <c r="C708" s="116" t="str">
        <f>HYPERLINK("http://phish.net/sideshows/trey-anastasio-band/?d="&amp;RIGHT(TEXT(A647,"mm/dd/yyyy"),4)&amp;"-"&amp;LEFT(TEXT(A647,"mm/dd/yyyy"),2)&amp;"-"&amp;MID(TEXT(A647,"mm/dd/yyyy"),4,2), "setlist")</f>
        <v>setlist</v>
      </c>
      <c r="D708" s="152" t="s">
        <v>2626</v>
      </c>
      <c r="E708" s="152" t="s">
        <v>2627</v>
      </c>
      <c r="F708" s="196" t="s">
        <v>446</v>
      </c>
      <c r="G708" s="196" t="s">
        <v>36</v>
      </c>
      <c r="H708" s="116" t="str">
        <f>HYPERLINK("http://www.mediafire.com/file/9qb7n219g19o6nx/2019-08-24_-_Oak_Ridge_Farm_-_Arrington%252C_VA.rar/file", "download link")</f>
        <v>download link</v>
      </c>
      <c r="I708" s="152" t="s">
        <v>4047</v>
      </c>
    </row>
    <row r="709">
      <c r="A709" s="350"/>
      <c r="B709" s="354"/>
      <c r="C709" s="352"/>
      <c r="D709" s="370" t="s">
        <v>3719</v>
      </c>
      <c r="E709" s="355"/>
      <c r="F709" s="354"/>
      <c r="G709" s="354"/>
      <c r="H709" s="351"/>
      <c r="I709" s="355"/>
    </row>
    <row r="710">
      <c r="A710" s="150">
        <v>44365.0</v>
      </c>
      <c r="B710" s="156"/>
      <c r="C710" s="116" t="str">
        <f>HYPERLINK("http://phish.net/sideshows/trey-anastasio-band/?d="&amp;RIGHT(TEXT(A649,"mm/dd/yyyy"),4)&amp;"-"&amp;LEFT(TEXT(A649,"mm/dd/yyyy"),2)&amp;"-"&amp;MID(TEXT(A649,"mm/dd/yyyy"),4,2), "setlist")</f>
        <v>setlist</v>
      </c>
      <c r="D710" s="152" t="s">
        <v>4048</v>
      </c>
      <c r="E710" s="152" t="s">
        <v>34</v>
      </c>
      <c r="F710" s="196" t="s">
        <v>35</v>
      </c>
      <c r="G710" s="196" t="s">
        <v>36</v>
      </c>
      <c r="H710" s="116" t="str">
        <f>HYPERLINK("https://www.mediafire.com/file/ofzlhtxtqx9afv0/2021-06-18_-_Backside_405_-_Burlington%252C_VT.rar/file", "download link")</f>
        <v>download link</v>
      </c>
      <c r="I710" s="152" t="s">
        <v>2787</v>
      </c>
    </row>
    <row r="711">
      <c r="A711" s="350"/>
      <c r="B711" s="354"/>
      <c r="C711" s="352"/>
      <c r="D711" s="370" t="s">
        <v>4049</v>
      </c>
      <c r="E711" s="355"/>
      <c r="F711" s="354"/>
      <c r="G711" s="354"/>
      <c r="H711" s="351"/>
      <c r="I711" s="355"/>
    </row>
    <row r="712">
      <c r="A712" s="150">
        <v>44372.0</v>
      </c>
      <c r="B712" s="156"/>
      <c r="C712" s="116" t="str">
        <f>HYPERLINK("http://phish.net/sideshows/trey-anastasio-band/?d="&amp;RIGHT(TEXT(A651,"mm/dd/yyyy"),4)&amp;"-"&amp;LEFT(TEXT(A651,"mm/dd/yyyy"),2)&amp;"-"&amp;MID(TEXT(A651,"mm/dd/yyyy"),4,2), "setlist")</f>
        <v>setlist</v>
      </c>
      <c r="D712" s="152" t="s">
        <v>4048</v>
      </c>
      <c r="E712" s="152" t="s">
        <v>34</v>
      </c>
      <c r="F712" s="196" t="s">
        <v>35</v>
      </c>
      <c r="G712" s="196"/>
      <c r="H712" s="197"/>
      <c r="I712" s="152" t="s">
        <v>2787</v>
      </c>
    </row>
    <row r="713">
      <c r="A713" s="350"/>
      <c r="B713" s="354"/>
      <c r="C713" s="352"/>
      <c r="D713" s="370" t="s">
        <v>4050</v>
      </c>
      <c r="E713" s="355"/>
      <c r="F713" s="354"/>
      <c r="G713" s="354"/>
      <c r="H713" s="351"/>
      <c r="I713" s="355"/>
    </row>
    <row r="714">
      <c r="A714" s="150">
        <v>44380.0</v>
      </c>
      <c r="B714" s="156"/>
      <c r="C714" s="116" t="str">
        <f>HYPERLINK("http://phish.net/sideshows/trey-anastasio-band/?d="&amp;RIGHT(TEXT(A651,"mm/dd/yyyy"),4)&amp;"-"&amp;LEFT(TEXT(A651,"mm/dd/yyyy"),2)&amp;"-"&amp;MID(TEXT(A651,"mm/dd/yyyy"),4,2), "setlist")</f>
        <v>setlist</v>
      </c>
      <c r="D714" s="152" t="s">
        <v>3157</v>
      </c>
      <c r="E714" s="152" t="s">
        <v>2976</v>
      </c>
      <c r="F714" s="196" t="s">
        <v>212</v>
      </c>
      <c r="G714" s="196" t="s">
        <v>36</v>
      </c>
      <c r="H714" s="116" t="str">
        <f>HYPERLINK("https://www.mediafire.com/file/qruxun47pps5ib5/2021-07-03_-_Montage_Mountain_-_Scranton%252C_PA.rar/file", "download link")</f>
        <v>download link</v>
      </c>
      <c r="I714" s="152" t="s">
        <v>4051</v>
      </c>
    </row>
    <row r="715">
      <c r="A715" s="350"/>
      <c r="B715" s="354"/>
      <c r="C715" s="352"/>
      <c r="D715" s="370" t="s">
        <v>4052</v>
      </c>
      <c r="E715" s="355"/>
      <c r="F715" s="354"/>
      <c r="G715" s="354"/>
      <c r="H715" s="351"/>
      <c r="I715" s="355"/>
    </row>
    <row r="716">
      <c r="A716" s="150">
        <v>44737.0</v>
      </c>
      <c r="B716" s="156"/>
      <c r="C716" s="116" t="str">
        <f>HYPERLINK("http://phish.net/sideshows/trey-anastasio-band/?d="&amp;RIGHT(TEXT(A653,"mm/dd/yyyy"),4)&amp;"-"&amp;LEFT(TEXT(A653,"mm/dd/yyyy"),2)&amp;"-"&amp;MID(TEXT(A653,"mm/dd/yyyy"),4,2), "setlist")</f>
        <v>setlist</v>
      </c>
      <c r="D716" s="152" t="s">
        <v>2157</v>
      </c>
      <c r="E716" s="152" t="s">
        <v>162</v>
      </c>
      <c r="F716" s="196" t="s">
        <v>129</v>
      </c>
      <c r="G716" s="196" t="s">
        <v>36</v>
      </c>
      <c r="H716" s="116" t="str">
        <f>HYPERLINK("https://www.mediafire.com/file/hdr44r3vzljynti/2022-06-25_-_Radio_City_Music_Hall_-_New_York%252C_NY.rar/file", "download link")</f>
        <v>download link</v>
      </c>
      <c r="I716" s="152" t="s">
        <v>3807</v>
      </c>
    </row>
    <row r="717">
      <c r="A717" s="350"/>
      <c r="B717" s="354"/>
      <c r="C717" s="352"/>
      <c r="D717" s="370" t="s">
        <v>4053</v>
      </c>
      <c r="E717" s="355"/>
      <c r="F717" s="354"/>
      <c r="G717" s="354"/>
      <c r="H717" s="351"/>
      <c r="I717" s="355"/>
    </row>
    <row r="718">
      <c r="A718" s="150">
        <v>44741.0</v>
      </c>
      <c r="B718" s="156"/>
      <c r="C718" s="116" t="str">
        <f>HYPERLINK("http://phish.net/sideshows/trey-anastasio-band/?d="&amp;RIGHT(TEXT(A653,"mm/dd/yyyy"),4)&amp;"-"&amp;LEFT(TEXT(A653,"mm/dd/yyyy"),2)&amp;"-"&amp;MID(TEXT(A653,"mm/dd/yyyy"),4,2), "setlist")</f>
        <v>setlist</v>
      </c>
      <c r="D718" s="152" t="s">
        <v>4054</v>
      </c>
      <c r="E718" s="152" t="s">
        <v>162</v>
      </c>
      <c r="F718" s="196" t="s">
        <v>129</v>
      </c>
      <c r="G718" s="196" t="s">
        <v>36</v>
      </c>
      <c r="H718" s="116" t="str">
        <f>HYPERLINK("https://www.mediafire.com/file/ras8eyifw25u6tt/2022-06-29_-_Pier_17_-_New_York%252C_NY.rar/file", "download link")</f>
        <v>download link</v>
      </c>
      <c r="I718" s="152" t="s">
        <v>3807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7.13"/>
  </cols>
  <sheetData>
    <row r="1">
      <c r="A1" s="77"/>
      <c r="B1" s="78"/>
      <c r="C1" s="78"/>
      <c r="D1" s="80"/>
      <c r="E1" s="80"/>
      <c r="F1" s="78"/>
      <c r="G1" s="78"/>
      <c r="H1" s="81"/>
      <c r="I1" s="82"/>
      <c r="J1" s="82"/>
    </row>
    <row r="2">
      <c r="A2" s="83" t="s">
        <v>22</v>
      </c>
      <c r="B2" s="60" t="s">
        <v>23</v>
      </c>
      <c r="C2" s="60" t="s">
        <v>24</v>
      </c>
      <c r="D2" s="56" t="s">
        <v>25</v>
      </c>
      <c r="E2" s="84" t="s">
        <v>26</v>
      </c>
      <c r="F2" s="60" t="s">
        <v>27</v>
      </c>
      <c r="G2" s="60" t="s">
        <v>28</v>
      </c>
      <c r="H2" s="60" t="s">
        <v>29</v>
      </c>
      <c r="I2" s="85" t="s">
        <v>30</v>
      </c>
      <c r="J2" s="83" t="s">
        <v>31</v>
      </c>
    </row>
    <row r="3">
      <c r="A3" s="86"/>
      <c r="B3" s="87"/>
      <c r="C3" s="88"/>
      <c r="D3" s="86"/>
      <c r="E3" s="89"/>
      <c r="F3" s="87"/>
      <c r="G3" s="87"/>
      <c r="H3" s="88"/>
      <c r="I3" s="89"/>
      <c r="J3" s="89"/>
    </row>
    <row r="4">
      <c r="A4" s="92"/>
      <c r="B4" s="93"/>
      <c r="C4" s="65"/>
      <c r="D4" s="85" t="s">
        <v>141</v>
      </c>
      <c r="E4" s="95"/>
      <c r="F4" s="93"/>
      <c r="G4" s="93"/>
      <c r="H4" s="94"/>
      <c r="I4" s="95"/>
      <c r="J4" s="95"/>
    </row>
    <row r="5">
      <c r="A5" s="125">
        <v>32169.0</v>
      </c>
      <c r="B5" s="127" t="s">
        <v>32</v>
      </c>
      <c r="C5" s="98" t="str">
        <f t="shared" ref="C5:C58" si="1">HYPERLINK("http://www.phish.net/setlists/?d="&amp;RIGHT(TEXT(A5,"mm/dd/yyyy"),4)&amp;"-"&amp;LEFT(TEXT(A5,"mm/dd/yyyy"),2)&amp;"-"&amp;MID(TEXT(A5,"mm/dd/yyyy"),4,2), "setlist")</f>
        <v>setlist</v>
      </c>
      <c r="D5" s="102" t="s">
        <v>142</v>
      </c>
      <c r="E5" s="102" t="s">
        <v>143</v>
      </c>
      <c r="F5" s="127" t="s">
        <v>35</v>
      </c>
      <c r="G5" s="127" t="s">
        <v>36</v>
      </c>
      <c r="H5" s="98" t="str">
        <f>HYPERLINK("http://www.mediafire.com/download/d91942q83dh1834/1988-01-27_-_Gallagher%27s_-_Waitsfield%2C_VT.rar", "download link")</f>
        <v>download link</v>
      </c>
      <c r="I5" s="101" t="s">
        <v>144</v>
      </c>
      <c r="J5" s="129"/>
    </row>
    <row r="6">
      <c r="A6" s="103">
        <v>32176.0</v>
      </c>
      <c r="B6" s="104"/>
      <c r="C6" s="105" t="str">
        <f t="shared" si="1"/>
        <v>setlist</v>
      </c>
      <c r="D6" s="106" t="s">
        <v>142</v>
      </c>
      <c r="E6" s="106" t="s">
        <v>143</v>
      </c>
      <c r="F6" s="107" t="s">
        <v>35</v>
      </c>
      <c r="G6" s="107" t="s">
        <v>36</v>
      </c>
      <c r="H6" s="105" t="str">
        <f>HYPERLINK("http://www.mediafire.com/download/boup7jeo0g07ua7/1988-02-03_-_Gallagher%27s_-_Waitsfield%2C_VT.rar", "download link")</f>
        <v>download link</v>
      </c>
      <c r="I6" s="134" t="s">
        <v>145</v>
      </c>
      <c r="J6" s="134" t="s">
        <v>65</v>
      </c>
    </row>
    <row r="7">
      <c r="A7" s="110">
        <v>32180.0</v>
      </c>
      <c r="B7" s="111"/>
      <c r="C7" s="135" t="str">
        <f t="shared" si="1"/>
        <v>setlist</v>
      </c>
      <c r="D7" s="113" t="s">
        <v>54</v>
      </c>
      <c r="E7" s="113" t="s">
        <v>34</v>
      </c>
      <c r="F7" s="114" t="s">
        <v>35</v>
      </c>
      <c r="G7" s="114" t="s">
        <v>36</v>
      </c>
      <c r="H7" s="135" t="str">
        <f>HYPERLINK("http://www.mediafire.com/download/p6ifnypqj9ilbvb/1988-02-07_-_Nectar%27s_-_Burlington%2C_VT.rar", "download link")</f>
        <v>download link</v>
      </c>
      <c r="I7" s="136" t="s">
        <v>146</v>
      </c>
      <c r="J7" s="80"/>
    </row>
    <row r="8">
      <c r="A8" s="130">
        <v>32181.0</v>
      </c>
      <c r="B8" s="133" t="s">
        <v>32</v>
      </c>
      <c r="C8" s="105" t="str">
        <f t="shared" si="1"/>
        <v>setlist</v>
      </c>
      <c r="D8" s="132" t="s">
        <v>54</v>
      </c>
      <c r="E8" s="132" t="s">
        <v>34</v>
      </c>
      <c r="F8" s="133" t="s">
        <v>35</v>
      </c>
      <c r="G8" s="157" t="s">
        <v>36</v>
      </c>
      <c r="H8" s="105" t="str">
        <f>HYPERLINK("http://www.mediafire.com/download/2p6n4u1nbbgvdz5/1988-02-08_-_Nectar%27s_-_Burlington%2C_VT.rar", "download link")</f>
        <v>download link</v>
      </c>
      <c r="I8" s="134" t="s">
        <v>147</v>
      </c>
      <c r="J8" s="106"/>
    </row>
    <row r="9">
      <c r="A9" s="110">
        <v>32183.0</v>
      </c>
      <c r="B9" s="111"/>
      <c r="C9" s="135" t="str">
        <f t="shared" si="1"/>
        <v>setlist</v>
      </c>
      <c r="D9" s="113" t="s">
        <v>142</v>
      </c>
      <c r="E9" s="113" t="s">
        <v>143</v>
      </c>
      <c r="F9" s="114" t="s">
        <v>35</v>
      </c>
      <c r="G9" s="111"/>
      <c r="H9" s="138"/>
      <c r="I9" s="80"/>
      <c r="J9" s="80"/>
    </row>
    <row r="10">
      <c r="A10" s="103">
        <v>32193.0</v>
      </c>
      <c r="B10" s="104"/>
      <c r="C10" s="105" t="str">
        <f t="shared" si="1"/>
        <v>setlist</v>
      </c>
      <c r="D10" s="106" t="s">
        <v>148</v>
      </c>
      <c r="E10" s="106" t="s">
        <v>149</v>
      </c>
      <c r="F10" s="107" t="s">
        <v>129</v>
      </c>
      <c r="G10" s="107" t="s">
        <v>36</v>
      </c>
      <c r="H10" s="105" t="str">
        <f>HYPERLINK("http://www.mediafire.com/download/7rlhngdyd19gn99/1988-02-20_-_St._Lawrence_University_-_Canton%2C_NY.rar", "download link")</f>
        <v>download link</v>
      </c>
      <c r="I10" s="134" t="s">
        <v>150</v>
      </c>
      <c r="J10" s="134" t="s">
        <v>151</v>
      </c>
    </row>
    <row r="11">
      <c r="A11" s="147">
        <v>32197.0</v>
      </c>
      <c r="B11" s="158"/>
      <c r="C11" s="135" t="str">
        <f t="shared" si="1"/>
        <v>setlist</v>
      </c>
      <c r="D11" s="149" t="s">
        <v>142</v>
      </c>
      <c r="E11" s="149" t="s">
        <v>143</v>
      </c>
      <c r="F11" s="148" t="s">
        <v>35</v>
      </c>
      <c r="G11" s="148" t="s">
        <v>36</v>
      </c>
      <c r="H11" s="135" t="str">
        <f>HYPERLINK("http://www.mediafire.com/download/x8vcs5h9vsxa349/1988-02-24_-_Gallagher%27s_-_Waitsfield%2C_VT.rar", "download link")</f>
        <v>download link</v>
      </c>
      <c r="I11" s="136" t="s">
        <v>152</v>
      </c>
      <c r="J11" s="113" t="s">
        <v>153</v>
      </c>
    </row>
    <row r="12">
      <c r="A12" s="130">
        <v>32199.0</v>
      </c>
      <c r="B12" s="133" t="s">
        <v>32</v>
      </c>
      <c r="C12" s="105" t="str">
        <f t="shared" si="1"/>
        <v>setlist</v>
      </c>
      <c r="D12" s="140" t="s">
        <v>154</v>
      </c>
      <c r="E12" s="132" t="s">
        <v>34</v>
      </c>
      <c r="F12" s="133" t="s">
        <v>35</v>
      </c>
      <c r="G12" s="133" t="s">
        <v>36</v>
      </c>
      <c r="H12" s="105" t="str">
        <f>HYPERLINK("http://www.mediafire.com/download/gf50vm1hs0aam5g/1988-02-26_-_Living_and_Learning_Center%2C_University_of_Vermont_-_Burlington%2C_VT.rar", "download link")</f>
        <v>download link</v>
      </c>
      <c r="I12" s="134" t="s">
        <v>155</v>
      </c>
      <c r="J12" s="106" t="s">
        <v>139</v>
      </c>
    </row>
    <row r="13">
      <c r="A13" s="110">
        <v>32211.0</v>
      </c>
      <c r="B13" s="111"/>
      <c r="C13" s="135" t="str">
        <f t="shared" si="1"/>
        <v>setlist</v>
      </c>
      <c r="D13" s="113" t="s">
        <v>142</v>
      </c>
      <c r="E13" s="113" t="s">
        <v>143</v>
      </c>
      <c r="F13" s="114" t="s">
        <v>35</v>
      </c>
      <c r="G13" s="111"/>
      <c r="H13" s="138"/>
      <c r="I13" s="80"/>
      <c r="J13" s="80"/>
    </row>
    <row r="14">
      <c r="A14" s="103">
        <v>32213.0</v>
      </c>
      <c r="B14" s="104"/>
      <c r="C14" s="105" t="str">
        <f t="shared" si="1"/>
        <v>setlist</v>
      </c>
      <c r="D14" s="134" t="s">
        <v>156</v>
      </c>
      <c r="E14" s="106" t="s">
        <v>96</v>
      </c>
      <c r="F14" s="107" t="s">
        <v>35</v>
      </c>
      <c r="G14" s="107" t="s">
        <v>36</v>
      </c>
      <c r="H14" s="105" t="str">
        <f>HYPERLINK("http://www.mediafire.com/download/c0y95iwfk4o6lqi/1988-03-11_-_The_Base_Lodge%2C_Stearns_Hall%2C_Johnson_State_College_-_Stearns%2C_VT.rar", "download link")</f>
        <v>download link</v>
      </c>
      <c r="I14" s="134" t="s">
        <v>157</v>
      </c>
      <c r="J14" s="109"/>
    </row>
    <row r="15">
      <c r="A15" s="110">
        <v>32214.0</v>
      </c>
      <c r="B15" s="114" t="s">
        <v>32</v>
      </c>
      <c r="C15" s="135" t="str">
        <f t="shared" si="1"/>
        <v>setlist</v>
      </c>
      <c r="D15" s="113" t="s">
        <v>54</v>
      </c>
      <c r="E15" s="113" t="s">
        <v>34</v>
      </c>
      <c r="F15" s="114" t="s">
        <v>35</v>
      </c>
      <c r="G15" s="114" t="s">
        <v>36</v>
      </c>
      <c r="H15" s="135" t="str">
        <f>HYPERLINK("http://www.mediafire.com/download/q97k4y5gk9h1k1d/1988-03-12_-_Nectar%27s_-_Burlington%2C_VT.rar", "download link")</f>
        <v>download link</v>
      </c>
      <c r="I15" s="136" t="s">
        <v>158</v>
      </c>
      <c r="J15" s="136" t="s">
        <v>65</v>
      </c>
    </row>
    <row r="16">
      <c r="A16" s="103">
        <v>32222.0</v>
      </c>
      <c r="B16" s="104"/>
      <c r="C16" s="105" t="str">
        <f t="shared" si="1"/>
        <v>setlist</v>
      </c>
      <c r="D16" s="106" t="s">
        <v>54</v>
      </c>
      <c r="E16" s="106" t="s">
        <v>34</v>
      </c>
      <c r="F16" s="107" t="s">
        <v>35</v>
      </c>
      <c r="G16" s="104"/>
      <c r="H16" s="108"/>
      <c r="I16" s="109"/>
      <c r="J16" s="109"/>
    </row>
    <row r="17">
      <c r="A17" s="110">
        <v>32223.0</v>
      </c>
      <c r="B17" s="111"/>
      <c r="C17" s="135" t="str">
        <f t="shared" si="1"/>
        <v>setlist</v>
      </c>
      <c r="D17" s="113" t="s">
        <v>54</v>
      </c>
      <c r="E17" s="113" t="s">
        <v>34</v>
      </c>
      <c r="F17" s="114" t="s">
        <v>35</v>
      </c>
      <c r="G17" s="114" t="s">
        <v>36</v>
      </c>
      <c r="H17" s="135" t="str">
        <f>HYPERLINK("http://www.mediafire.com/download/t9cgf3nmnfxh8b2/1988-03-21_-_Nectar%27s_-_Burlington%2C_VT.rar", "download link")</f>
        <v>download link</v>
      </c>
      <c r="I17" s="136" t="s">
        <v>159</v>
      </c>
      <c r="J17" s="113" t="s">
        <v>81</v>
      </c>
    </row>
    <row r="18">
      <c r="A18" s="103">
        <v>32224.0</v>
      </c>
      <c r="B18" s="104"/>
      <c r="C18" s="105" t="str">
        <f t="shared" si="1"/>
        <v>setlist</v>
      </c>
      <c r="D18" s="106" t="s">
        <v>54</v>
      </c>
      <c r="E18" s="106" t="s">
        <v>34</v>
      </c>
      <c r="F18" s="107" t="s">
        <v>35</v>
      </c>
      <c r="G18" s="107" t="s">
        <v>36</v>
      </c>
      <c r="H18" s="105" t="str">
        <f>HYPERLINK("http://www.mediafire.com/download/7goo15m6791osox/1988-03-22_-_Nectar%27s_-_Burlington%2C_VT.rar", "download link")</f>
        <v>download link</v>
      </c>
      <c r="I18" s="134" t="s">
        <v>160</v>
      </c>
      <c r="J18" s="134" t="s">
        <v>53</v>
      </c>
    </row>
    <row r="19">
      <c r="A19" s="142">
        <v>32233.0</v>
      </c>
      <c r="B19" s="144"/>
      <c r="C19" s="135" t="str">
        <f t="shared" si="1"/>
        <v>setlist</v>
      </c>
      <c r="D19" s="118" t="s">
        <v>161</v>
      </c>
      <c r="E19" s="118" t="s">
        <v>162</v>
      </c>
      <c r="F19" s="115" t="s">
        <v>129</v>
      </c>
      <c r="G19" s="144"/>
      <c r="H19" s="145"/>
      <c r="I19" s="146"/>
      <c r="J19" s="146"/>
    </row>
    <row r="20">
      <c r="A20" s="103">
        <v>32235.0</v>
      </c>
      <c r="B20" s="104"/>
      <c r="C20" s="105" t="str">
        <f t="shared" si="1"/>
        <v>setlist</v>
      </c>
      <c r="D20" s="134" t="s">
        <v>163</v>
      </c>
      <c r="E20" s="106" t="s">
        <v>164</v>
      </c>
      <c r="F20" s="107" t="s">
        <v>95</v>
      </c>
      <c r="G20" s="104"/>
      <c r="H20" s="108"/>
      <c r="I20" s="109"/>
      <c r="J20" s="109"/>
    </row>
    <row r="21">
      <c r="A21" s="110">
        <v>32239.0</v>
      </c>
      <c r="B21" s="111"/>
      <c r="C21" s="135" t="str">
        <f t="shared" si="1"/>
        <v>setlist</v>
      </c>
      <c r="D21" s="113" t="s">
        <v>142</v>
      </c>
      <c r="E21" s="113" t="s">
        <v>143</v>
      </c>
      <c r="F21" s="114" t="s">
        <v>35</v>
      </c>
      <c r="G21" s="111"/>
      <c r="H21" s="138"/>
      <c r="I21" s="80"/>
      <c r="J21" s="80"/>
    </row>
    <row r="22">
      <c r="A22" s="103">
        <v>32250.0</v>
      </c>
      <c r="B22" s="104"/>
      <c r="C22" s="105" t="str">
        <f t="shared" si="1"/>
        <v>setlist</v>
      </c>
      <c r="D22" s="106" t="s">
        <v>54</v>
      </c>
      <c r="E22" s="106" t="s">
        <v>34</v>
      </c>
      <c r="F22" s="107" t="s">
        <v>35</v>
      </c>
      <c r="G22" s="104"/>
      <c r="H22" s="108"/>
      <c r="I22" s="109"/>
      <c r="J22" s="109"/>
    </row>
    <row r="23">
      <c r="A23" s="110">
        <v>32251.0</v>
      </c>
      <c r="B23" s="111"/>
      <c r="C23" s="135" t="str">
        <f t="shared" si="1"/>
        <v>setlist</v>
      </c>
      <c r="D23" s="113" t="s">
        <v>54</v>
      </c>
      <c r="E23" s="113" t="s">
        <v>34</v>
      </c>
      <c r="F23" s="114" t="s">
        <v>35</v>
      </c>
      <c r="G23" s="111"/>
      <c r="H23" s="138"/>
      <c r="I23" s="80"/>
      <c r="J23" s="80"/>
    </row>
    <row r="24">
      <c r="A24" s="103">
        <v>32252.0</v>
      </c>
      <c r="B24" s="104"/>
      <c r="C24" s="105" t="str">
        <f t="shared" si="1"/>
        <v>setlist</v>
      </c>
      <c r="D24" s="106" t="s">
        <v>54</v>
      </c>
      <c r="E24" s="106" t="s">
        <v>34</v>
      </c>
      <c r="F24" s="107" t="s">
        <v>35</v>
      </c>
      <c r="G24" s="104"/>
      <c r="H24" s="108"/>
      <c r="I24" s="109"/>
      <c r="J24" s="109"/>
    </row>
    <row r="25">
      <c r="A25" s="110">
        <v>32255.0</v>
      </c>
      <c r="B25" s="111"/>
      <c r="C25" s="135" t="str">
        <f t="shared" si="1"/>
        <v>setlist</v>
      </c>
      <c r="D25" s="136" t="s">
        <v>72</v>
      </c>
      <c r="E25" s="113" t="s">
        <v>34</v>
      </c>
      <c r="F25" s="114" t="s">
        <v>35</v>
      </c>
      <c r="G25" s="114" t="s">
        <v>36</v>
      </c>
      <c r="H25" s="135" t="str">
        <f>HYPERLINK("http://www.mediafire.com/download/nep2e1dfpp4i9ym/1988-04-22_-_University_of_Vermont_-_Burlington%2C_VT.rar", "download link")</f>
        <v>download link</v>
      </c>
      <c r="I25" s="136" t="s">
        <v>157</v>
      </c>
      <c r="J25" s="80"/>
    </row>
    <row r="26">
      <c r="A26" s="103">
        <v>32260.0</v>
      </c>
      <c r="B26" s="104"/>
      <c r="C26" s="105" t="str">
        <f t="shared" si="1"/>
        <v>setlist</v>
      </c>
      <c r="D26" s="106" t="s">
        <v>142</v>
      </c>
      <c r="E26" s="106" t="s">
        <v>143</v>
      </c>
      <c r="F26" s="107" t="s">
        <v>35</v>
      </c>
      <c r="G26" s="104"/>
      <c r="H26" s="108"/>
      <c r="I26" s="109"/>
      <c r="J26" s="109"/>
    </row>
    <row r="27">
      <c r="A27" s="110">
        <v>32263.0</v>
      </c>
      <c r="B27" s="111"/>
      <c r="C27" s="135" t="str">
        <f t="shared" si="1"/>
        <v>setlist</v>
      </c>
      <c r="D27" s="136" t="s">
        <v>165</v>
      </c>
      <c r="E27" s="113" t="s">
        <v>166</v>
      </c>
      <c r="F27" s="114" t="s">
        <v>129</v>
      </c>
      <c r="G27" s="111"/>
      <c r="H27" s="138"/>
      <c r="I27" s="80"/>
      <c r="J27" s="80"/>
    </row>
    <row r="28">
      <c r="A28" s="103">
        <v>32264.0</v>
      </c>
      <c r="B28" s="104"/>
      <c r="C28" s="105" t="str">
        <f t="shared" si="1"/>
        <v>setlist</v>
      </c>
      <c r="D28" s="134" t="s">
        <v>167</v>
      </c>
      <c r="E28" s="106" t="s">
        <v>168</v>
      </c>
      <c r="F28" s="107" t="s">
        <v>129</v>
      </c>
      <c r="G28" s="104"/>
      <c r="H28" s="108"/>
      <c r="I28" s="109"/>
      <c r="J28" s="109"/>
    </row>
    <row r="29">
      <c r="A29" s="142">
        <v>32265.0</v>
      </c>
      <c r="B29" s="144"/>
      <c r="C29" s="116" t="str">
        <f t="shared" si="1"/>
        <v>setlist</v>
      </c>
      <c r="D29" s="118" t="s">
        <v>167</v>
      </c>
      <c r="E29" s="118" t="s">
        <v>168</v>
      </c>
      <c r="F29" s="115" t="s">
        <v>129</v>
      </c>
      <c r="G29" s="144"/>
      <c r="H29" s="145"/>
      <c r="I29" s="146"/>
      <c r="J29" s="146"/>
    </row>
    <row r="30">
      <c r="A30" s="103">
        <v>32266.0</v>
      </c>
      <c r="B30" s="104"/>
      <c r="C30" s="105" t="str">
        <f t="shared" si="1"/>
        <v>setlist</v>
      </c>
      <c r="D30" s="106" t="s">
        <v>167</v>
      </c>
      <c r="E30" s="106" t="s">
        <v>168</v>
      </c>
      <c r="F30" s="107" t="s">
        <v>129</v>
      </c>
      <c r="G30" s="104"/>
      <c r="H30" s="108"/>
      <c r="I30" s="109"/>
      <c r="J30" s="109"/>
    </row>
    <row r="31">
      <c r="A31" s="142">
        <v>32268.0</v>
      </c>
      <c r="B31" s="144"/>
      <c r="C31" s="116" t="str">
        <f t="shared" si="1"/>
        <v>setlist</v>
      </c>
      <c r="D31" s="117" t="s">
        <v>51</v>
      </c>
      <c r="E31" s="118" t="s">
        <v>34</v>
      </c>
      <c r="F31" s="115" t="s">
        <v>35</v>
      </c>
      <c r="G31" s="144"/>
      <c r="H31" s="145"/>
      <c r="I31" s="146"/>
      <c r="J31" s="146"/>
    </row>
    <row r="32">
      <c r="A32" s="103">
        <v>32271.0</v>
      </c>
      <c r="B32" s="104"/>
      <c r="C32" s="105" t="str">
        <f t="shared" si="1"/>
        <v>setlist</v>
      </c>
      <c r="D32" s="106" t="s">
        <v>169</v>
      </c>
      <c r="E32" s="106" t="s">
        <v>170</v>
      </c>
      <c r="F32" s="107" t="s">
        <v>171</v>
      </c>
      <c r="G32" s="104"/>
      <c r="H32" s="108"/>
      <c r="I32" s="109"/>
      <c r="J32" s="109"/>
    </row>
    <row r="33">
      <c r="A33" s="142">
        <v>32275.0</v>
      </c>
      <c r="B33" s="144"/>
      <c r="C33" s="116" t="str">
        <f t="shared" si="1"/>
        <v>setlist</v>
      </c>
      <c r="D33" s="118" t="s">
        <v>161</v>
      </c>
      <c r="E33" s="118" t="s">
        <v>162</v>
      </c>
      <c r="F33" s="115" t="s">
        <v>129</v>
      </c>
      <c r="G33" s="144"/>
      <c r="H33" s="145"/>
      <c r="I33" s="146"/>
      <c r="J33" s="146"/>
    </row>
    <row r="34">
      <c r="A34" s="103">
        <v>32277.0</v>
      </c>
      <c r="B34" s="107" t="s">
        <v>32</v>
      </c>
      <c r="C34" s="105" t="str">
        <f t="shared" si="1"/>
        <v>setlist</v>
      </c>
      <c r="D34" s="134" t="s">
        <v>70</v>
      </c>
      <c r="E34" s="106" t="s">
        <v>71</v>
      </c>
      <c r="F34" s="107" t="s">
        <v>35</v>
      </c>
      <c r="G34" s="107" t="s">
        <v>36</v>
      </c>
      <c r="H34" s="105" t="str">
        <f>HYPERLINK("http://www.mediafire.com/download/1g5a2lysjfqjuxn/1988-05-14_-_Goddard_College_-_Plainfield%2C_VT.rar", "download link")</f>
        <v>download link</v>
      </c>
      <c r="I34" s="134" t="s">
        <v>172</v>
      </c>
      <c r="J34" s="109"/>
    </row>
    <row r="35">
      <c r="A35" s="142">
        <v>32278.0</v>
      </c>
      <c r="B35" s="115" t="s">
        <v>32</v>
      </c>
      <c r="C35" s="116" t="str">
        <f t="shared" si="1"/>
        <v>setlist</v>
      </c>
      <c r="D35" s="117" t="s">
        <v>173</v>
      </c>
      <c r="E35" s="118" t="s">
        <v>174</v>
      </c>
      <c r="F35" s="115" t="s">
        <v>35</v>
      </c>
      <c r="G35" s="115" t="s">
        <v>36</v>
      </c>
      <c r="H35" s="116" t="str">
        <f>HYPERLINK("http://www.mediafire.com/download/f4bbarz39bbcv99/1988-05-15_-_Beecher_Hill_Farm_-_Hinesburg%2C_VT.rar", "download link")</f>
        <v>download link</v>
      </c>
      <c r="I35" s="117" t="s">
        <v>175</v>
      </c>
      <c r="J35" s="146"/>
    </row>
    <row r="36">
      <c r="A36" s="130">
        <v>32284.0</v>
      </c>
      <c r="B36" s="131"/>
      <c r="C36" s="105" t="str">
        <f t="shared" si="1"/>
        <v>setlist</v>
      </c>
      <c r="D36" s="132" t="s">
        <v>54</v>
      </c>
      <c r="E36" s="132" t="s">
        <v>34</v>
      </c>
      <c r="F36" s="133" t="s">
        <v>35</v>
      </c>
      <c r="G36" s="133" t="s">
        <v>36</v>
      </c>
      <c r="H36" s="105" t="str">
        <f>HYPERLINK("http://www.mediafire.com/download/7a0gaoo3bdpww9b/1988-05-21_-_Nectar%27s_-_Burlington%2C_VT.rar", "download link")</f>
        <v>download link</v>
      </c>
      <c r="I36" s="134" t="s">
        <v>176</v>
      </c>
      <c r="J36" s="109"/>
    </row>
    <row r="37">
      <c r="A37" s="142">
        <v>32285.0</v>
      </c>
      <c r="B37" s="144"/>
      <c r="C37" s="116" t="str">
        <f t="shared" si="1"/>
        <v>setlist</v>
      </c>
      <c r="D37" s="118" t="s">
        <v>54</v>
      </c>
      <c r="E37" s="118" t="s">
        <v>34</v>
      </c>
      <c r="F37" s="115" t="s">
        <v>35</v>
      </c>
      <c r="G37" s="144"/>
      <c r="H37" s="145"/>
      <c r="I37" s="146"/>
      <c r="J37" s="146"/>
    </row>
    <row r="38">
      <c r="A38" s="103">
        <v>32286.0</v>
      </c>
      <c r="B38" s="107" t="s">
        <v>32</v>
      </c>
      <c r="C38" s="105" t="str">
        <f t="shared" si="1"/>
        <v>setlist</v>
      </c>
      <c r="D38" s="106" t="s">
        <v>54</v>
      </c>
      <c r="E38" s="106" t="s">
        <v>34</v>
      </c>
      <c r="F38" s="107" t="s">
        <v>35</v>
      </c>
      <c r="G38" s="107" t="s">
        <v>36</v>
      </c>
      <c r="H38" s="105" t="str">
        <f>HYPERLINK("http://www.mediafire.com/download/k9tlbqbb6yuvlv8/1988-05-23_-_Nectar%27s_-_Burlington%2C_VT.rar", "download link")</f>
        <v>download link</v>
      </c>
      <c r="I38" s="134" t="s">
        <v>177</v>
      </c>
      <c r="J38" s="106" t="s">
        <v>65</v>
      </c>
    </row>
    <row r="39">
      <c r="A39" s="142">
        <v>32287.0</v>
      </c>
      <c r="B39" s="115" t="s">
        <v>32</v>
      </c>
      <c r="C39" s="116" t="str">
        <f t="shared" si="1"/>
        <v>setlist</v>
      </c>
      <c r="D39" s="118" t="s">
        <v>54</v>
      </c>
      <c r="E39" s="118" t="s">
        <v>34</v>
      </c>
      <c r="F39" s="115" t="s">
        <v>35</v>
      </c>
      <c r="G39" s="115" t="s">
        <v>36</v>
      </c>
      <c r="H39" s="116" t="str">
        <f>HYPERLINK("http://www.mediafire.com/download/cs80scd9a5pzhwr/1988-05-24_-_Nectar%27s_-_Burlington%2C_VT.rar", "download link")</f>
        <v>download link</v>
      </c>
      <c r="I39" s="117" t="s">
        <v>122</v>
      </c>
      <c r="J39" s="146"/>
    </row>
    <row r="40">
      <c r="A40" s="103">
        <v>32290.0</v>
      </c>
      <c r="B40" s="104"/>
      <c r="C40" s="105" t="str">
        <f t="shared" si="1"/>
        <v>setlist</v>
      </c>
      <c r="D40" s="106" t="s">
        <v>178</v>
      </c>
      <c r="E40" s="106" t="s">
        <v>34</v>
      </c>
      <c r="F40" s="107" t="s">
        <v>35</v>
      </c>
      <c r="G40" s="104"/>
      <c r="H40" s="108"/>
      <c r="I40" s="109"/>
      <c r="J40" s="109"/>
    </row>
    <row r="41">
      <c r="A41" s="142">
        <v>32291.0</v>
      </c>
      <c r="B41" s="144"/>
      <c r="C41" s="116" t="str">
        <f t="shared" si="1"/>
        <v>setlist</v>
      </c>
      <c r="D41" s="117" t="s">
        <v>179</v>
      </c>
      <c r="E41" s="118" t="s">
        <v>143</v>
      </c>
      <c r="F41" s="115" t="s">
        <v>35</v>
      </c>
      <c r="G41" s="144"/>
      <c r="H41" s="145"/>
      <c r="I41" s="146"/>
      <c r="J41" s="146"/>
    </row>
    <row r="42">
      <c r="A42" s="103">
        <v>32297.0</v>
      </c>
      <c r="B42" s="104"/>
      <c r="C42" s="105" t="str">
        <f t="shared" si="1"/>
        <v>setlist</v>
      </c>
      <c r="D42" s="106" t="s">
        <v>180</v>
      </c>
      <c r="E42" s="106" t="s">
        <v>181</v>
      </c>
      <c r="F42" s="107" t="s">
        <v>182</v>
      </c>
      <c r="G42" s="104"/>
      <c r="H42" s="108"/>
      <c r="I42" s="109"/>
      <c r="J42" s="109"/>
    </row>
    <row r="43">
      <c r="A43" s="142">
        <v>32298.0</v>
      </c>
      <c r="B43" s="144"/>
      <c r="C43" s="116" t="str">
        <f t="shared" si="1"/>
        <v>setlist</v>
      </c>
      <c r="D43" s="118" t="s">
        <v>180</v>
      </c>
      <c r="E43" s="118" t="s">
        <v>181</v>
      </c>
      <c r="F43" s="115" t="s">
        <v>182</v>
      </c>
      <c r="G43" s="144"/>
      <c r="H43" s="145"/>
      <c r="I43" s="146"/>
      <c r="J43" s="146"/>
    </row>
    <row r="44">
      <c r="A44" s="103">
        <v>32309.0</v>
      </c>
      <c r="B44" s="107" t="s">
        <v>32</v>
      </c>
      <c r="C44" s="105" t="str">
        <f t="shared" si="1"/>
        <v>setlist</v>
      </c>
      <c r="D44" s="106" t="s">
        <v>178</v>
      </c>
      <c r="E44" s="106" t="s">
        <v>34</v>
      </c>
      <c r="F44" s="107" t="s">
        <v>35</v>
      </c>
      <c r="G44" s="107" t="s">
        <v>36</v>
      </c>
      <c r="H44" s="105" t="str">
        <f>HYPERLINK("http://www.mediafire.com/download/39xnqjeo8x8oage/1988-06-15_-_The_Front_-_Burlington%2C_VT.rar", "download link")</f>
        <v>download link</v>
      </c>
      <c r="I44" s="134" t="s">
        <v>183</v>
      </c>
      <c r="J44" s="109"/>
    </row>
    <row r="45">
      <c r="A45" s="142">
        <v>32311.0</v>
      </c>
      <c r="B45" s="144"/>
      <c r="C45" s="116" t="str">
        <f t="shared" si="1"/>
        <v>setlist</v>
      </c>
      <c r="D45" s="118" t="s">
        <v>184</v>
      </c>
      <c r="E45" s="118" t="s">
        <v>185</v>
      </c>
      <c r="F45" s="115" t="s">
        <v>35</v>
      </c>
      <c r="G45" s="144"/>
      <c r="H45" s="145"/>
      <c r="I45" s="146"/>
      <c r="J45" s="146"/>
    </row>
    <row r="46">
      <c r="A46" s="130">
        <v>32313.0</v>
      </c>
      <c r="B46" s="133" t="s">
        <v>32</v>
      </c>
      <c r="C46" s="105" t="str">
        <f t="shared" si="1"/>
        <v>setlist</v>
      </c>
      <c r="D46" s="132" t="s">
        <v>54</v>
      </c>
      <c r="E46" s="132" t="s">
        <v>34</v>
      </c>
      <c r="F46" s="133" t="s">
        <v>35</v>
      </c>
      <c r="G46" s="133" t="s">
        <v>36</v>
      </c>
      <c r="H46" s="105" t="str">
        <f>HYPERLINK("http://www.mediafire.com/download/uos6f7vvdem47uv/1988-06-19_-_Nectar%27s_-_Burlington%2C_VT.rar", "download link")</f>
        <v>download link</v>
      </c>
      <c r="I46" s="134" t="s">
        <v>186</v>
      </c>
      <c r="J46" s="106" t="s">
        <v>187</v>
      </c>
    </row>
    <row r="47">
      <c r="A47" s="142">
        <v>32314.0</v>
      </c>
      <c r="B47" s="144"/>
      <c r="C47" s="116" t="str">
        <f t="shared" si="1"/>
        <v>setlist</v>
      </c>
      <c r="D47" s="118" t="s">
        <v>54</v>
      </c>
      <c r="E47" s="118" t="s">
        <v>34</v>
      </c>
      <c r="F47" s="115" t="s">
        <v>35</v>
      </c>
      <c r="G47" s="115" t="s">
        <v>36</v>
      </c>
      <c r="H47" s="116" t="str">
        <f>HYPERLINK("http://www.mediafire.com/download/6h6dwu3kxc7razm/1988-06-20_-_Nectar%27s_-_Burlington%2C_VT.rar", "download link")</f>
        <v>download link</v>
      </c>
      <c r="I47" s="117" t="s">
        <v>188</v>
      </c>
      <c r="J47" s="118" t="s">
        <v>81</v>
      </c>
    </row>
    <row r="48">
      <c r="A48" s="103">
        <v>32315.0</v>
      </c>
      <c r="B48" s="107" t="s">
        <v>32</v>
      </c>
      <c r="C48" s="105" t="str">
        <f t="shared" si="1"/>
        <v>setlist</v>
      </c>
      <c r="D48" s="106" t="s">
        <v>54</v>
      </c>
      <c r="E48" s="106" t="s">
        <v>34</v>
      </c>
      <c r="F48" s="107" t="s">
        <v>35</v>
      </c>
      <c r="G48" s="107" t="s">
        <v>36</v>
      </c>
      <c r="H48" s="105" t="str">
        <f>HYPERLINK("http://www.mediafire.com/download/4km0yi1l1e40ua4/1988-06-21_-_Nectar%27s_-_Burlington%2C_VT.rar", "download link")</f>
        <v>download link</v>
      </c>
      <c r="I48" s="134" t="s">
        <v>158</v>
      </c>
      <c r="J48" s="109"/>
    </row>
    <row r="49">
      <c r="A49" s="142">
        <v>32317.0</v>
      </c>
      <c r="B49" s="144"/>
      <c r="C49" s="116" t="str">
        <f t="shared" si="1"/>
        <v>setlist</v>
      </c>
      <c r="D49" s="118" t="s">
        <v>189</v>
      </c>
      <c r="E49" s="118" t="s">
        <v>162</v>
      </c>
      <c r="F49" s="115" t="s">
        <v>129</v>
      </c>
      <c r="G49" s="144"/>
      <c r="H49" s="145"/>
      <c r="I49" s="146"/>
      <c r="J49" s="146"/>
    </row>
    <row r="50">
      <c r="A50" s="130">
        <v>32318.0</v>
      </c>
      <c r="B50" s="131"/>
      <c r="C50" s="105" t="str">
        <f t="shared" si="1"/>
        <v>setlist</v>
      </c>
      <c r="D50" s="132" t="s">
        <v>190</v>
      </c>
      <c r="E50" s="132" t="s">
        <v>34</v>
      </c>
      <c r="F50" s="133" t="s">
        <v>35</v>
      </c>
      <c r="G50" s="133" t="s">
        <v>36</v>
      </c>
      <c r="H50" s="105" t="str">
        <f>HYPERLINK("http://www.mediafire.com/download/211obsqtx5ecfkg/1988-06-24_-_Halverson%27s_-_Burlington%2C_VT.rar", "download link")</f>
        <v>download link</v>
      </c>
      <c r="I50" s="134" t="s">
        <v>124</v>
      </c>
      <c r="J50" s="106" t="s">
        <v>65</v>
      </c>
    </row>
    <row r="51">
      <c r="A51" s="142">
        <v>32321.0</v>
      </c>
      <c r="B51" s="144"/>
      <c r="C51" s="116" t="str">
        <f t="shared" si="1"/>
        <v>setlist</v>
      </c>
      <c r="D51" s="117" t="s">
        <v>191</v>
      </c>
      <c r="E51" s="118" t="s">
        <v>191</v>
      </c>
      <c r="F51" s="115" t="s">
        <v>129</v>
      </c>
      <c r="G51" s="144"/>
      <c r="H51" s="145"/>
      <c r="I51" s="146"/>
      <c r="J51" s="146"/>
    </row>
    <row r="52">
      <c r="A52" s="103">
        <v>32331.0</v>
      </c>
      <c r="B52" s="104"/>
      <c r="C52" s="105" t="str">
        <f t="shared" si="1"/>
        <v>setlist</v>
      </c>
      <c r="D52" s="106" t="s">
        <v>178</v>
      </c>
      <c r="E52" s="106" t="s">
        <v>34</v>
      </c>
      <c r="F52" s="107" t="s">
        <v>35</v>
      </c>
      <c r="G52" s="104"/>
      <c r="H52" s="108"/>
      <c r="I52" s="109"/>
      <c r="J52" s="109"/>
    </row>
    <row r="53">
      <c r="A53" s="142">
        <v>32332.0</v>
      </c>
      <c r="B53" s="144"/>
      <c r="C53" s="116" t="str">
        <f t="shared" si="1"/>
        <v>setlist</v>
      </c>
      <c r="D53" s="118" t="s">
        <v>178</v>
      </c>
      <c r="E53" s="118" t="s">
        <v>34</v>
      </c>
      <c r="F53" s="115" t="s">
        <v>35</v>
      </c>
      <c r="G53" s="144"/>
      <c r="H53" s="145"/>
      <c r="I53" s="146"/>
      <c r="J53" s="146"/>
    </row>
    <row r="54">
      <c r="A54" s="103">
        <v>32335.0</v>
      </c>
      <c r="B54" s="107" t="s">
        <v>32</v>
      </c>
      <c r="C54" s="105" t="str">
        <f t="shared" si="1"/>
        <v>setlist</v>
      </c>
      <c r="D54" s="106" t="s">
        <v>192</v>
      </c>
      <c r="E54" s="106" t="s">
        <v>34</v>
      </c>
      <c r="F54" s="107" t="s">
        <v>35</v>
      </c>
      <c r="G54" s="107" t="s">
        <v>36</v>
      </c>
      <c r="H54" s="105" t="str">
        <f>HYPERLINK("http://www.mediafire.com/download/vbdf9qja9lt95pq/1988-07-11_-_Sam%27s_Tavern_-_Burlington%2C_VT.rar", "download link")</f>
        <v>download link</v>
      </c>
      <c r="I54" s="134" t="s">
        <v>193</v>
      </c>
      <c r="J54" s="106" t="s">
        <v>194</v>
      </c>
    </row>
    <row r="55">
      <c r="A55" s="150">
        <v>32336.0</v>
      </c>
      <c r="B55" s="151" t="s">
        <v>32</v>
      </c>
      <c r="C55" s="116" t="str">
        <f t="shared" si="1"/>
        <v>setlist</v>
      </c>
      <c r="D55" s="153" t="s">
        <v>192</v>
      </c>
      <c r="E55" s="153" t="s">
        <v>34</v>
      </c>
      <c r="F55" s="151" t="s">
        <v>35</v>
      </c>
      <c r="G55" s="151" t="s">
        <v>36</v>
      </c>
      <c r="H55" s="116" t="str">
        <f>HYPERLINK("http://www.mediafire.com/download/7dcea7avat253ge/1988-07-12_-_Sam%27s_Tavern_-_Burlington%2C_VT.rar", "download link")</f>
        <v>download link</v>
      </c>
      <c r="I55" s="117" t="s">
        <v>195</v>
      </c>
      <c r="J55" s="118" t="s">
        <v>196</v>
      </c>
    </row>
    <row r="56">
      <c r="A56" s="103">
        <v>32347.0</v>
      </c>
      <c r="B56" s="107" t="s">
        <v>32</v>
      </c>
      <c r="C56" s="105" t="str">
        <f t="shared" si="1"/>
        <v>setlist</v>
      </c>
      <c r="D56" s="134" t="s">
        <v>197</v>
      </c>
      <c r="E56" s="106" t="s">
        <v>198</v>
      </c>
      <c r="F56" s="107" t="s">
        <v>35</v>
      </c>
      <c r="G56" s="107" t="s">
        <v>36</v>
      </c>
      <c r="H56" s="105" t="str">
        <f>HYPERLINK("http://www.mediafire.com/download/cycnfy5gqjywawb/1988-07-23_-_Pete%27s_Phabulous_Phish_Phest_-_Underhill%2C_VT.rar", "download link")</f>
        <v>download link</v>
      </c>
      <c r="I56" s="134" t="s">
        <v>177</v>
      </c>
      <c r="J56" s="109"/>
    </row>
    <row r="57">
      <c r="A57" s="142">
        <v>32348.0</v>
      </c>
      <c r="B57" s="115" t="s">
        <v>32</v>
      </c>
      <c r="C57" s="116" t="str">
        <f t="shared" si="1"/>
        <v>setlist</v>
      </c>
      <c r="D57" s="118" t="s">
        <v>54</v>
      </c>
      <c r="E57" s="118" t="s">
        <v>34</v>
      </c>
      <c r="F57" s="115" t="s">
        <v>35</v>
      </c>
      <c r="G57" s="115" t="s">
        <v>36</v>
      </c>
      <c r="H57" s="116" t="str">
        <f>HYPERLINK("http://www.mediafire.com/download/q4gkcb3c59h2lcj/1988-07-24_-_Nectar%27s_-_Burlington%2C_VT.rar", "download link")</f>
        <v>download link</v>
      </c>
      <c r="I57" s="117" t="s">
        <v>64</v>
      </c>
      <c r="J57" s="146"/>
    </row>
    <row r="58" ht="12.0" customHeight="1">
      <c r="A58" s="130">
        <v>32349.0</v>
      </c>
      <c r="B58" s="133" t="s">
        <v>32</v>
      </c>
      <c r="C58" s="105" t="str">
        <f t="shared" si="1"/>
        <v>setlist</v>
      </c>
      <c r="D58" s="132" t="s">
        <v>54</v>
      </c>
      <c r="E58" s="132" t="s">
        <v>34</v>
      </c>
      <c r="F58" s="133" t="s">
        <v>35</v>
      </c>
      <c r="G58" s="133" t="s">
        <v>36</v>
      </c>
      <c r="H58" s="105" t="str">
        <f>HYPERLINK("http://www.mediafire.com/download/tmonz0hddibc6xy/1988-07-25_-_Nectar%27s_-_Burlington%2C_VT.rar", "download link")</f>
        <v>download link</v>
      </c>
      <c r="I58" s="134" t="s">
        <v>199</v>
      </c>
      <c r="J58" s="134" t="s">
        <v>111</v>
      </c>
    </row>
    <row r="59">
      <c r="A59" s="92"/>
      <c r="B59" s="93"/>
      <c r="C59" s="65"/>
      <c r="D59" s="85" t="s">
        <v>200</v>
      </c>
      <c r="E59" s="95"/>
      <c r="F59" s="93"/>
      <c r="G59" s="93"/>
      <c r="H59" s="94"/>
      <c r="I59" s="95"/>
      <c r="J59" s="95"/>
    </row>
    <row r="60">
      <c r="A60" s="110">
        <v>32352.0</v>
      </c>
      <c r="B60" s="111"/>
      <c r="C60" s="135" t="str">
        <f t="shared" ref="C60:C66" si="2">HYPERLINK("http://www.phish.net/setlists/?d="&amp;RIGHT(TEXT(A60,"mm/dd/yyyy"),4)&amp;"-"&amp;LEFT(TEXT(A60,"mm/dd/yyyy"),2)&amp;"-"&amp;MID(TEXT(A60,"mm/dd/yyyy"),4,2), "setlist")</f>
        <v>setlist</v>
      </c>
      <c r="D60" s="113" t="s">
        <v>201</v>
      </c>
      <c r="E60" s="113" t="s">
        <v>202</v>
      </c>
      <c r="F60" s="114" t="s">
        <v>203</v>
      </c>
      <c r="G60" s="111"/>
      <c r="H60" s="138"/>
      <c r="I60" s="80"/>
      <c r="J60" s="80"/>
    </row>
    <row r="61">
      <c r="A61" s="103">
        <v>32353.0</v>
      </c>
      <c r="B61" s="107" t="s">
        <v>32</v>
      </c>
      <c r="C61" s="105" t="str">
        <f t="shared" si="2"/>
        <v>setlist</v>
      </c>
      <c r="D61" s="106" t="s">
        <v>201</v>
      </c>
      <c r="E61" s="106" t="s">
        <v>202</v>
      </c>
      <c r="F61" s="107" t="s">
        <v>203</v>
      </c>
      <c r="G61" s="107" t="s">
        <v>36</v>
      </c>
      <c r="H61" s="105" t="str">
        <f>HYPERLINK("http://www.mediafire.com/file/j97tt32cfvfc5vp/1988-07-29_-_The_Roma_-_Telluride%2C_CO.rar", "download link")</f>
        <v>download link</v>
      </c>
      <c r="I61" s="134" t="s">
        <v>23</v>
      </c>
      <c r="J61" s="106"/>
    </row>
    <row r="62">
      <c r="A62" s="110">
        <v>32354.0</v>
      </c>
      <c r="B62" s="114" t="s">
        <v>32</v>
      </c>
      <c r="C62" s="135" t="str">
        <f t="shared" si="2"/>
        <v>setlist</v>
      </c>
      <c r="D62" s="113" t="s">
        <v>201</v>
      </c>
      <c r="E62" s="113" t="s">
        <v>202</v>
      </c>
      <c r="F62" s="114" t="s">
        <v>203</v>
      </c>
      <c r="G62" s="114" t="s">
        <v>36</v>
      </c>
      <c r="H62" s="135" t="str">
        <f>HYPERLINK("http://www.mediafire.com/file/54h43e0w8fl0gyh/1988-07-30_-_The_Roma_-_Telluride%2C_CO.rar", "download link")</f>
        <v>download link</v>
      </c>
      <c r="I62" s="136" t="s">
        <v>23</v>
      </c>
      <c r="J62" s="113"/>
    </row>
    <row r="63">
      <c r="A63" s="103">
        <v>32358.0</v>
      </c>
      <c r="B63" s="107" t="s">
        <v>32</v>
      </c>
      <c r="C63" s="105" t="str">
        <f t="shared" si="2"/>
        <v>setlist</v>
      </c>
      <c r="D63" s="106" t="s">
        <v>204</v>
      </c>
      <c r="E63" s="106" t="s">
        <v>202</v>
      </c>
      <c r="F63" s="107" t="s">
        <v>203</v>
      </c>
      <c r="G63" s="107" t="s">
        <v>36</v>
      </c>
      <c r="H63" s="105" t="str">
        <f>HYPERLINK("http://www.mediafire.com/download/dwsn1qmw3ufjotf/1988-08-03_-_Fly_Me_to_the_Moon_Saloon_-_Telluride%2C_CO.rar", "download link")</f>
        <v>download link</v>
      </c>
      <c r="I63" s="134" t="s">
        <v>205</v>
      </c>
      <c r="J63" s="106" t="s">
        <v>206</v>
      </c>
    </row>
    <row r="64">
      <c r="A64" s="110">
        <v>32359.0</v>
      </c>
      <c r="B64" s="111"/>
      <c r="C64" s="135" t="str">
        <f t="shared" si="2"/>
        <v>setlist</v>
      </c>
      <c r="D64" s="113" t="s">
        <v>201</v>
      </c>
      <c r="E64" s="113" t="s">
        <v>202</v>
      </c>
      <c r="F64" s="114" t="s">
        <v>203</v>
      </c>
      <c r="G64" s="139" t="s">
        <v>36</v>
      </c>
      <c r="H64" s="135" t="str">
        <f>HYPERLINK("http://www.mediafire.com/file/kbi23ekcc6fvh8d/1988-08-04_-_The_Roma_-_Telluride%2C_CO.rar", "download link")</f>
        <v>download link</v>
      </c>
      <c r="I64" s="136" t="s">
        <v>23</v>
      </c>
      <c r="J64" s="80"/>
    </row>
    <row r="65">
      <c r="A65" s="103">
        <v>32360.0</v>
      </c>
      <c r="B65" s="107" t="s">
        <v>32</v>
      </c>
      <c r="C65" s="105" t="str">
        <f t="shared" si="2"/>
        <v>setlist</v>
      </c>
      <c r="D65" s="106" t="s">
        <v>201</v>
      </c>
      <c r="E65" s="106" t="s">
        <v>202</v>
      </c>
      <c r="F65" s="107" t="s">
        <v>203</v>
      </c>
      <c r="G65" s="107" t="s">
        <v>36</v>
      </c>
      <c r="H65" s="105" t="str">
        <f>HYPERLINK("http://www.mediafire.com/file/v5kmtfe5p5fzegb/1988-08-05_-_The_Roma_-_Telluride%2C_CO.rar", "download link")</f>
        <v>download link</v>
      </c>
      <c r="I65" s="134" t="s">
        <v>23</v>
      </c>
      <c r="J65" s="106"/>
    </row>
    <row r="66">
      <c r="A66" s="110">
        <v>32361.0</v>
      </c>
      <c r="B66" s="111"/>
      <c r="C66" s="135" t="str">
        <f t="shared" si="2"/>
        <v>setlist</v>
      </c>
      <c r="D66" s="113" t="s">
        <v>207</v>
      </c>
      <c r="E66" s="113" t="s">
        <v>208</v>
      </c>
      <c r="F66" s="114" t="s">
        <v>203</v>
      </c>
      <c r="G66" s="111"/>
      <c r="H66" s="138"/>
      <c r="I66" s="80"/>
      <c r="J66" s="80"/>
    </row>
    <row r="67">
      <c r="A67" s="92"/>
      <c r="B67" s="93"/>
      <c r="C67" s="65"/>
      <c r="D67" s="85" t="s">
        <v>209</v>
      </c>
      <c r="E67" s="95"/>
      <c r="F67" s="93"/>
      <c r="G67" s="93"/>
      <c r="H67" s="94"/>
      <c r="I67" s="95"/>
      <c r="J67" s="95"/>
    </row>
    <row r="68">
      <c r="A68" s="142">
        <v>32365.0</v>
      </c>
      <c r="B68" s="144"/>
      <c r="C68" s="116" t="str">
        <f t="shared" ref="C68:C101" si="3">HYPERLINK("http://www.phish.net/setlists/?d="&amp;RIGHT(TEXT(A68,"mm/dd/yyyy"),4)&amp;"-"&amp;LEFT(TEXT(A68,"mm/dd/yyyy"),2)&amp;"-"&amp;MID(TEXT(A68,"mm/dd/yyyy"),4,2), "setlist")</f>
        <v>setlist</v>
      </c>
      <c r="D68" s="117" t="s">
        <v>210</v>
      </c>
      <c r="E68" s="118" t="s">
        <v>211</v>
      </c>
      <c r="F68" s="115" t="s">
        <v>212</v>
      </c>
      <c r="G68" s="144"/>
      <c r="H68" s="145"/>
      <c r="I68" s="146"/>
      <c r="J68" s="146"/>
    </row>
    <row r="69">
      <c r="A69" s="103">
        <v>32366.0</v>
      </c>
      <c r="B69" s="104"/>
      <c r="C69" s="105" t="str">
        <f t="shared" si="3"/>
        <v>setlist</v>
      </c>
      <c r="D69" s="106" t="s">
        <v>178</v>
      </c>
      <c r="E69" s="106" t="s">
        <v>34</v>
      </c>
      <c r="F69" s="107" t="s">
        <v>35</v>
      </c>
      <c r="G69" s="104"/>
      <c r="H69" s="108"/>
      <c r="I69" s="109"/>
      <c r="J69" s="109"/>
    </row>
    <row r="70">
      <c r="A70" s="142">
        <v>32367.0</v>
      </c>
      <c r="B70" s="144"/>
      <c r="C70" s="116" t="str">
        <f t="shared" si="3"/>
        <v>setlist</v>
      </c>
      <c r="D70" s="118" t="s">
        <v>178</v>
      </c>
      <c r="E70" s="118" t="s">
        <v>34</v>
      </c>
      <c r="F70" s="115" t="s">
        <v>35</v>
      </c>
      <c r="G70" s="144"/>
      <c r="H70" s="145"/>
      <c r="I70" s="146"/>
      <c r="J70" s="146"/>
    </row>
    <row r="71">
      <c r="A71" s="103">
        <v>32368.0</v>
      </c>
      <c r="B71" s="107" t="s">
        <v>32</v>
      </c>
      <c r="C71" s="105" t="str">
        <f t="shared" si="3"/>
        <v>setlist</v>
      </c>
      <c r="D71" s="106" t="s">
        <v>178</v>
      </c>
      <c r="E71" s="106" t="s">
        <v>34</v>
      </c>
      <c r="F71" s="107" t="s">
        <v>35</v>
      </c>
      <c r="G71" s="107" t="s">
        <v>36</v>
      </c>
      <c r="H71" s="105" t="str">
        <f>HYPERLINK("http://www.mediafire.com/download/rw13594ilded76b/1988-08-13_-_The_Front_-_Burlington%2C_VT.rar", "download link")</f>
        <v>download link</v>
      </c>
      <c r="I71" s="134" t="s">
        <v>213</v>
      </c>
      <c r="J71" s="106" t="s">
        <v>139</v>
      </c>
    </row>
    <row r="72">
      <c r="A72" s="142">
        <v>32372.0</v>
      </c>
      <c r="B72" s="144"/>
      <c r="C72" s="116" t="str">
        <f t="shared" si="3"/>
        <v>setlist</v>
      </c>
      <c r="D72" s="118" t="s">
        <v>142</v>
      </c>
      <c r="E72" s="118" t="s">
        <v>143</v>
      </c>
      <c r="F72" s="115" t="s">
        <v>35</v>
      </c>
      <c r="G72" s="144"/>
      <c r="H72" s="145"/>
      <c r="I72" s="146"/>
      <c r="J72" s="146"/>
    </row>
    <row r="73">
      <c r="A73" s="103">
        <v>32373.0</v>
      </c>
      <c r="B73" s="104"/>
      <c r="C73" s="105" t="str">
        <f t="shared" si="3"/>
        <v>setlist</v>
      </c>
      <c r="D73" s="106" t="s">
        <v>192</v>
      </c>
      <c r="E73" s="106" t="s">
        <v>34</v>
      </c>
      <c r="F73" s="107" t="s">
        <v>35</v>
      </c>
      <c r="G73" s="104"/>
      <c r="H73" s="108"/>
      <c r="I73" s="109"/>
      <c r="J73" s="109"/>
    </row>
    <row r="74">
      <c r="A74" s="142">
        <v>32376.0</v>
      </c>
      <c r="B74" s="144"/>
      <c r="C74" s="116" t="str">
        <f t="shared" si="3"/>
        <v>setlist</v>
      </c>
      <c r="D74" s="118" t="s">
        <v>54</v>
      </c>
      <c r="E74" s="118" t="s">
        <v>34</v>
      </c>
      <c r="F74" s="115" t="s">
        <v>35</v>
      </c>
      <c r="G74" s="144"/>
      <c r="H74" s="145"/>
      <c r="I74" s="146"/>
      <c r="J74" s="146"/>
    </row>
    <row r="75">
      <c r="A75" s="103">
        <v>32377.0</v>
      </c>
      <c r="B75" s="104"/>
      <c r="C75" s="105" t="str">
        <f t="shared" si="3"/>
        <v>setlist</v>
      </c>
      <c r="D75" s="106" t="s">
        <v>54</v>
      </c>
      <c r="E75" s="106" t="s">
        <v>34</v>
      </c>
      <c r="F75" s="107" t="s">
        <v>35</v>
      </c>
      <c r="G75" s="104"/>
      <c r="H75" s="108"/>
      <c r="I75" s="109"/>
      <c r="J75" s="109"/>
    </row>
    <row r="76">
      <c r="A76" s="142">
        <v>32379.0</v>
      </c>
      <c r="B76" s="144"/>
      <c r="C76" s="116" t="str">
        <f t="shared" si="3"/>
        <v>setlist</v>
      </c>
      <c r="D76" s="118" t="s">
        <v>214</v>
      </c>
      <c r="E76" s="118" t="s">
        <v>34</v>
      </c>
      <c r="F76" s="115" t="s">
        <v>35</v>
      </c>
      <c r="G76" s="144"/>
      <c r="H76" s="145"/>
      <c r="I76" s="146"/>
      <c r="J76" s="146"/>
    </row>
    <row r="77">
      <c r="A77" s="103">
        <v>32382.0</v>
      </c>
      <c r="B77" s="107" t="s">
        <v>32</v>
      </c>
      <c r="C77" s="105" t="str">
        <f t="shared" si="3"/>
        <v>setlist</v>
      </c>
      <c r="D77" s="134" t="s">
        <v>215</v>
      </c>
      <c r="E77" s="106" t="s">
        <v>216</v>
      </c>
      <c r="F77" s="107" t="s">
        <v>212</v>
      </c>
      <c r="G77" s="107" t="s">
        <v>36</v>
      </c>
      <c r="H77" s="105" t="str">
        <f>HYPERLINK("http://www.mediafire.com/download/cshm9n4wwqha26y/1988-08-27_-_Food_Court%2C_Mont_Alto_Campus%2C_Penn_State_University_-_Mont_Alto%2C_PA.rar", "download link")</f>
        <v>download link</v>
      </c>
      <c r="I77" s="134" t="s">
        <v>23</v>
      </c>
      <c r="J77" s="106" t="s">
        <v>217</v>
      </c>
    </row>
    <row r="78">
      <c r="A78" s="142">
        <v>32384.0</v>
      </c>
      <c r="B78" s="144"/>
      <c r="C78" s="116" t="str">
        <f t="shared" si="3"/>
        <v>setlist</v>
      </c>
      <c r="D78" s="118" t="s">
        <v>192</v>
      </c>
      <c r="E78" s="118" t="s">
        <v>34</v>
      </c>
      <c r="F78" s="115" t="s">
        <v>35</v>
      </c>
      <c r="G78" s="144"/>
      <c r="H78" s="145"/>
      <c r="I78" s="146"/>
      <c r="J78" s="146"/>
    </row>
    <row r="79">
      <c r="A79" s="103">
        <v>32385.0</v>
      </c>
      <c r="B79" s="104"/>
      <c r="C79" s="105" t="str">
        <f t="shared" si="3"/>
        <v>setlist</v>
      </c>
      <c r="D79" s="106" t="s">
        <v>192</v>
      </c>
      <c r="E79" s="106" t="s">
        <v>34</v>
      </c>
      <c r="F79" s="107" t="s">
        <v>35</v>
      </c>
      <c r="G79" s="104"/>
      <c r="H79" s="108"/>
      <c r="I79" s="109"/>
      <c r="J79" s="109"/>
    </row>
    <row r="80">
      <c r="A80" s="142">
        <v>32394.0</v>
      </c>
      <c r="B80" s="115" t="s">
        <v>32</v>
      </c>
      <c r="C80" s="116" t="str">
        <f t="shared" si="3"/>
        <v>setlist</v>
      </c>
      <c r="D80" s="118" t="s">
        <v>178</v>
      </c>
      <c r="E80" s="118" t="s">
        <v>34</v>
      </c>
      <c r="F80" s="115" t="s">
        <v>35</v>
      </c>
      <c r="G80" s="115" t="s">
        <v>36</v>
      </c>
      <c r="H80" s="116" t="str">
        <f>HYPERLINK("http://www.mediafire.com/download/pp5iosw9tnubmi5/1988-09-08_-_The_Front_-_Burlington%2C_VT.rar", "download link")</f>
        <v>download link</v>
      </c>
      <c r="I80" s="117" t="s">
        <v>218</v>
      </c>
      <c r="J80" s="118" t="s">
        <v>219</v>
      </c>
    </row>
    <row r="81">
      <c r="A81" s="103">
        <v>32395.0</v>
      </c>
      <c r="B81" s="104"/>
      <c r="C81" s="105" t="str">
        <f t="shared" si="3"/>
        <v>setlist</v>
      </c>
      <c r="D81" s="106" t="s">
        <v>178</v>
      </c>
      <c r="E81" s="106" t="s">
        <v>34</v>
      </c>
      <c r="F81" s="107" t="s">
        <v>35</v>
      </c>
      <c r="G81" s="104"/>
      <c r="H81" s="108"/>
      <c r="I81" s="109"/>
      <c r="J81" s="109"/>
    </row>
    <row r="82">
      <c r="A82" s="142">
        <v>32396.0</v>
      </c>
      <c r="B82" s="144"/>
      <c r="C82" s="116" t="str">
        <f t="shared" si="3"/>
        <v>setlist</v>
      </c>
      <c r="D82" s="118" t="s">
        <v>178</v>
      </c>
      <c r="E82" s="118" t="s">
        <v>34</v>
      </c>
      <c r="F82" s="115" t="s">
        <v>35</v>
      </c>
      <c r="G82" s="144"/>
      <c r="H82" s="145"/>
      <c r="I82" s="146"/>
      <c r="J82" s="146"/>
    </row>
    <row r="83">
      <c r="A83" s="103">
        <v>32398.0</v>
      </c>
      <c r="B83" s="104"/>
      <c r="C83" s="105" t="str">
        <f t="shared" si="3"/>
        <v>setlist</v>
      </c>
      <c r="D83" s="106" t="s">
        <v>192</v>
      </c>
      <c r="E83" s="106" t="s">
        <v>34</v>
      </c>
      <c r="F83" s="107" t="s">
        <v>35</v>
      </c>
      <c r="G83" s="107" t="s">
        <v>36</v>
      </c>
      <c r="H83" s="105" t="str">
        <f>HYPERLINK("http://www.mediafire.com/download/84qfab8iwv553l9/1988-09-12_-_Sam%27s_Tavern_-_Burlington%2C_VT.rar", "download link")</f>
        <v>download link</v>
      </c>
      <c r="I83" s="134" t="s">
        <v>220</v>
      </c>
      <c r="J83" s="106" t="s">
        <v>221</v>
      </c>
    </row>
    <row r="84">
      <c r="A84" s="150">
        <v>32399.0</v>
      </c>
      <c r="B84" s="151" t="s">
        <v>32</v>
      </c>
      <c r="C84" s="116" t="str">
        <f t="shared" si="3"/>
        <v>setlist</v>
      </c>
      <c r="D84" s="153" t="s">
        <v>192</v>
      </c>
      <c r="E84" s="153" t="s">
        <v>34</v>
      </c>
      <c r="F84" s="151" t="s">
        <v>35</v>
      </c>
      <c r="G84" s="151" t="s">
        <v>36</v>
      </c>
      <c r="H84" s="116" t="str">
        <f>HYPERLINK("http://www.mediafire.com/download/jvjl8ukb8725ul2/1988-09-13_-_Sam%27s_Tavern_-_Burlington%2C_VT.rar", "download link")</f>
        <v>download link</v>
      </c>
      <c r="I84" s="117" t="s">
        <v>222</v>
      </c>
      <c r="J84" s="118" t="s">
        <v>223</v>
      </c>
    </row>
    <row r="85">
      <c r="A85" s="103">
        <v>32402.0</v>
      </c>
      <c r="B85" s="104"/>
      <c r="C85" s="105" t="str">
        <f t="shared" si="3"/>
        <v>setlist</v>
      </c>
      <c r="D85" s="134" t="s">
        <v>224</v>
      </c>
      <c r="E85" s="106" t="s">
        <v>225</v>
      </c>
      <c r="F85" s="107" t="s">
        <v>182</v>
      </c>
      <c r="G85" s="104"/>
      <c r="H85" s="108"/>
      <c r="I85" s="109"/>
      <c r="J85" s="109"/>
    </row>
    <row r="86">
      <c r="A86" s="142">
        <v>32408.0</v>
      </c>
      <c r="B86" s="144"/>
      <c r="C86" s="116" t="str">
        <f t="shared" si="3"/>
        <v>setlist</v>
      </c>
      <c r="D86" s="117" t="s">
        <v>226</v>
      </c>
      <c r="E86" s="118" t="s">
        <v>227</v>
      </c>
      <c r="F86" s="115" t="s">
        <v>35</v>
      </c>
      <c r="G86" s="144"/>
      <c r="H86" s="145"/>
      <c r="I86" s="146"/>
      <c r="J86" s="146"/>
    </row>
    <row r="87">
      <c r="A87" s="130">
        <v>32410.0</v>
      </c>
      <c r="B87" s="133" t="s">
        <v>32</v>
      </c>
      <c r="C87" s="105" t="str">
        <f t="shared" si="3"/>
        <v>setlist</v>
      </c>
      <c r="D87" s="140" t="s">
        <v>163</v>
      </c>
      <c r="E87" s="132" t="s">
        <v>164</v>
      </c>
      <c r="F87" s="133" t="s">
        <v>95</v>
      </c>
      <c r="G87" s="133" t="s">
        <v>36</v>
      </c>
      <c r="H87" s="105" t="str">
        <f>HYPERLINK("http://www.mediafire.com/download/4ifrubgzelmbdtx/1988-09-24_-_Humphries_House_%28The_Zoo%29%2C_Amherst_College_-_Amherst%2C_MA.rar", "download link")</f>
        <v>download link</v>
      </c>
      <c r="I87" s="134" t="s">
        <v>228</v>
      </c>
      <c r="J87" s="134" t="s">
        <v>229</v>
      </c>
    </row>
    <row r="88">
      <c r="A88" s="142">
        <v>32444.0</v>
      </c>
      <c r="B88" s="144"/>
      <c r="C88" s="116" t="str">
        <f t="shared" si="3"/>
        <v>setlist</v>
      </c>
      <c r="D88" s="118" t="s">
        <v>230</v>
      </c>
      <c r="E88" s="118" t="s">
        <v>231</v>
      </c>
      <c r="F88" s="115" t="s">
        <v>35</v>
      </c>
      <c r="G88" s="144"/>
      <c r="H88" s="145"/>
      <c r="I88" s="146"/>
      <c r="J88" s="146"/>
    </row>
    <row r="89">
      <c r="A89" s="130">
        <v>32445.0</v>
      </c>
      <c r="B89" s="133" t="s">
        <v>32</v>
      </c>
      <c r="C89" s="105" t="str">
        <f t="shared" si="3"/>
        <v>setlist</v>
      </c>
      <c r="D89" s="132" t="s">
        <v>100</v>
      </c>
      <c r="E89" s="132" t="s">
        <v>71</v>
      </c>
      <c r="F89" s="133" t="s">
        <v>35</v>
      </c>
      <c r="G89" s="133" t="s">
        <v>36</v>
      </c>
      <c r="H89" s="105" t="str">
        <f>HYPERLINK("http://www.mediafire.com/download/vd3rhxbo4s3k651/1988-10-29_-_Sculpture_Room%2C_Goddard_College_-_Plainfield%2C_VT.rar", "download link")</f>
        <v>download link</v>
      </c>
      <c r="I89" s="134" t="s">
        <v>232</v>
      </c>
      <c r="J89" s="109"/>
    </row>
    <row r="90">
      <c r="A90" s="142">
        <v>32450.0</v>
      </c>
      <c r="B90" s="115" t="s">
        <v>32</v>
      </c>
      <c r="C90" s="116" t="str">
        <f t="shared" si="3"/>
        <v>setlist</v>
      </c>
      <c r="D90" s="118" t="s">
        <v>233</v>
      </c>
      <c r="E90" s="118" t="s">
        <v>234</v>
      </c>
      <c r="F90" s="115" t="s">
        <v>95</v>
      </c>
      <c r="G90" s="115" t="s">
        <v>36</v>
      </c>
      <c r="H90" s="116" t="str">
        <f>HYPERLINK("http://www.mediafire.com/download/ii6z302nsodyo9p/1988-11-03_-_Molly%27s_Caf%C3%A9_-_Boston%2C_MA.rar", "download link")</f>
        <v>download link</v>
      </c>
      <c r="I90" s="117" t="s">
        <v>235</v>
      </c>
      <c r="J90" s="117" t="s">
        <v>236</v>
      </c>
    </row>
    <row r="91">
      <c r="A91" s="103">
        <v>32451.0</v>
      </c>
      <c r="B91" s="104"/>
      <c r="C91" s="105" t="str">
        <f t="shared" si="3"/>
        <v>setlist</v>
      </c>
      <c r="D91" s="106" t="s">
        <v>237</v>
      </c>
      <c r="E91" s="106" t="s">
        <v>238</v>
      </c>
      <c r="F91" s="107" t="s">
        <v>129</v>
      </c>
      <c r="G91" s="104"/>
      <c r="H91" s="108"/>
      <c r="I91" s="109"/>
      <c r="J91" s="109"/>
    </row>
    <row r="92">
      <c r="A92" s="142">
        <v>32452.0</v>
      </c>
      <c r="B92" s="115" t="s">
        <v>32</v>
      </c>
      <c r="C92" s="116" t="str">
        <f t="shared" si="3"/>
        <v>setlist</v>
      </c>
      <c r="D92" s="117" t="s">
        <v>239</v>
      </c>
      <c r="E92" s="118" t="s">
        <v>240</v>
      </c>
      <c r="F92" s="115" t="s">
        <v>129</v>
      </c>
      <c r="G92" s="115" t="s">
        <v>36</v>
      </c>
      <c r="H92" s="116" t="str">
        <f>HYPERLINK("http://www.mediafire.com/download/z14s1a3locru3gf/1988-11-05_-_Hamilton_College_-_Clinton%2C_NY.rar", "download link")</f>
        <v>download link</v>
      </c>
      <c r="I92" s="117" t="s">
        <v>241</v>
      </c>
      <c r="J92" s="118" t="s">
        <v>81</v>
      </c>
    </row>
    <row r="93">
      <c r="A93" s="130">
        <v>32458.0</v>
      </c>
      <c r="B93" s="133" t="s">
        <v>32</v>
      </c>
      <c r="C93" s="105" t="str">
        <f t="shared" si="3"/>
        <v>setlist</v>
      </c>
      <c r="D93" s="132" t="s">
        <v>242</v>
      </c>
      <c r="E93" s="132" t="s">
        <v>243</v>
      </c>
      <c r="F93" s="133" t="s">
        <v>182</v>
      </c>
      <c r="G93" s="133" t="s">
        <v>36</v>
      </c>
      <c r="H93" s="105" t="str">
        <f>HYPERLINK("http://www.mediafire.com/download/lzs7tr130g6bcw0/1988-11-11_-_Old_Stone_Church_-_Newmarket%2C_NH.rar", "download link")</f>
        <v>download link</v>
      </c>
      <c r="I93" s="134" t="s">
        <v>244</v>
      </c>
      <c r="J93" s="106" t="s">
        <v>245</v>
      </c>
    </row>
    <row r="94">
      <c r="A94" s="142">
        <v>32479.0</v>
      </c>
      <c r="B94" s="144"/>
      <c r="C94" s="116" t="str">
        <f t="shared" si="3"/>
        <v>setlist</v>
      </c>
      <c r="D94" s="118" t="s">
        <v>233</v>
      </c>
      <c r="E94" s="118" t="s">
        <v>234</v>
      </c>
      <c r="F94" s="115" t="s">
        <v>95</v>
      </c>
      <c r="G94" s="144"/>
      <c r="H94" s="145"/>
      <c r="I94" s="146"/>
      <c r="J94" s="146"/>
    </row>
    <row r="95">
      <c r="A95" s="103">
        <v>32486.0</v>
      </c>
      <c r="B95" s="104"/>
      <c r="C95" s="105" t="str">
        <f t="shared" si="3"/>
        <v>setlist</v>
      </c>
      <c r="D95" s="106" t="s">
        <v>246</v>
      </c>
      <c r="E95" s="106" t="s">
        <v>247</v>
      </c>
      <c r="F95" s="107" t="s">
        <v>95</v>
      </c>
      <c r="G95" s="104"/>
      <c r="H95" s="108"/>
      <c r="I95" s="109"/>
      <c r="J95" s="109"/>
    </row>
    <row r="96">
      <c r="A96" s="150">
        <v>32487.0</v>
      </c>
      <c r="B96" s="151" t="s">
        <v>32</v>
      </c>
      <c r="C96" s="116" t="str">
        <f t="shared" si="3"/>
        <v>setlist</v>
      </c>
      <c r="D96" s="152" t="s">
        <v>248</v>
      </c>
      <c r="E96" s="153" t="s">
        <v>164</v>
      </c>
      <c r="F96" s="151" t="s">
        <v>95</v>
      </c>
      <c r="G96" s="151" t="s">
        <v>36</v>
      </c>
      <c r="H96" s="116" t="str">
        <f>HYPERLINK("http://www.mediafire.com/download/vu2po36raek4y2k/1988-12-10_-_The_Red_Barn%2C_Hampshire_College_-_Amherst%2C_MA.rar", "download link")</f>
        <v>download link</v>
      </c>
      <c r="I96" s="117" t="s">
        <v>249</v>
      </c>
      <c r="J96" s="146"/>
    </row>
    <row r="97">
      <c r="A97" s="103">
        <v>32488.0</v>
      </c>
      <c r="B97" s="104"/>
      <c r="C97" s="105" t="str">
        <f t="shared" si="3"/>
        <v>setlist</v>
      </c>
      <c r="D97" s="106" t="s">
        <v>178</v>
      </c>
      <c r="E97" s="106" t="s">
        <v>34</v>
      </c>
      <c r="F97" s="107" t="s">
        <v>35</v>
      </c>
      <c r="G97" s="104"/>
      <c r="H97" s="108"/>
      <c r="I97" s="109"/>
      <c r="J97" s="109"/>
    </row>
    <row r="98">
      <c r="A98" s="142">
        <v>32489.0</v>
      </c>
      <c r="B98" s="144"/>
      <c r="C98" s="116" t="str">
        <f t="shared" si="3"/>
        <v>setlist</v>
      </c>
      <c r="D98" s="118" t="s">
        <v>178</v>
      </c>
      <c r="E98" s="118" t="s">
        <v>34</v>
      </c>
      <c r="F98" s="115" t="s">
        <v>35</v>
      </c>
      <c r="G98" s="144"/>
      <c r="H98" s="145"/>
      <c r="I98" s="146"/>
      <c r="J98" s="146"/>
    </row>
    <row r="99">
      <c r="A99" s="103">
        <v>32492.0</v>
      </c>
      <c r="B99" s="104"/>
      <c r="C99" s="105" t="str">
        <f t="shared" si="3"/>
        <v>setlist</v>
      </c>
      <c r="D99" s="106" t="s">
        <v>178</v>
      </c>
      <c r="E99" s="106" t="s">
        <v>34</v>
      </c>
      <c r="F99" s="107" t="s">
        <v>35</v>
      </c>
      <c r="G99" s="104"/>
      <c r="H99" s="108"/>
      <c r="I99" s="109"/>
      <c r="J99" s="109"/>
    </row>
    <row r="100">
      <c r="A100" s="159" t="s">
        <v>250</v>
      </c>
      <c r="B100" s="144"/>
      <c r="C100" s="116" t="str">
        <f t="shared" si="3"/>
        <v>setlist</v>
      </c>
      <c r="D100" s="118" t="s">
        <v>251</v>
      </c>
      <c r="E100" s="118" t="s">
        <v>34</v>
      </c>
      <c r="F100" s="115" t="s">
        <v>35</v>
      </c>
      <c r="G100" s="144"/>
      <c r="H100" s="145"/>
      <c r="I100" s="146"/>
      <c r="J100" s="146"/>
    </row>
    <row r="101">
      <c r="A101" s="103">
        <v>32494.0</v>
      </c>
      <c r="B101" s="107" t="s">
        <v>32</v>
      </c>
      <c r="C101" s="105" t="str">
        <f t="shared" si="3"/>
        <v>setlist</v>
      </c>
      <c r="D101" s="106" t="s">
        <v>242</v>
      </c>
      <c r="E101" s="106" t="s">
        <v>243</v>
      </c>
      <c r="F101" s="107" t="s">
        <v>182</v>
      </c>
      <c r="G101" s="107" t="s">
        <v>36</v>
      </c>
      <c r="H101" s="105" t="str">
        <f>HYPERLINK("http://www.mediafire.com/download/hnokdwbvh13x4lo/1988-12-17_-_Old_Stone_Church_-_Newmarket%2C_NH.rar", "download link")</f>
        <v>download link</v>
      </c>
      <c r="I101" s="134" t="s">
        <v>252</v>
      </c>
      <c r="J101" s="134" t="s">
        <v>253</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78.63"/>
  </cols>
  <sheetData>
    <row r="1">
      <c r="A1" s="77"/>
      <c r="B1" s="78"/>
      <c r="C1" s="78"/>
      <c r="D1" s="82"/>
      <c r="E1" s="82"/>
      <c r="F1" s="78"/>
      <c r="G1" s="78"/>
      <c r="H1" s="81"/>
      <c r="I1" s="82"/>
    </row>
    <row r="2">
      <c r="A2" s="60" t="s">
        <v>22</v>
      </c>
      <c r="B2" s="60" t="s">
        <v>23</v>
      </c>
      <c r="C2" s="60" t="s">
        <v>40</v>
      </c>
      <c r="D2" s="60" t="s">
        <v>25</v>
      </c>
      <c r="E2" s="60" t="s">
        <v>26</v>
      </c>
      <c r="F2" s="60" t="s">
        <v>27</v>
      </c>
      <c r="G2" s="60" t="s">
        <v>28</v>
      </c>
      <c r="H2" s="60" t="s">
        <v>29</v>
      </c>
      <c r="I2" s="83" t="s">
        <v>2145</v>
      </c>
    </row>
    <row r="3">
      <c r="A3" s="324"/>
      <c r="B3" s="126"/>
      <c r="C3" s="126"/>
      <c r="D3" s="126"/>
      <c r="E3" s="126"/>
      <c r="F3" s="126"/>
      <c r="G3" s="126"/>
      <c r="H3" s="126"/>
      <c r="I3" s="129"/>
    </row>
    <row r="4">
      <c r="A4" s="350"/>
      <c r="B4" s="351"/>
      <c r="C4" s="396"/>
      <c r="D4" s="356" t="s">
        <v>3825</v>
      </c>
      <c r="E4" s="350"/>
      <c r="F4" s="351"/>
      <c r="G4" s="351"/>
      <c r="H4" s="351"/>
      <c r="I4" s="350"/>
    </row>
    <row r="5">
      <c r="A5" s="147">
        <v>37169.0</v>
      </c>
      <c r="C5" s="135" t="str">
        <f>HYPERLINK("http://phish.net/sideshows/guest-appearance/?d=2001-10-05","setlist")</f>
        <v>setlist</v>
      </c>
      <c r="D5" s="400" t="s">
        <v>2851</v>
      </c>
      <c r="E5" s="400" t="s">
        <v>311</v>
      </c>
      <c r="F5" s="148" t="s">
        <v>129</v>
      </c>
      <c r="I5" s="149" t="s">
        <v>3741</v>
      </c>
    </row>
    <row r="6">
      <c r="A6" s="350"/>
      <c r="B6" s="351"/>
      <c r="C6" s="362"/>
      <c r="D6" s="356" t="s">
        <v>3904</v>
      </c>
      <c r="E6" s="350"/>
      <c r="F6" s="351"/>
      <c r="G6" s="351"/>
      <c r="H6" s="351"/>
      <c r="I6" s="350"/>
    </row>
    <row r="7">
      <c r="A7" s="110">
        <v>38080.0</v>
      </c>
      <c r="B7" s="111"/>
      <c r="C7" s="116" t="str">
        <f>HYPERLINK("http://phish.net/sideshows/guest-appearance/?d=2004-04-03", "setlist")</f>
        <v>setlist</v>
      </c>
      <c r="D7" s="183" t="s">
        <v>2817</v>
      </c>
      <c r="E7" s="183" t="s">
        <v>854</v>
      </c>
      <c r="F7" s="114" t="s">
        <v>35</v>
      </c>
      <c r="G7" s="114" t="s">
        <v>36</v>
      </c>
      <c r="H7" s="116" t="str">
        <f>HYPERLINK("http://www.mediafire.com/?ex93agl03lbq3", "download link")</f>
        <v>download link</v>
      </c>
      <c r="I7" s="113" t="s">
        <v>3905</v>
      </c>
    </row>
    <row r="8">
      <c r="A8" s="350"/>
      <c r="B8" s="351"/>
      <c r="C8" s="362"/>
      <c r="D8" s="356" t="s">
        <v>3817</v>
      </c>
      <c r="E8" s="350"/>
      <c r="F8" s="351"/>
      <c r="G8" s="351"/>
      <c r="H8" s="351"/>
      <c r="I8" s="350"/>
    </row>
    <row r="9">
      <c r="A9" s="110">
        <v>37031.0</v>
      </c>
      <c r="B9" s="111"/>
      <c r="C9" s="116" t="str">
        <f>HYPERLINK("http://phish.net/sideshows/guest-appearance/?d=2001-05-20", "setlist")</f>
        <v>setlist</v>
      </c>
      <c r="D9" s="183" t="s">
        <v>3818</v>
      </c>
      <c r="E9" s="183" t="s">
        <v>2832</v>
      </c>
      <c r="F9" s="114" t="s">
        <v>679</v>
      </c>
      <c r="G9" s="114" t="s">
        <v>36</v>
      </c>
      <c r="H9" s="116" t="str">
        <f>HYPERLINK("http://www.mediafire.com/?268vad7yvh3ca", "download link")</f>
        <v>download link</v>
      </c>
      <c r="I9" s="113" t="s">
        <v>3671</v>
      </c>
    </row>
    <row r="10">
      <c r="A10" s="350"/>
      <c r="B10" s="351"/>
      <c r="C10" s="396"/>
      <c r="D10" s="356" t="s">
        <v>4055</v>
      </c>
      <c r="E10" s="350"/>
      <c r="F10" s="351"/>
      <c r="G10" s="351"/>
      <c r="H10" s="351"/>
      <c r="I10" s="350"/>
    </row>
    <row r="11">
      <c r="A11" s="147">
        <v>35125.0</v>
      </c>
      <c r="C11" s="135" t="str">
        <f>HYPERLINK("http://phish.net/sideshows/guest-appearance/?d=1996-03-01","setlist")</f>
        <v>setlist</v>
      </c>
      <c r="D11" s="400" t="s">
        <v>1330</v>
      </c>
      <c r="E11" s="400" t="s">
        <v>162</v>
      </c>
      <c r="F11" s="148" t="s">
        <v>129</v>
      </c>
      <c r="I11" s="149" t="s">
        <v>2941</v>
      </c>
    </row>
    <row r="12">
      <c r="A12" s="130">
        <v>35515.0</v>
      </c>
      <c r="B12" s="260"/>
      <c r="C12" s="105" t="str">
        <f>HYPERLINK("http://phish.net/sideshows/guest-appearance/?d=1997-03-26","setlist")</f>
        <v>setlist</v>
      </c>
      <c r="D12" s="287" t="s">
        <v>1330</v>
      </c>
      <c r="E12" s="287" t="s">
        <v>162</v>
      </c>
      <c r="F12" s="133" t="s">
        <v>129</v>
      </c>
      <c r="G12" s="107">
        <v>128.0</v>
      </c>
      <c r="H12" s="105" t="str">
        <f>HYPERLINK("http://www.mediafire.com/?9augocn462dhy","download link")</f>
        <v>download link</v>
      </c>
      <c r="I12" s="132" t="s">
        <v>2812</v>
      </c>
    </row>
    <row r="13">
      <c r="A13" s="110">
        <v>38074.0</v>
      </c>
      <c r="B13" s="111"/>
      <c r="C13" s="116" t="str">
        <f>HYPERLINK("http://phish.net/sideshows/guest-appearance/?d=2004-03-28", "setlist")</f>
        <v>setlist</v>
      </c>
      <c r="D13" s="183" t="s">
        <v>1330</v>
      </c>
      <c r="E13" s="183" t="s">
        <v>162</v>
      </c>
      <c r="F13" s="114" t="s">
        <v>129</v>
      </c>
      <c r="G13" s="111"/>
      <c r="H13" s="359"/>
      <c r="I13" s="113" t="s">
        <v>2998</v>
      </c>
    </row>
    <row r="14">
      <c r="A14" s="103">
        <v>38432.0</v>
      </c>
      <c r="B14" s="104"/>
      <c r="C14" s="105" t="str">
        <f>HYPERLINK("http://phish.net/sideshows/guest-appearance/?d=2005-03-21", "setlist")</f>
        <v>setlist</v>
      </c>
      <c r="D14" s="181" t="s">
        <v>1330</v>
      </c>
      <c r="E14" s="181" t="s">
        <v>162</v>
      </c>
      <c r="F14" s="107" t="s">
        <v>129</v>
      </c>
      <c r="G14" s="104"/>
      <c r="H14" s="360"/>
      <c r="I14" s="106" t="s">
        <v>3911</v>
      </c>
    </row>
    <row r="15">
      <c r="A15" s="110">
        <v>38433.0</v>
      </c>
      <c r="B15" s="111"/>
      <c r="C15" s="116" t="str">
        <f>HYPERLINK("http://phish.net/sideshows/guest-appearance/?d=2005-03-22", "setlist")</f>
        <v>setlist</v>
      </c>
      <c r="D15" s="183" t="s">
        <v>1330</v>
      </c>
      <c r="E15" s="183" t="s">
        <v>162</v>
      </c>
      <c r="F15" s="114" t="s">
        <v>129</v>
      </c>
      <c r="G15" s="111"/>
      <c r="H15" s="359"/>
      <c r="I15" s="113" t="s">
        <v>3661</v>
      </c>
    </row>
    <row r="16">
      <c r="A16" s="103">
        <v>38592.0</v>
      </c>
      <c r="B16" s="107" t="s">
        <v>32</v>
      </c>
      <c r="C16" s="105" t="str">
        <f>HYPERLINK("http://phish.net/sideshows/guest-appearance/?d=2005-08-28", "setlist")</f>
        <v>setlist</v>
      </c>
      <c r="D16" s="181" t="s">
        <v>2462</v>
      </c>
      <c r="E16" s="181" t="s">
        <v>2463</v>
      </c>
      <c r="F16" s="107" t="s">
        <v>35</v>
      </c>
      <c r="G16" s="107" t="s">
        <v>36</v>
      </c>
      <c r="H16" s="105" t="str">
        <f>HYPERLINK("http://www.mediafire.com/?d64ca26rtz93r", "download link")</f>
        <v>download link</v>
      </c>
      <c r="I16" s="106" t="s">
        <v>3661</v>
      </c>
    </row>
    <row r="17">
      <c r="A17" s="150">
        <v>39884.0</v>
      </c>
      <c r="B17" s="151" t="s">
        <v>32</v>
      </c>
      <c r="C17" s="116" t="str">
        <f>HYPERLINK("http://phish.net/sideshows/guest-appearance/?d=2009-03-12","setlist")</f>
        <v>setlist</v>
      </c>
      <c r="D17" s="290" t="s">
        <v>1330</v>
      </c>
      <c r="E17" s="153" t="s">
        <v>162</v>
      </c>
      <c r="F17" s="151" t="s">
        <v>129</v>
      </c>
      <c r="G17" s="151" t="s">
        <v>36</v>
      </c>
      <c r="H17" s="116" t="str">
        <f>HYPERLINK("http://www.mediafire.com/?l5d0bc4zsi3af","download link")</f>
        <v>download link</v>
      </c>
      <c r="I17" s="153" t="s">
        <v>3978</v>
      </c>
    </row>
    <row r="18">
      <c r="A18" s="103">
        <v>41740.0</v>
      </c>
      <c r="B18" s="104"/>
      <c r="C18" s="105" t="str">
        <f>HYPERLINK("http://phish.net/sideshows/trey-anastasio-band/?showid=1397275645", "setlist")</f>
        <v>setlist</v>
      </c>
      <c r="D18" s="181" t="s">
        <v>3049</v>
      </c>
      <c r="E18" s="181" t="s">
        <v>3050</v>
      </c>
      <c r="F18" s="107" t="s">
        <v>1133</v>
      </c>
      <c r="G18" s="104"/>
      <c r="H18" s="182"/>
      <c r="I18" s="181" t="s">
        <v>3670</v>
      </c>
    </row>
    <row r="19">
      <c r="A19" s="350"/>
      <c r="B19" s="351"/>
      <c r="C19" s="396"/>
      <c r="D19" s="356" t="s">
        <v>3984</v>
      </c>
      <c r="E19" s="350"/>
      <c r="F19" s="351"/>
      <c r="G19" s="351"/>
      <c r="H19" s="351"/>
      <c r="I19" s="350"/>
    </row>
    <row r="20">
      <c r="A20" s="147">
        <v>40378.0</v>
      </c>
      <c r="C20" s="135" t="str">
        <f>HYPERLINK("http://phish.net/sideshows/guest-appearance/?d=2010-07-19","setlist")</f>
        <v>setlist</v>
      </c>
      <c r="D20" s="400" t="s">
        <v>3985</v>
      </c>
      <c r="E20" s="149" t="s">
        <v>162</v>
      </c>
      <c r="F20" s="148" t="s">
        <v>129</v>
      </c>
      <c r="I20" s="149" t="s">
        <v>3781</v>
      </c>
    </row>
    <row r="21">
      <c r="A21" s="103">
        <v>41239.0</v>
      </c>
      <c r="B21" s="104"/>
      <c r="C21" s="105" t="str">
        <f>HYPERLINK("http://phish.net/sideshows/jon-fishman/?d="&amp;RIGHT(TEXT(A21,"mm/dd/yyyy"),4)&amp;"-"&amp;LEFT(TEXT(A21,"mm/dd/yyyy"),2)&amp;"-"&amp;MID(TEXT(A21,"mm/dd/yyyy"),4,2), "setlist")</f>
        <v>setlist</v>
      </c>
      <c r="D21" s="181" t="s">
        <v>3985</v>
      </c>
      <c r="E21" s="181" t="s">
        <v>162</v>
      </c>
      <c r="F21" s="107" t="s">
        <v>129</v>
      </c>
      <c r="G21" s="104"/>
      <c r="H21" s="108"/>
      <c r="I21" s="181" t="s">
        <v>3670</v>
      </c>
    </row>
    <row r="22">
      <c r="A22" s="350"/>
      <c r="B22" s="351"/>
      <c r="C22" s="396"/>
      <c r="D22" s="356" t="s">
        <v>3805</v>
      </c>
      <c r="E22" s="350"/>
      <c r="F22" s="351"/>
      <c r="G22" s="351"/>
      <c r="H22" s="351"/>
      <c r="I22" s="350"/>
    </row>
    <row r="23">
      <c r="A23" s="110">
        <v>36848.0</v>
      </c>
      <c r="C23" s="135" t="str">
        <f>HYPERLINK("http://phish.net/sideshows/guest-appearance/?d=2000-11-18", "setlist")</f>
        <v>setlist</v>
      </c>
      <c r="D23" s="183" t="s">
        <v>2817</v>
      </c>
      <c r="E23" s="183" t="s">
        <v>854</v>
      </c>
      <c r="F23" s="114" t="s">
        <v>35</v>
      </c>
      <c r="G23" s="114" t="s">
        <v>36</v>
      </c>
      <c r="H23" s="116" t="str">
        <f>HYPERLINK("http://www.mediafire.com/?6flrjoifhc5j6","download link")</f>
        <v>download link</v>
      </c>
      <c r="I23" s="113" t="s">
        <v>3670</v>
      </c>
    </row>
    <row r="24">
      <c r="A24" s="130">
        <v>38101.0</v>
      </c>
      <c r="B24" s="260"/>
      <c r="C24" s="105" t="str">
        <f>HYPERLINK("http://phish.net/sideshows/guest-appearance/?d=2004-04-24","setlist")</f>
        <v>setlist</v>
      </c>
      <c r="D24" s="287" t="s">
        <v>2817</v>
      </c>
      <c r="E24" s="287" t="s">
        <v>854</v>
      </c>
      <c r="F24" s="133" t="s">
        <v>35</v>
      </c>
      <c r="G24" s="260"/>
      <c r="H24" s="260"/>
      <c r="I24" s="132" t="s">
        <v>3720</v>
      </c>
    </row>
    <row r="25">
      <c r="A25" s="142">
        <v>38114.0</v>
      </c>
      <c r="B25" s="144"/>
      <c r="C25" s="116" t="str">
        <f>HYPERLINK("http://phish.net/sideshows/guest-appearance/?showid=1332299679", "setlist")</f>
        <v>setlist</v>
      </c>
      <c r="D25" s="272" t="s">
        <v>3511</v>
      </c>
      <c r="E25" s="272" t="s">
        <v>162</v>
      </c>
      <c r="F25" s="115" t="s">
        <v>129</v>
      </c>
      <c r="G25" s="115">
        <v>128.0</v>
      </c>
      <c r="H25" s="116" t="str">
        <f>HYPERLINK("http://www.mediafire.com/?ovkcpudzc182x","download link")</f>
        <v>download link</v>
      </c>
      <c r="I25" s="118" t="s">
        <v>2787</v>
      </c>
    </row>
    <row r="26">
      <c r="A26" s="380"/>
      <c r="B26" s="381"/>
      <c r="C26" s="366"/>
      <c r="D26" s="356" t="s">
        <v>4007</v>
      </c>
      <c r="E26" s="391"/>
      <c r="F26" s="381"/>
      <c r="G26" s="381"/>
      <c r="H26" s="358"/>
      <c r="I26" s="391"/>
    </row>
    <row r="27">
      <c r="A27" s="110">
        <v>41335.0</v>
      </c>
      <c r="B27" s="111"/>
      <c r="C27" s="135" t="str">
        <f>HYPERLINK("http://phish.net/sideshows/guest-appearance/?d=2013-03-02", "setlist")</f>
        <v>setlist</v>
      </c>
      <c r="D27" s="183" t="s">
        <v>2817</v>
      </c>
      <c r="E27" s="183" t="s">
        <v>2826</v>
      </c>
      <c r="F27" s="114" t="s">
        <v>35</v>
      </c>
      <c r="G27" s="111"/>
      <c r="H27" s="138"/>
      <c r="I27" s="183" t="s">
        <v>3718</v>
      </c>
    </row>
    <row r="28">
      <c r="A28" s="350"/>
      <c r="B28" s="351"/>
      <c r="C28" s="351"/>
      <c r="D28" s="356" t="s">
        <v>4056</v>
      </c>
      <c r="E28" s="357"/>
      <c r="F28" s="351"/>
      <c r="G28" s="351"/>
      <c r="H28" s="358"/>
      <c r="I28" s="357"/>
    </row>
    <row r="29">
      <c r="A29" s="147">
        <v>33792.0</v>
      </c>
      <c r="B29" s="148" t="s">
        <v>32</v>
      </c>
      <c r="C29" s="135" t="str">
        <f>HYPERLINK("http://phish.net/sideshows/guest-appearance/?d=1992-07-07","setlist")</f>
        <v>setlist</v>
      </c>
      <c r="D29" s="400" t="s">
        <v>3665</v>
      </c>
      <c r="E29" s="400" t="s">
        <v>34</v>
      </c>
      <c r="F29" s="148" t="s">
        <v>35</v>
      </c>
      <c r="G29" s="148" t="s">
        <v>36</v>
      </c>
      <c r="H29" s="135" t="str">
        <f>HYPERLINK("http://www.mediafire.com/?c3ao585tns141","download link")</f>
        <v>download link</v>
      </c>
      <c r="I29" s="400" t="s">
        <v>3668</v>
      </c>
    </row>
    <row r="30">
      <c r="A30" s="130">
        <v>34402.0</v>
      </c>
      <c r="B30" s="133" t="s">
        <v>32</v>
      </c>
      <c r="C30" s="105" t="str">
        <f>HYPERLINK("http://phish.net/sideshows/guest-appearance/?d=1994-03-09","setlist")</f>
        <v>setlist</v>
      </c>
      <c r="D30" s="287" t="s">
        <v>260</v>
      </c>
      <c r="E30" s="287" t="s">
        <v>94</v>
      </c>
      <c r="F30" s="133" t="s">
        <v>95</v>
      </c>
      <c r="G30" s="133" t="s">
        <v>36</v>
      </c>
      <c r="H30" s="105" t="str">
        <f>HYPERLINK("http://www.mediafire.com/?ijtu1jqjffp5r","download link")</f>
        <v>download link</v>
      </c>
      <c r="I30" s="132" t="s">
        <v>2787</v>
      </c>
    </row>
    <row r="31">
      <c r="A31" s="150">
        <v>34404.0</v>
      </c>
      <c r="B31" s="151" t="s">
        <v>32</v>
      </c>
      <c r="C31" s="116" t="str">
        <f>HYPERLINK("http://phish.net/sideshows/guest-appearance/?d=1994-03-11","setlist")</f>
        <v>setlist</v>
      </c>
      <c r="D31" s="290" t="s">
        <v>2804</v>
      </c>
      <c r="E31" s="290" t="s">
        <v>34</v>
      </c>
      <c r="F31" s="151" t="s">
        <v>35</v>
      </c>
      <c r="G31" s="151" t="s">
        <v>36</v>
      </c>
      <c r="H31" s="116" t="str">
        <f>HYPERLINK("http://www.mediafire.com/?dtzait2bwpdc3","download link")</f>
        <v>download link</v>
      </c>
      <c r="I31" s="153" t="s">
        <v>3693</v>
      </c>
    </row>
    <row r="32">
      <c r="A32" s="130">
        <v>34406.0</v>
      </c>
      <c r="B32" s="260"/>
      <c r="C32" s="105" t="str">
        <f>HYPERLINK(((((("http://phish.net/sideshows/trey-anastasio-band/?d="&amp;RIGHT(TEXT(A32,"mm/dd/yyyy"),4))&amp;"-")&amp;LEFT(TEXT(A32,"mm/dd/yyyy"),2))&amp;"-")&amp;MID(TEXT(A32,"mm/dd/yyyy"),4,2)),"setlist")</f>
        <v>setlist</v>
      </c>
      <c r="D32" s="287" t="s">
        <v>3694</v>
      </c>
      <c r="E32" s="287" t="s">
        <v>390</v>
      </c>
      <c r="F32" s="133" t="s">
        <v>35</v>
      </c>
      <c r="G32" s="260"/>
      <c r="H32" s="260"/>
      <c r="I32" s="132" t="s">
        <v>2889</v>
      </c>
    </row>
    <row r="33">
      <c r="A33" s="150">
        <v>34446.0</v>
      </c>
      <c r="B33" s="156"/>
      <c r="C33" s="116" t="str">
        <f>HYPERLINK("http://phish.net/sideshows/guest-appearance/?showid=1326677671","setlist")</f>
        <v>setlist</v>
      </c>
      <c r="D33" s="290" t="s">
        <v>3695</v>
      </c>
      <c r="E33" s="290" t="s">
        <v>439</v>
      </c>
      <c r="F33" s="151" t="s">
        <v>430</v>
      </c>
      <c r="G33" s="156"/>
      <c r="H33" s="156"/>
      <c r="I33" s="153" t="s">
        <v>3696</v>
      </c>
    </row>
    <row r="34">
      <c r="A34" s="130">
        <v>35368.0</v>
      </c>
      <c r="B34" s="260"/>
      <c r="C34" s="105" t="str">
        <f>HYPERLINK("http://phish.net/sideshows/guest-appearance/?d=1996-10-30","setlist")</f>
        <v>setlist</v>
      </c>
      <c r="D34" s="287" t="s">
        <v>447</v>
      </c>
      <c r="E34" s="287" t="s">
        <v>437</v>
      </c>
      <c r="F34" s="133" t="s">
        <v>433</v>
      </c>
      <c r="G34" s="260"/>
      <c r="H34" s="260"/>
      <c r="I34" s="132" t="s">
        <v>3738</v>
      </c>
    </row>
    <row r="35">
      <c r="A35" s="350"/>
      <c r="B35" s="351"/>
      <c r="C35" s="396"/>
      <c r="D35" s="356" t="s">
        <v>3975</v>
      </c>
      <c r="E35" s="350"/>
      <c r="F35" s="351"/>
      <c r="G35" s="351"/>
      <c r="H35" s="351"/>
      <c r="I35" s="350"/>
    </row>
    <row r="36">
      <c r="A36" s="147">
        <v>39725.0</v>
      </c>
      <c r="C36" s="135" t="str">
        <f>HYPERLINK("http://phish.net/sideshows/guest-appearance/?d=2008-10-04","setlist")</f>
        <v>setlist</v>
      </c>
      <c r="D36" s="400" t="s">
        <v>2817</v>
      </c>
      <c r="E36" s="149" t="s">
        <v>2826</v>
      </c>
      <c r="F36" s="148" t="s">
        <v>35</v>
      </c>
      <c r="G36" s="148" t="s">
        <v>36</v>
      </c>
      <c r="H36" s="135" t="str">
        <f>HYPERLINK("http://www.mediafire.com/?eigf7423cdarr","download link")</f>
        <v>download link</v>
      </c>
      <c r="I36" s="149" t="s">
        <v>3718</v>
      </c>
    </row>
    <row r="37">
      <c r="A37" s="381"/>
      <c r="B37" s="381"/>
      <c r="C37" s="366"/>
      <c r="D37" s="383" t="s">
        <v>4024</v>
      </c>
      <c r="E37" s="391"/>
      <c r="F37" s="381"/>
      <c r="G37" s="381"/>
      <c r="H37" s="358"/>
      <c r="I37" s="391"/>
    </row>
    <row r="38">
      <c r="A38" s="110">
        <v>42258.0</v>
      </c>
      <c r="B38" s="111"/>
      <c r="C38" s="135" t="str">
        <f>HYPERLINK("http://phish.net/sideshows/mike-gordon/?d=2015-09-11", "setlist")</f>
        <v>setlist</v>
      </c>
      <c r="D38" s="269" t="s">
        <v>4025</v>
      </c>
      <c r="E38" s="269" t="s">
        <v>34</v>
      </c>
      <c r="F38" s="139" t="s">
        <v>35</v>
      </c>
      <c r="G38" s="114"/>
      <c r="H38" s="270"/>
      <c r="I38" s="269" t="s">
        <v>2998</v>
      </c>
    </row>
    <row r="39">
      <c r="A39" s="350"/>
      <c r="B39" s="351"/>
      <c r="C39" s="362"/>
      <c r="D39" s="356" t="s">
        <v>3756</v>
      </c>
      <c r="E39" s="350"/>
      <c r="F39" s="351"/>
      <c r="G39" s="351"/>
      <c r="H39" s="351"/>
      <c r="I39" s="350"/>
    </row>
    <row r="40">
      <c r="A40" s="110">
        <v>35840.0</v>
      </c>
      <c r="B40" s="111"/>
      <c r="C40" s="135" t="str">
        <f>HYPERLINK("http://phish.net/sideshows/guest-appearance/?d=1998-02-14", "setlist")</f>
        <v>setlist</v>
      </c>
      <c r="D40" s="183" t="s">
        <v>860</v>
      </c>
      <c r="E40" s="183" t="s">
        <v>34</v>
      </c>
      <c r="F40" s="114" t="s">
        <v>35</v>
      </c>
      <c r="G40" s="111"/>
      <c r="H40" s="111"/>
      <c r="I40" s="113" t="s">
        <v>3757</v>
      </c>
    </row>
    <row r="41">
      <c r="A41" s="350"/>
      <c r="B41" s="351"/>
      <c r="C41" s="396"/>
      <c r="D41" s="356" t="s">
        <v>3900</v>
      </c>
      <c r="E41" s="350"/>
      <c r="F41" s="351"/>
      <c r="G41" s="351"/>
      <c r="H41" s="351"/>
      <c r="I41" s="350"/>
    </row>
    <row r="42">
      <c r="A42" s="147">
        <v>38009.0</v>
      </c>
      <c r="C42" s="135" t="str">
        <f>HYPERLINK("http://phish.net/sideshows/guest-appearance/?d=2004-01-23","setlist")</f>
        <v>setlist</v>
      </c>
      <c r="D42" s="400" t="s">
        <v>3901</v>
      </c>
      <c r="E42" s="400" t="s">
        <v>162</v>
      </c>
      <c r="F42" s="148" t="s">
        <v>129</v>
      </c>
      <c r="I42" s="149" t="s">
        <v>2998</v>
      </c>
    </row>
    <row r="43">
      <c r="A43" s="130">
        <v>38596.0</v>
      </c>
      <c r="B43" s="260"/>
      <c r="C43" s="105" t="str">
        <f>HYPERLINK("http://phish.net/sideshows/guest-appearance/?d=2005-09-01","setlist")</f>
        <v>setlist</v>
      </c>
      <c r="D43" s="287" t="s">
        <v>2817</v>
      </c>
      <c r="E43" s="287" t="s">
        <v>2826</v>
      </c>
      <c r="F43" s="133" t="s">
        <v>35</v>
      </c>
      <c r="G43" s="260"/>
      <c r="H43" s="260"/>
      <c r="I43" s="132" t="s">
        <v>3770</v>
      </c>
    </row>
    <row r="44">
      <c r="A44" s="147">
        <v>38813.0</v>
      </c>
      <c r="C44" s="135" t="str">
        <f>HYPERLINK("http://phish.net/sideshows/guest-appearance/?d=2006-04-06","setlist")</f>
        <v>setlist</v>
      </c>
      <c r="D44" s="400" t="s">
        <v>2817</v>
      </c>
      <c r="E44" s="400" t="s">
        <v>2826</v>
      </c>
      <c r="F44" s="148" t="s">
        <v>35</v>
      </c>
      <c r="G44" s="148" t="s">
        <v>36</v>
      </c>
      <c r="H44" s="135" t="str">
        <f>HYPERLINK("http://www.mediafire.com/?tgwbl3bm8zi6s","download link")</f>
        <v>download link</v>
      </c>
      <c r="I44" s="149" t="s">
        <v>3932</v>
      </c>
    </row>
    <row r="45">
      <c r="A45" s="130">
        <v>38920.0</v>
      </c>
      <c r="B45" s="260"/>
      <c r="C45" s="105" t="str">
        <f>HYPERLINK("http://phish.net/sideshows/guest-appearance/?showid=1327982252","setlist")</f>
        <v>setlist</v>
      </c>
      <c r="D45" s="287" t="s">
        <v>2927</v>
      </c>
      <c r="E45" s="132" t="s">
        <v>2928</v>
      </c>
      <c r="F45" s="133" t="s">
        <v>486</v>
      </c>
      <c r="G45" s="133" t="s">
        <v>36</v>
      </c>
      <c r="H45" s="105" t="str">
        <f>HYPERLINK("http://www.mediafire.com/?j5mcua15d3dhz","download link")</f>
        <v>download link</v>
      </c>
      <c r="I45" s="132" t="s">
        <v>3809</v>
      </c>
    </row>
    <row r="46">
      <c r="A46" s="147">
        <v>39059.0</v>
      </c>
      <c r="C46" s="135" t="str">
        <f>HYPERLINK("http://phish.net/sideshows/guest-appearance/?showid=1328063470","setlist")</f>
        <v>setlist</v>
      </c>
      <c r="D46" s="400" t="s">
        <v>2817</v>
      </c>
      <c r="E46" s="149" t="s">
        <v>2826</v>
      </c>
      <c r="F46" s="148" t="s">
        <v>35</v>
      </c>
      <c r="G46" s="148" t="s">
        <v>36</v>
      </c>
      <c r="H46" s="135" t="str">
        <f>HYPERLINK("http://www.mediafire.com/?r7pqr5f6knr15","download link")</f>
        <v>download link</v>
      </c>
      <c r="I46" s="149" t="s">
        <v>3720</v>
      </c>
    </row>
    <row r="47">
      <c r="A47" s="130">
        <v>39401.0</v>
      </c>
      <c r="B47" s="260"/>
      <c r="C47" s="105" t="str">
        <f>HYPERLINK("http://phish.net/sideshows/guest-appearance/?d=2007-11-15","setlist")</f>
        <v>setlist</v>
      </c>
      <c r="D47" s="287" t="s">
        <v>2817</v>
      </c>
      <c r="E47" s="132" t="s">
        <v>2826</v>
      </c>
      <c r="F47" s="133" t="s">
        <v>35</v>
      </c>
      <c r="G47" s="133" t="s">
        <v>36</v>
      </c>
      <c r="H47" s="105" t="str">
        <f>HYPERLINK("http://www.mediafire.com/?ko5ip5d1h5c13","download link")</f>
        <v>download link</v>
      </c>
      <c r="I47" s="132" t="s">
        <v>2998</v>
      </c>
    </row>
    <row r="48">
      <c r="A48" s="147">
        <v>39737.0</v>
      </c>
      <c r="B48" s="148" t="s">
        <v>32</v>
      </c>
      <c r="C48" s="135" t="str">
        <f>HYPERLINK("http://phish.net/sideshows/guest-appearance/?showid=1328069603","setlist")</f>
        <v>setlist</v>
      </c>
      <c r="D48" s="400" t="s">
        <v>2817</v>
      </c>
      <c r="E48" s="149" t="s">
        <v>2826</v>
      </c>
      <c r="F48" s="148" t="s">
        <v>35</v>
      </c>
      <c r="G48" s="148" t="s">
        <v>36</v>
      </c>
      <c r="H48" s="135" t="str">
        <f>HYPERLINK("http://www.mediafire.com/?bnp9wc7tk457n","download link")</f>
        <v>download link</v>
      </c>
      <c r="I48" s="149" t="s">
        <v>2998</v>
      </c>
    </row>
    <row r="49">
      <c r="A49" s="103">
        <v>43035.0</v>
      </c>
      <c r="B49" s="104"/>
      <c r="C49" s="105" t="str">
        <f>HYPERLINK("http://phish.net/setlists/mike-gordon-october-27-2017-spirit-of-the-suwannee-music-park-live-oak-fl-usa-2.html", "setlist")</f>
        <v>setlist</v>
      </c>
      <c r="D49" s="266" t="s">
        <v>3049</v>
      </c>
      <c r="E49" s="266" t="s">
        <v>3050</v>
      </c>
      <c r="F49" s="141" t="s">
        <v>1133</v>
      </c>
      <c r="G49" s="141"/>
      <c r="H49" s="143"/>
      <c r="I49" s="266" t="s">
        <v>2998</v>
      </c>
    </row>
    <row r="50">
      <c r="A50" s="350"/>
      <c r="B50" s="351"/>
      <c r="C50" s="362"/>
      <c r="D50" s="356" t="s">
        <v>3828</v>
      </c>
      <c r="E50" s="350"/>
      <c r="F50" s="351"/>
      <c r="G50" s="351"/>
      <c r="H50" s="351"/>
      <c r="I50" s="350"/>
    </row>
    <row r="51">
      <c r="A51" s="110">
        <v>37215.0</v>
      </c>
      <c r="B51" s="111"/>
      <c r="C51" s="116" t="str">
        <f>HYPERLINK("http://phish.net/sideshows/guest-appearance/?d=2001-11-20", "setlist")</f>
        <v>setlist</v>
      </c>
      <c r="D51" s="183" t="s">
        <v>3236</v>
      </c>
      <c r="E51" s="183" t="s">
        <v>162</v>
      </c>
      <c r="F51" s="114" t="s">
        <v>129</v>
      </c>
      <c r="G51" s="114" t="s">
        <v>36</v>
      </c>
      <c r="H51" s="116" t="str">
        <f>HYPERLINK("http://www.mediafire.com/?mqbbxv0a699ho", "download link")</f>
        <v>download link</v>
      </c>
      <c r="I51" s="113" t="s">
        <v>2998</v>
      </c>
    </row>
    <row r="52">
      <c r="A52" s="350"/>
      <c r="B52" s="351"/>
      <c r="C52" s="362"/>
      <c r="D52" s="356" t="s">
        <v>3843</v>
      </c>
      <c r="E52" s="350"/>
      <c r="F52" s="351"/>
      <c r="G52" s="351"/>
      <c r="H52" s="351"/>
      <c r="I52" s="350"/>
    </row>
    <row r="53">
      <c r="A53" s="110">
        <v>37420.0</v>
      </c>
      <c r="B53" s="111"/>
      <c r="C53" s="135" t="str">
        <f>HYPERLINK("http://phish.net/sideshows/guest-appearance/?showid=1330395342", "setlist")</f>
        <v>setlist</v>
      </c>
      <c r="D53" s="183" t="s">
        <v>3844</v>
      </c>
      <c r="E53" s="183" t="s">
        <v>162</v>
      </c>
      <c r="F53" s="114" t="s">
        <v>129</v>
      </c>
      <c r="G53" s="111"/>
      <c r="H53" s="111"/>
      <c r="I53" s="113" t="s">
        <v>3712</v>
      </c>
    </row>
    <row r="54">
      <c r="A54" s="103">
        <v>37700.0</v>
      </c>
      <c r="B54" s="104"/>
      <c r="C54" s="105" t="str">
        <f>HYPERLINK("http://phish.net/sideshows/guest-appearance/?d=2003-03-20", "setlist")</f>
        <v>setlist</v>
      </c>
      <c r="D54" s="181" t="s">
        <v>3844</v>
      </c>
      <c r="E54" s="181" t="s">
        <v>162</v>
      </c>
      <c r="F54" s="107" t="s">
        <v>129</v>
      </c>
      <c r="G54" s="104"/>
      <c r="H54" s="360"/>
      <c r="I54" s="106" t="s">
        <v>3712</v>
      </c>
    </row>
    <row r="55">
      <c r="A55" s="350"/>
      <c r="B55" s="351"/>
      <c r="C55" s="396"/>
      <c r="D55" s="356" t="s">
        <v>3766</v>
      </c>
      <c r="E55" s="350"/>
      <c r="F55" s="351"/>
      <c r="G55" s="351"/>
      <c r="H55" s="351"/>
      <c r="I55" s="350"/>
    </row>
    <row r="56">
      <c r="A56" s="147">
        <v>36133.0</v>
      </c>
      <c r="C56" s="135" t="str">
        <f>HYPERLINK("http://phish.net/sideshows/guest-appearance/?d=1998-12-04","setlist")</f>
        <v>setlist</v>
      </c>
      <c r="D56" s="400" t="s">
        <v>3767</v>
      </c>
      <c r="E56" s="400" t="s">
        <v>2162</v>
      </c>
      <c r="F56" s="148" t="s">
        <v>2085</v>
      </c>
      <c r="I56" s="149" t="s">
        <v>3741</v>
      </c>
    </row>
    <row r="57">
      <c r="A57" s="350"/>
      <c r="B57" s="351"/>
      <c r="C57" s="362"/>
      <c r="D57" s="356" t="s">
        <v>3701</v>
      </c>
      <c r="E57" s="350"/>
      <c r="F57" s="351"/>
      <c r="G57" s="351"/>
      <c r="H57" s="351"/>
      <c r="I57" s="350"/>
    </row>
    <row r="58">
      <c r="A58" s="110">
        <v>34559.0</v>
      </c>
      <c r="B58" s="111"/>
      <c r="C58" s="116" t="str">
        <f>HYPERLINK("http://phish.net/sideshows/guest-appearance/?d=1994-08-13", "setlist")</f>
        <v>setlist</v>
      </c>
      <c r="D58" s="183" t="s">
        <v>3702</v>
      </c>
      <c r="E58" s="183" t="s">
        <v>1011</v>
      </c>
      <c r="F58" s="114" t="s">
        <v>35</v>
      </c>
      <c r="G58" s="111"/>
      <c r="H58" s="359"/>
      <c r="I58" s="113" t="s">
        <v>3703</v>
      </c>
    </row>
    <row r="59">
      <c r="A59" s="103">
        <v>34945.0</v>
      </c>
      <c r="B59" s="104"/>
      <c r="C59" s="105" t="str">
        <f>HYPERLINK("http://phish.net/sideshows/page-mcconnell/1995.html", "setlist")</f>
        <v>setlist</v>
      </c>
      <c r="D59" s="181" t="s">
        <v>3721</v>
      </c>
      <c r="E59" s="181" t="s">
        <v>2463</v>
      </c>
      <c r="F59" s="107" t="s">
        <v>35</v>
      </c>
      <c r="G59" s="104"/>
      <c r="H59" s="360"/>
      <c r="I59" s="106" t="s">
        <v>3722</v>
      </c>
    </row>
    <row r="60">
      <c r="A60" s="142">
        <v>36323.0</v>
      </c>
      <c r="B60" s="144"/>
      <c r="C60" s="116" t="str">
        <f>HYPERLINK("http://phish.net/sideshows/guest-appearance/?d=1999-06-12", "setlist")</f>
        <v>setlist</v>
      </c>
      <c r="D60" s="272" t="s">
        <v>2804</v>
      </c>
      <c r="E60" s="272" t="s">
        <v>34</v>
      </c>
      <c r="F60" s="115" t="s">
        <v>35</v>
      </c>
      <c r="G60" s="144"/>
      <c r="H60" s="379"/>
      <c r="I60" s="118" t="s">
        <v>3781</v>
      </c>
    </row>
    <row r="61">
      <c r="A61" s="350"/>
      <c r="B61" s="354"/>
      <c r="C61" s="352"/>
      <c r="D61" s="370" t="s">
        <v>4053</v>
      </c>
      <c r="E61" s="355"/>
      <c r="F61" s="354"/>
      <c r="G61" s="354"/>
      <c r="H61" s="351"/>
      <c r="I61" s="355"/>
    </row>
    <row r="62">
      <c r="A62" s="150">
        <v>44741.0</v>
      </c>
      <c r="B62" s="156"/>
      <c r="C62" s="197" t="str">
        <f>HYPERLINK("http://phish.net/sideshows/trey-anastasio-band/?d="&amp;RIGHT(TEXT(#REF!,"mm/dd/yyyy"),4)&amp;"-"&amp;LEFT(TEXT(#REF!,"mm/dd/yyyy"),2)&amp;"-"&amp;MID(TEXT(#REF!,"mm/dd/yyyy"),4,2), "setlist")</f>
        <v>setlist</v>
      </c>
      <c r="D62" s="152" t="s">
        <v>4054</v>
      </c>
      <c r="E62" s="152" t="s">
        <v>162</v>
      </c>
      <c r="F62" s="196" t="s">
        <v>129</v>
      </c>
      <c r="G62" s="196" t="s">
        <v>36</v>
      </c>
      <c r="H62" s="116" t="str">
        <f>HYPERLINK("https://www.mediafire.com/file/ras8eyifw25u6tt/2022-06-29_-_Pier_17_-_New_York%252C_NY.rar/file", "download link")</f>
        <v>download link</v>
      </c>
      <c r="I62" s="152" t="s">
        <v>3807</v>
      </c>
    </row>
    <row r="63">
      <c r="A63" s="350"/>
      <c r="B63" s="351"/>
      <c r="C63" s="396"/>
      <c r="D63" s="356" t="s">
        <v>4057</v>
      </c>
      <c r="E63" s="350"/>
      <c r="F63" s="351"/>
      <c r="G63" s="351"/>
      <c r="H63" s="351"/>
      <c r="I63" s="350"/>
    </row>
    <row r="64">
      <c r="A64" s="147">
        <v>38717.0</v>
      </c>
      <c r="C64" s="135" t="str">
        <f>HYPERLINK("http://phish.net/sideshows/guest-appearance/?showid=1327874211","setlist")</f>
        <v>setlist</v>
      </c>
      <c r="D64" s="400" t="s">
        <v>1553</v>
      </c>
      <c r="E64" s="400" t="s">
        <v>162</v>
      </c>
      <c r="F64" s="148" t="s">
        <v>129</v>
      </c>
      <c r="G64" s="148" t="s">
        <v>36</v>
      </c>
      <c r="H64" s="135" t="str">
        <f>HYPERLINK("http://www.mediafire.com/?l0cb6nl2dv2k6","download link")</f>
        <v>download link</v>
      </c>
      <c r="I64" s="149" t="s">
        <v>3670</v>
      </c>
    </row>
    <row r="65">
      <c r="A65" s="350"/>
      <c r="B65" s="351"/>
      <c r="C65" s="396"/>
      <c r="D65" s="356" t="s">
        <v>3821</v>
      </c>
      <c r="E65" s="350"/>
      <c r="F65" s="351"/>
      <c r="G65" s="351"/>
      <c r="H65" s="351"/>
      <c r="I65" s="350"/>
    </row>
    <row r="66">
      <c r="A66" s="110">
        <v>37105.0</v>
      </c>
      <c r="B66" s="114" t="s">
        <v>32</v>
      </c>
      <c r="C66" s="135" t="str">
        <f>HYPERLINK("http://phish.net/sideshows/guest-appearance/?showid=1338341999","setlist")</f>
        <v>setlist</v>
      </c>
      <c r="D66" s="183" t="s">
        <v>271</v>
      </c>
      <c r="E66" s="183" t="s">
        <v>162</v>
      </c>
      <c r="F66" s="114" t="s">
        <v>129</v>
      </c>
      <c r="G66" s="114" t="s">
        <v>36</v>
      </c>
      <c r="H66" s="135" t="str">
        <f>HYPERLINK("http://www.mediafire.com/?gcy7aeksh68q9","download link")</f>
        <v>download link</v>
      </c>
      <c r="I66" s="113" t="s">
        <v>3718</v>
      </c>
    </row>
    <row r="67">
      <c r="A67" s="350"/>
      <c r="B67" s="351"/>
      <c r="C67" s="396"/>
      <c r="D67" s="356" t="s">
        <v>3747</v>
      </c>
      <c r="E67" s="350"/>
      <c r="F67" s="351"/>
      <c r="G67" s="351"/>
      <c r="H67" s="351"/>
      <c r="I67" s="350"/>
    </row>
    <row r="68">
      <c r="A68" s="147">
        <v>35630.0</v>
      </c>
      <c r="C68" s="135" t="str">
        <f>HYPERLINK("http://phish.net/sideshows/guest-appearance/?d=1997-07-19","setlist")</f>
        <v>setlist</v>
      </c>
      <c r="D68" s="400" t="s">
        <v>3116</v>
      </c>
      <c r="E68" s="400" t="s">
        <v>34</v>
      </c>
      <c r="F68" s="148" t="s">
        <v>35</v>
      </c>
      <c r="I68" s="149" t="s">
        <v>3664</v>
      </c>
    </row>
    <row r="69">
      <c r="A69" s="130">
        <v>37293.0</v>
      </c>
      <c r="B69" s="260"/>
      <c r="C69" s="105" t="str">
        <f>HYPERLINK("http://phish.net/sideshows/guest-appearance/?d=2002-02-06","setlist")</f>
        <v>setlist</v>
      </c>
      <c r="D69" s="287" t="s">
        <v>2817</v>
      </c>
      <c r="E69" s="287" t="s">
        <v>854</v>
      </c>
      <c r="F69" s="133" t="s">
        <v>35</v>
      </c>
      <c r="G69" s="260"/>
      <c r="H69" s="260"/>
      <c r="I69" s="132" t="s">
        <v>2885</v>
      </c>
    </row>
    <row r="70">
      <c r="A70" s="350"/>
      <c r="B70" s="351"/>
      <c r="C70" s="396"/>
      <c r="D70" s="356" t="s">
        <v>3660</v>
      </c>
      <c r="E70" s="350"/>
      <c r="F70" s="351"/>
      <c r="G70" s="351"/>
      <c r="H70" s="351"/>
      <c r="I70" s="350"/>
    </row>
    <row r="71">
      <c r="A71" s="147">
        <v>33263.0</v>
      </c>
      <c r="C71" s="135" t="str">
        <f>HYPERLINK("http://phish.net/sideshows/guest-appearance/?d=1991-01-25","setlist")</f>
        <v>setlist</v>
      </c>
      <c r="D71" s="400" t="s">
        <v>2895</v>
      </c>
      <c r="E71" s="400" t="s">
        <v>34</v>
      </c>
      <c r="F71" s="148" t="s">
        <v>35</v>
      </c>
      <c r="I71" s="149" t="s">
        <v>3661</v>
      </c>
    </row>
    <row r="72">
      <c r="A72" s="130">
        <v>34119.0</v>
      </c>
      <c r="B72" s="260"/>
      <c r="C72" s="105" t="str">
        <f>HYPERLINK("http://phish.net/sideshows/guest-appearance/?showid=1326337616","setlist")</f>
        <v>setlist</v>
      </c>
      <c r="D72" s="287" t="s">
        <v>1239</v>
      </c>
      <c r="E72" s="287" t="s">
        <v>3680</v>
      </c>
      <c r="F72" s="133" t="s">
        <v>679</v>
      </c>
      <c r="G72" s="133" t="s">
        <v>36</v>
      </c>
      <c r="H72" s="105" t="str">
        <f>HYPERLINK("http://www.mediafire.com/?wigw34pu1jo0g","download link")</f>
        <v>download link</v>
      </c>
      <c r="I72" s="132" t="s">
        <v>3681</v>
      </c>
    </row>
    <row r="73">
      <c r="A73" s="147">
        <v>34452.0</v>
      </c>
      <c r="B73" s="148" t="s">
        <v>32</v>
      </c>
      <c r="C73" s="135" t="str">
        <f>HYPERLINK("http://phish.net/sideshows/guest-appearance/?showid=1326338133","setlist")</f>
        <v>setlist</v>
      </c>
      <c r="D73" s="400" t="s">
        <v>1352</v>
      </c>
      <c r="E73" s="400" t="s">
        <v>1353</v>
      </c>
      <c r="F73" s="148" t="s">
        <v>1133</v>
      </c>
      <c r="G73" s="148" t="s">
        <v>36</v>
      </c>
      <c r="H73" s="135" t="str">
        <f>HYPERLINK("http://www.mediafire.com/?969m6lvnl5099","download link")</f>
        <v>download link</v>
      </c>
      <c r="I73" s="149" t="s">
        <v>3661</v>
      </c>
    </row>
    <row r="74">
      <c r="A74" s="350"/>
      <c r="B74" s="354"/>
      <c r="C74" s="352"/>
      <c r="D74" s="370" t="s">
        <v>4049</v>
      </c>
      <c r="E74" s="355"/>
      <c r="F74" s="354"/>
      <c r="G74" s="354"/>
      <c r="H74" s="351"/>
      <c r="I74" s="355"/>
    </row>
    <row r="75">
      <c r="A75" s="150">
        <v>44372.0</v>
      </c>
      <c r="B75" s="156"/>
      <c r="C75" s="116" t="str">
        <f>HYPERLINK("http://phish.net/sideshows/trey-anastasio-band/?d="&amp;RIGHT(TEXT(A12,"mm/dd/yyyy"),4)&amp;"-"&amp;LEFT(TEXT(A12,"mm/dd/yyyy"),2)&amp;"-"&amp;MID(TEXT(A12,"mm/dd/yyyy"),4,2), "setlist")</f>
        <v>setlist</v>
      </c>
      <c r="D75" s="152" t="s">
        <v>4048</v>
      </c>
      <c r="E75" s="152" t="s">
        <v>34</v>
      </c>
      <c r="F75" s="196" t="s">
        <v>35</v>
      </c>
      <c r="G75" s="196"/>
      <c r="H75" s="197"/>
      <c r="I75" s="152" t="s">
        <v>2787</v>
      </c>
    </row>
    <row r="76">
      <c r="A76" s="350"/>
      <c r="B76" s="354"/>
      <c r="C76" s="352"/>
      <c r="D76" s="370" t="s">
        <v>4044</v>
      </c>
      <c r="E76" s="355"/>
      <c r="F76" s="354"/>
      <c r="G76" s="354"/>
      <c r="H76" s="351"/>
      <c r="I76" s="355"/>
    </row>
    <row r="77">
      <c r="A77" s="150">
        <v>43162.0</v>
      </c>
      <c r="B77" s="156"/>
      <c r="C77" s="116" t="str">
        <f>HYPERLINK("http://phish.net/sideshows/trey-anastasio-band/?d="&amp;RIGHT(TEXT(A44,"mm/dd/yyyy"),4)&amp;"-"&amp;LEFT(TEXT(A44,"mm/dd/yyyy"),2)&amp;"-"&amp;MID(TEXT(A44,"mm/dd/yyyy"),4,2), "setlist")</f>
        <v>setlist</v>
      </c>
      <c r="D77" s="152" t="s">
        <v>2157</v>
      </c>
      <c r="E77" s="152" t="s">
        <v>162</v>
      </c>
      <c r="F77" s="196" t="s">
        <v>129</v>
      </c>
      <c r="G77" s="196" t="s">
        <v>36</v>
      </c>
      <c r="H77" s="116" t="str">
        <f>HYPERLINK("http://www.mediafire.com/file/79b8dpv2758jr1j/2018-03-03_-_Radio_City_Music_Hall_-_New_York%2C_NY.rar","download link")</f>
        <v>download link</v>
      </c>
      <c r="I77" s="152" t="s">
        <v>4045</v>
      </c>
    </row>
    <row r="78">
      <c r="A78" s="350"/>
      <c r="B78" s="351"/>
      <c r="C78" s="396"/>
      <c r="D78" s="356" t="s">
        <v>4058</v>
      </c>
      <c r="E78" s="350"/>
      <c r="F78" s="351"/>
      <c r="G78" s="351"/>
      <c r="H78" s="351"/>
      <c r="I78" s="350"/>
    </row>
    <row r="79">
      <c r="A79" s="147">
        <v>39382.0</v>
      </c>
      <c r="B79" s="148" t="s">
        <v>32</v>
      </c>
      <c r="C79" s="135" t="str">
        <f>HYPERLINK("http://phish.net/sideshows/guest-appearance/?d=2007-10-27","setlist")</f>
        <v>setlist</v>
      </c>
      <c r="D79" s="400" t="s">
        <v>2817</v>
      </c>
      <c r="E79" s="149" t="s">
        <v>2826</v>
      </c>
      <c r="F79" s="148" t="s">
        <v>35</v>
      </c>
      <c r="G79" s="148" t="s">
        <v>36</v>
      </c>
      <c r="H79" s="135" t="str">
        <f>HYPERLINK("http://www.mediafire.com/?92vz80atbw88s","download link")</f>
        <v>download link</v>
      </c>
      <c r="I79" s="149" t="s">
        <v>3951</v>
      </c>
    </row>
    <row r="80">
      <c r="A80" s="350"/>
      <c r="B80" s="351"/>
      <c r="C80" s="396"/>
      <c r="D80" s="356" t="s">
        <v>3953</v>
      </c>
      <c r="E80" s="350"/>
      <c r="F80" s="351"/>
      <c r="G80" s="351"/>
      <c r="H80" s="351"/>
      <c r="I80" s="350"/>
    </row>
    <row r="81">
      <c r="A81" s="147">
        <v>39389.0</v>
      </c>
      <c r="C81" s="135" t="str">
        <f>HYPERLINK("http://phish.net/sideshows/guest-appearance/?d=2007-11-03","setlist")</f>
        <v>setlist</v>
      </c>
      <c r="D81" s="400" t="s">
        <v>2817</v>
      </c>
      <c r="E81" s="149" t="s">
        <v>2826</v>
      </c>
      <c r="F81" s="148" t="s">
        <v>35</v>
      </c>
      <c r="I81" s="149" t="s">
        <v>2998</v>
      </c>
    </row>
    <row r="82">
      <c r="A82" s="350"/>
      <c r="B82" s="351"/>
      <c r="C82" s="396"/>
      <c r="D82" s="356" t="s">
        <v>4059</v>
      </c>
      <c r="E82" s="350"/>
      <c r="F82" s="351"/>
      <c r="G82" s="351"/>
      <c r="H82" s="351"/>
      <c r="I82" s="350"/>
    </row>
    <row r="83">
      <c r="A83" s="147">
        <v>39641.0</v>
      </c>
      <c r="C83" s="135" t="str">
        <f>HYPERLINK("http://phish.net/sideshows/guest-appearance/?showid=1327717026","setlist")</f>
        <v>setlist</v>
      </c>
      <c r="D83" s="400" t="s">
        <v>2977</v>
      </c>
      <c r="E83" s="149" t="s">
        <v>2978</v>
      </c>
      <c r="F83" s="148" t="s">
        <v>874</v>
      </c>
      <c r="G83" s="148" t="s">
        <v>36</v>
      </c>
      <c r="H83" s="135" t="str">
        <f>HYPERLINK("http://www.mediafire.com/?6ph7vbm91vquy","download link")</f>
        <v>download link</v>
      </c>
      <c r="I83" s="149" t="s">
        <v>2998</v>
      </c>
    </row>
    <row r="84">
      <c r="A84" s="350"/>
      <c r="B84" s="351"/>
      <c r="C84" s="396"/>
      <c r="D84" s="356" t="s">
        <v>3729</v>
      </c>
      <c r="E84" s="350"/>
      <c r="F84" s="351"/>
      <c r="G84" s="351"/>
      <c r="H84" s="351"/>
      <c r="I84" s="350"/>
    </row>
    <row r="85">
      <c r="A85" s="147">
        <v>35183.0</v>
      </c>
      <c r="C85" s="135" t="str">
        <f>HYPERLINK("http://phish.net/sideshows/guest-appearance/?showid=1328929379","setlist")</f>
        <v>setlist</v>
      </c>
      <c r="D85" s="400" t="s">
        <v>3730</v>
      </c>
      <c r="E85" s="400" t="s">
        <v>585</v>
      </c>
      <c r="F85" s="148" t="s">
        <v>586</v>
      </c>
      <c r="I85" s="149" t="s">
        <v>3731</v>
      </c>
    </row>
    <row r="86">
      <c r="A86" s="380"/>
      <c r="B86" s="381"/>
      <c r="C86" s="366"/>
      <c r="D86" s="356" t="s">
        <v>4060</v>
      </c>
      <c r="E86" s="391"/>
      <c r="F86" s="381"/>
      <c r="G86" s="381"/>
      <c r="H86" s="358"/>
      <c r="I86" s="391"/>
    </row>
    <row r="87">
      <c r="A87" s="110">
        <v>41300.0</v>
      </c>
      <c r="B87" s="111"/>
      <c r="C87" s="135" t="str">
        <f>HYPERLINK("http://phish.net/sideshows/jon-fishman/?showid=1358959158", "setlist")</f>
        <v>setlist</v>
      </c>
      <c r="D87" s="183" t="s">
        <v>4006</v>
      </c>
      <c r="E87" s="183" t="s">
        <v>393</v>
      </c>
      <c r="F87" s="114" t="s">
        <v>394</v>
      </c>
      <c r="G87" s="111"/>
      <c r="H87" s="138"/>
      <c r="I87" s="183" t="s">
        <v>3791</v>
      </c>
    </row>
    <row r="88">
      <c r="A88" s="381"/>
      <c r="B88" s="381"/>
      <c r="C88" s="366"/>
      <c r="D88" s="383" t="s">
        <v>4020</v>
      </c>
      <c r="E88" s="391"/>
      <c r="F88" s="381"/>
      <c r="G88" s="381"/>
      <c r="H88" s="358"/>
      <c r="I88" s="391"/>
    </row>
    <row r="89">
      <c r="A89" s="110">
        <v>42068.0</v>
      </c>
      <c r="B89" s="111"/>
      <c r="C89" s="135" t="str">
        <f>HYPERLINK("http://phish.net/sideshows/jon-fishman/?d=2015-03-05", "setlist")</f>
        <v>setlist</v>
      </c>
      <c r="D89" s="269" t="s">
        <v>4021</v>
      </c>
      <c r="E89" s="269" t="s">
        <v>311</v>
      </c>
      <c r="F89" s="139" t="s">
        <v>129</v>
      </c>
      <c r="G89" s="111"/>
      <c r="H89" s="138"/>
      <c r="I89" s="269" t="s">
        <v>3791</v>
      </c>
    </row>
    <row r="90">
      <c r="A90" s="350"/>
      <c r="B90" s="354"/>
      <c r="C90" s="352"/>
      <c r="D90" s="370" t="s">
        <v>4050</v>
      </c>
      <c r="E90" s="355"/>
      <c r="F90" s="354"/>
      <c r="G90" s="354"/>
      <c r="H90" s="351"/>
      <c r="I90" s="355"/>
    </row>
    <row r="91">
      <c r="A91" s="150">
        <v>44380.0</v>
      </c>
      <c r="B91" s="156"/>
      <c r="C91" s="116" t="str">
        <f>HYPERLINK("http://phish.net/sideshows/trey-anastasio-band/?d="&amp;RIGHT(TEXT(A26,"mm/dd/yyyy"),4)&amp;"-"&amp;LEFT(TEXT(A26,"mm/dd/yyyy"),2)&amp;"-"&amp;MID(TEXT(A26,"mm/dd/yyyy"),4,2), "setlist")</f>
        <v>setlist</v>
      </c>
      <c r="D91" s="152" t="s">
        <v>3157</v>
      </c>
      <c r="E91" s="152" t="s">
        <v>2976</v>
      </c>
      <c r="F91" s="196" t="s">
        <v>212</v>
      </c>
      <c r="G91" s="196" t="s">
        <v>36</v>
      </c>
      <c r="H91" s="116" t="str">
        <f>HYPERLINK("https://www.mediafire.com/file/qruxun47pps5ib5/2021-07-03_-_Montage_Mountain_-_Scranton%252C_PA.rar/file", "download link")</f>
        <v>download link</v>
      </c>
      <c r="I91" s="152" t="s">
        <v>4051</v>
      </c>
    </row>
    <row r="92">
      <c r="A92" s="350"/>
      <c r="B92" s="351"/>
      <c r="C92" s="396"/>
      <c r="D92" s="356" t="s">
        <v>3979</v>
      </c>
      <c r="E92" s="350"/>
      <c r="F92" s="351"/>
      <c r="G92" s="351"/>
      <c r="H92" s="351"/>
      <c r="I92" s="350"/>
    </row>
    <row r="93">
      <c r="A93" s="147">
        <v>39945.0</v>
      </c>
      <c r="C93" s="135" t="str">
        <f>HYPERLINK("http://phish.net/sideshows/guest-appearance/?d=2009-05-12","setlist")</f>
        <v>setlist</v>
      </c>
      <c r="D93" s="400" t="s">
        <v>3980</v>
      </c>
      <c r="E93" s="149" t="s">
        <v>162</v>
      </c>
      <c r="F93" s="148" t="s">
        <v>129</v>
      </c>
      <c r="G93" s="148" t="s">
        <v>36</v>
      </c>
      <c r="H93" s="135" t="str">
        <f>HYPERLINK("http://www.mediafire.com/?bjwi4pl5lfgbq","download link")</f>
        <v>download link</v>
      </c>
      <c r="I93" s="149" t="s">
        <v>3718</v>
      </c>
    </row>
    <row r="94">
      <c r="A94" s="350"/>
      <c r="B94" s="351"/>
      <c r="C94" s="396"/>
      <c r="D94" s="356" t="s">
        <v>3864</v>
      </c>
      <c r="E94" s="350"/>
      <c r="F94" s="351"/>
      <c r="G94" s="351"/>
      <c r="H94" s="351"/>
      <c r="I94" s="350"/>
    </row>
    <row r="95">
      <c r="A95" s="147">
        <v>37687.0</v>
      </c>
      <c r="C95" s="135" t="str">
        <f>HYPERLINK("http://phish.net/sideshows/guest-appearance/?d=2003-03-07","setlist")</f>
        <v>setlist</v>
      </c>
      <c r="D95" s="400" t="s">
        <v>3511</v>
      </c>
      <c r="E95" s="400" t="s">
        <v>162</v>
      </c>
      <c r="F95" s="148" t="s">
        <v>129</v>
      </c>
      <c r="I95" s="149" t="s">
        <v>3865</v>
      </c>
    </row>
    <row r="96">
      <c r="A96" s="130">
        <v>37694.0</v>
      </c>
      <c r="B96" s="260"/>
      <c r="C96" s="105" t="str">
        <f>HYPERLINK("http://phish.net/sideshows/guest-appearance/?d=2003-03-14","setlist")</f>
        <v>setlist</v>
      </c>
      <c r="D96" s="287" t="s">
        <v>3511</v>
      </c>
      <c r="E96" s="132" t="s">
        <v>162</v>
      </c>
      <c r="F96" s="133" t="s">
        <v>129</v>
      </c>
      <c r="G96" s="260"/>
      <c r="H96" s="260"/>
      <c r="I96" s="132" t="s">
        <v>3712</v>
      </c>
    </row>
    <row r="97">
      <c r="A97" s="150">
        <v>37699.0</v>
      </c>
      <c r="B97" s="156"/>
      <c r="C97" s="116" t="str">
        <f>HYPERLINK("http://phish.net/sideshows/guest-appearance/?d=2003-03-19","setlist")</f>
        <v>setlist</v>
      </c>
      <c r="D97" s="290" t="s">
        <v>3868</v>
      </c>
      <c r="E97" s="290" t="s">
        <v>2294</v>
      </c>
      <c r="F97" s="151" t="s">
        <v>129</v>
      </c>
      <c r="G97" s="156"/>
      <c r="H97" s="401"/>
      <c r="I97" s="153" t="s">
        <v>3712</v>
      </c>
    </row>
    <row r="98">
      <c r="A98" s="130">
        <v>37734.0</v>
      </c>
      <c r="B98" s="260"/>
      <c r="C98" s="105" t="str">
        <f>HYPERLINK("http://phish.net/sideshows/guest-appearance/?d=2003-04-23","setlist")</f>
        <v>setlist</v>
      </c>
      <c r="D98" s="287" t="s">
        <v>3868</v>
      </c>
      <c r="E98" s="287" t="s">
        <v>2294</v>
      </c>
      <c r="F98" s="133" t="s">
        <v>129</v>
      </c>
      <c r="G98" s="260"/>
      <c r="H98" s="260"/>
      <c r="I98" s="132" t="s">
        <v>3712</v>
      </c>
    </row>
    <row r="99">
      <c r="A99" s="350"/>
      <c r="B99" s="351"/>
      <c r="C99" s="352"/>
      <c r="D99" s="356" t="s">
        <v>3700</v>
      </c>
      <c r="E99" s="357"/>
      <c r="F99" s="351"/>
      <c r="G99" s="351"/>
      <c r="H99" s="358"/>
      <c r="I99" s="357"/>
    </row>
    <row r="100">
      <c r="A100" s="110">
        <v>34503.0</v>
      </c>
      <c r="B100" s="111"/>
      <c r="C100" s="135" t="str">
        <f>HYPERLINK("http://phish.net/sideshows/guest-appearance/?showid=1332467745", "setlist")</f>
        <v>setlist</v>
      </c>
      <c r="D100" s="183" t="s">
        <v>3199</v>
      </c>
      <c r="E100" s="183" t="s">
        <v>479</v>
      </c>
      <c r="F100" s="114" t="s">
        <v>480</v>
      </c>
      <c r="G100" s="114" t="s">
        <v>36</v>
      </c>
      <c r="H100" s="116" t="str">
        <f>HYPERLINK("http://www.mediafire.com/?cl0kigj5zcx6g", "download link")</f>
        <v>download link</v>
      </c>
      <c r="I100" s="183" t="s">
        <v>2889</v>
      </c>
    </row>
    <row r="101">
      <c r="A101" s="350"/>
      <c r="B101" s="351"/>
      <c r="C101" s="352"/>
      <c r="D101" s="356" t="s">
        <v>3782</v>
      </c>
      <c r="E101" s="357"/>
      <c r="F101" s="351"/>
      <c r="G101" s="351"/>
      <c r="H101" s="358"/>
      <c r="I101" s="357"/>
    </row>
    <row r="102">
      <c r="A102" s="110">
        <v>36344.0</v>
      </c>
      <c r="B102" s="111"/>
      <c r="C102" s="135" t="str">
        <f>HYPERLINK("http://phish.net/sideshows/guest-appearance/?showid=1355018037", "setlist")</f>
        <v>setlist</v>
      </c>
      <c r="D102" s="183" t="s">
        <v>3783</v>
      </c>
      <c r="E102" s="183" t="s">
        <v>437</v>
      </c>
      <c r="F102" s="114" t="s">
        <v>433</v>
      </c>
      <c r="G102" s="111"/>
      <c r="H102" s="359"/>
      <c r="I102" s="113" t="s">
        <v>3659</v>
      </c>
    </row>
    <row r="103">
      <c r="A103" s="350"/>
      <c r="B103" s="351"/>
      <c r="C103" s="362"/>
      <c r="D103" s="356" t="s">
        <v>3845</v>
      </c>
      <c r="E103" s="350"/>
      <c r="F103" s="351"/>
      <c r="G103" s="351"/>
      <c r="H103" s="351"/>
      <c r="I103" s="350"/>
    </row>
    <row r="104">
      <c r="A104" s="110">
        <v>36700.0</v>
      </c>
      <c r="B104" s="111"/>
      <c r="C104" s="135" t="str">
        <f>HYPERLINK("http://phish.net/sideshows/guest-appearance/?d=2000-05-20", "setlist")</f>
        <v>setlist</v>
      </c>
      <c r="D104" s="183" t="s">
        <v>761</v>
      </c>
      <c r="E104" s="183" t="s">
        <v>437</v>
      </c>
      <c r="F104" s="114" t="s">
        <v>433</v>
      </c>
      <c r="G104" s="139" t="s">
        <v>36</v>
      </c>
      <c r="H104" s="116" t="str">
        <f>HYPERLINK("http://www.mediafire.com/file/ym6fdsgevpsd07e/2000-06-23_-_Variety_Playhouse_-_Atlanta%2C_GA.rar", "download link")</f>
        <v>download link</v>
      </c>
      <c r="I104" s="183" t="s">
        <v>3802</v>
      </c>
    </row>
    <row r="105">
      <c r="A105" s="103">
        <v>37331.0</v>
      </c>
      <c r="B105" s="104"/>
      <c r="C105" s="105" t="str">
        <f>HYPERLINK("http://phish.net/sideshows/guest-appearance/?d=2002-03-16", "setlist")</f>
        <v>setlist</v>
      </c>
      <c r="D105" s="181" t="s">
        <v>3833</v>
      </c>
      <c r="E105" s="181" t="s">
        <v>3834</v>
      </c>
      <c r="F105" s="107" t="s">
        <v>1133</v>
      </c>
      <c r="G105" s="104"/>
      <c r="H105" s="360"/>
      <c r="I105" s="106" t="s">
        <v>3835</v>
      </c>
    </row>
    <row r="106">
      <c r="A106" s="142">
        <v>37436.0</v>
      </c>
      <c r="B106" s="144"/>
      <c r="C106" s="116" t="str">
        <f>HYPERLINK("http://phish.net/sideshows/guest-appearance/?d=2002-06-29", "setlist")</f>
        <v>setlist</v>
      </c>
      <c r="D106" s="272" t="s">
        <v>2990</v>
      </c>
      <c r="E106" s="272" t="s">
        <v>3257</v>
      </c>
      <c r="F106" s="115" t="s">
        <v>679</v>
      </c>
      <c r="G106" s="144"/>
      <c r="H106" s="144"/>
      <c r="I106" s="118" t="s">
        <v>2787</v>
      </c>
    </row>
    <row r="107">
      <c r="A107" s="103">
        <v>37828.0</v>
      </c>
      <c r="B107" s="104"/>
      <c r="C107" s="105" t="str">
        <f>HYPERLINK("http://phish.net/sideshows/guest-appearance/?showid=1332722230", "setlist")</f>
        <v>setlist</v>
      </c>
      <c r="D107" s="181" t="s">
        <v>3880</v>
      </c>
      <c r="E107" s="181" t="s">
        <v>3881</v>
      </c>
      <c r="F107" s="107" t="s">
        <v>433</v>
      </c>
      <c r="G107" s="104"/>
      <c r="H107" s="360"/>
      <c r="I107" s="106" t="s">
        <v>3718</v>
      </c>
    </row>
    <row r="108">
      <c r="A108" s="142">
        <v>38073.0</v>
      </c>
      <c r="B108" s="144"/>
      <c r="C108" s="116" t="str">
        <f>HYPERLINK("http://phish.net/sideshows/guest-appearance/?d=2004-03-27", "setlist")</f>
        <v>setlist</v>
      </c>
      <c r="D108" s="272" t="s">
        <v>3903</v>
      </c>
      <c r="E108" s="272" t="s">
        <v>162</v>
      </c>
      <c r="F108" s="115" t="s">
        <v>129</v>
      </c>
      <c r="G108" s="144"/>
      <c r="H108" s="379"/>
      <c r="I108" s="118" t="s">
        <v>3712</v>
      </c>
    </row>
    <row r="109">
      <c r="A109" s="350"/>
      <c r="B109" s="351"/>
      <c r="C109" s="362"/>
      <c r="D109" s="356" t="s">
        <v>3704</v>
      </c>
      <c r="E109" s="350"/>
      <c r="F109" s="351"/>
      <c r="G109" s="351"/>
      <c r="H109" s="351"/>
      <c r="I109" s="350"/>
    </row>
    <row r="110">
      <c r="A110" s="110">
        <v>34580.0</v>
      </c>
      <c r="B110" s="111"/>
      <c r="C110" s="116" t="str">
        <f>HYPERLINK("http://phish.net/sideshows/guest-appearance/?d=1994-09-03", "setlist")</f>
        <v>setlist</v>
      </c>
      <c r="D110" s="183" t="s">
        <v>2804</v>
      </c>
      <c r="E110" s="183" t="s">
        <v>34</v>
      </c>
      <c r="F110" s="114" t="s">
        <v>35</v>
      </c>
      <c r="G110" s="111"/>
      <c r="H110" s="359"/>
      <c r="I110" s="113" t="s">
        <v>3705</v>
      </c>
    </row>
    <row r="111">
      <c r="A111" s="103">
        <v>36582.0</v>
      </c>
      <c r="B111" s="104"/>
      <c r="C111" s="105" t="str">
        <f>HYPERLINK("http://phish.net/sideshows/guest-appearance/?d=2000-02-26", "setlist")</f>
        <v>setlist</v>
      </c>
      <c r="D111" s="181" t="s">
        <v>3783</v>
      </c>
      <c r="E111" s="181" t="s">
        <v>437</v>
      </c>
      <c r="F111" s="107" t="s">
        <v>433</v>
      </c>
      <c r="G111" s="104"/>
      <c r="H111" s="360"/>
      <c r="I111" s="106" t="s">
        <v>3795</v>
      </c>
    </row>
    <row r="112">
      <c r="A112" s="381"/>
      <c r="B112" s="381"/>
      <c r="C112" s="366"/>
      <c r="D112" s="356" t="s">
        <v>4022</v>
      </c>
      <c r="E112" s="391"/>
      <c r="F112" s="381"/>
      <c r="G112" s="381"/>
      <c r="H112" s="358"/>
      <c r="I112" s="391"/>
    </row>
    <row r="113">
      <c r="A113" s="110">
        <v>42125.0</v>
      </c>
      <c r="B113" s="111"/>
      <c r="C113" s="135" t="str">
        <f>HYPERLINK("http://phish.net/sideshows/trey-anastasio-band/?d=2015-05-01", "setlist")</f>
        <v>setlist</v>
      </c>
      <c r="D113" s="183" t="s">
        <v>3998</v>
      </c>
      <c r="E113" s="183" t="s">
        <v>2832</v>
      </c>
      <c r="F113" s="114" t="s">
        <v>679</v>
      </c>
      <c r="G113" s="114" t="s">
        <v>4023</v>
      </c>
      <c r="H113" s="135" t="str">
        <f>HYPERLINK("http://www.mediafire.com/download/fjaugkw0lhcx9lh/2015-05-01_-_Terrapin_Crossroads_-_San_Rafael,_CA.rar","download link")</f>
        <v>download link</v>
      </c>
      <c r="I113" s="183" t="s">
        <v>3670</v>
      </c>
    </row>
    <row r="114">
      <c r="A114" s="350"/>
      <c r="B114" s="351"/>
      <c r="C114" s="362"/>
      <c r="D114" s="356" t="s">
        <v>3921</v>
      </c>
      <c r="E114" s="350"/>
      <c r="F114" s="351"/>
      <c r="G114" s="351"/>
      <c r="H114" s="351"/>
      <c r="I114" s="350"/>
    </row>
    <row r="115">
      <c r="A115" s="110">
        <v>38619.0</v>
      </c>
      <c r="B115" s="111"/>
      <c r="C115" s="392" t="s">
        <v>40</v>
      </c>
      <c r="D115" s="183" t="s">
        <v>1309</v>
      </c>
      <c r="E115" s="183" t="s">
        <v>686</v>
      </c>
      <c r="F115" s="114" t="s">
        <v>679</v>
      </c>
      <c r="G115" s="114" t="s">
        <v>36</v>
      </c>
      <c r="H115" s="116" t="str">
        <f>HYPERLINK("http://www.mediafire.com/?lapx59nh6l6yc", "download link")</f>
        <v>download link</v>
      </c>
      <c r="I115" s="113" t="s">
        <v>3699</v>
      </c>
    </row>
    <row r="116">
      <c r="A116" s="350"/>
      <c r="B116" s="351"/>
      <c r="C116" s="396"/>
      <c r="D116" s="356" t="s">
        <v>3983</v>
      </c>
      <c r="E116" s="350"/>
      <c r="F116" s="351"/>
      <c r="G116" s="351"/>
      <c r="H116" s="351"/>
      <c r="I116" s="350"/>
    </row>
    <row r="117">
      <c r="A117" s="147">
        <v>40336.0</v>
      </c>
      <c r="C117" s="135" t="str">
        <f>HYPERLINK("http://phish.net/sideshows/guest-appearance/?d=2010-06-07","setlist")</f>
        <v>setlist</v>
      </c>
      <c r="D117" s="400" t="s">
        <v>1366</v>
      </c>
      <c r="E117" s="149" t="s">
        <v>1230</v>
      </c>
      <c r="F117" s="148" t="s">
        <v>212</v>
      </c>
      <c r="G117" s="148" t="s">
        <v>36</v>
      </c>
      <c r="H117" s="135" t="str">
        <f>HYPERLINK("http://www.mediafire.com/?8hznufzyg3sad","download link")</f>
        <v>download link</v>
      </c>
      <c r="I117" s="149" t="s">
        <v>3661</v>
      </c>
    </row>
    <row r="118">
      <c r="A118" s="350"/>
      <c r="B118" s="351"/>
      <c r="C118" s="396"/>
      <c r="D118" s="356" t="s">
        <v>3857</v>
      </c>
      <c r="E118" s="350"/>
      <c r="F118" s="351"/>
      <c r="G118" s="351"/>
      <c r="H118" s="351"/>
      <c r="I118" s="350"/>
    </row>
    <row r="119">
      <c r="A119" s="147">
        <v>37519.0</v>
      </c>
      <c r="C119" s="135" t="str">
        <f>HYPERLINK("http://phish.net/sideshows/guest-appearance/?d=2002-09-20","setlist")</f>
        <v>setlist</v>
      </c>
      <c r="D119" s="400" t="s">
        <v>2817</v>
      </c>
      <c r="E119" s="400" t="s">
        <v>854</v>
      </c>
      <c r="F119" s="148" t="s">
        <v>35</v>
      </c>
      <c r="I119" s="149" t="s">
        <v>3781</v>
      </c>
    </row>
    <row r="120">
      <c r="A120" s="130">
        <v>37595.0</v>
      </c>
      <c r="B120" s="260"/>
      <c r="C120" s="105" t="str">
        <f>HYPERLINK("http://phish.net/sideshows/guest-appearance/?d=2002-12-05","setlist")</f>
        <v>setlist</v>
      </c>
      <c r="D120" s="287" t="s">
        <v>2817</v>
      </c>
      <c r="E120" s="287" t="s">
        <v>854</v>
      </c>
      <c r="F120" s="133" t="s">
        <v>35</v>
      </c>
      <c r="G120" s="260"/>
      <c r="H120" s="260"/>
      <c r="I120" s="132" t="s">
        <v>3706</v>
      </c>
    </row>
    <row r="121">
      <c r="A121" s="350"/>
      <c r="B121" s="351"/>
      <c r="C121" s="362"/>
      <c r="D121" s="356" t="s">
        <v>3658</v>
      </c>
      <c r="E121" s="350"/>
      <c r="F121" s="351"/>
      <c r="G121" s="351"/>
      <c r="H121" s="351"/>
      <c r="I121" s="350"/>
    </row>
    <row r="122">
      <c r="A122" s="110">
        <v>30800.0</v>
      </c>
      <c r="B122" s="111"/>
      <c r="C122" s="135" t="str">
        <f>HYPERLINK("http://phish.net/sideshows/guest-appearance/?d=1984-04-28", "setlist")</f>
        <v>setlist</v>
      </c>
      <c r="D122" s="183" t="s">
        <v>51</v>
      </c>
      <c r="E122" s="183" t="s">
        <v>34</v>
      </c>
      <c r="F122" s="114" t="s">
        <v>35</v>
      </c>
      <c r="G122" s="111"/>
      <c r="H122" s="111"/>
      <c r="I122" s="113" t="s">
        <v>3659</v>
      </c>
    </row>
    <row r="123">
      <c r="A123" s="350"/>
      <c r="B123" s="351"/>
      <c r="C123" s="396"/>
      <c r="D123" s="356" t="s">
        <v>3761</v>
      </c>
      <c r="E123" s="350"/>
      <c r="F123" s="351"/>
      <c r="G123" s="351"/>
      <c r="H123" s="351"/>
      <c r="I123" s="350"/>
    </row>
    <row r="124">
      <c r="A124" s="147">
        <v>36109.0</v>
      </c>
      <c r="B124" s="148" t="s">
        <v>32</v>
      </c>
      <c r="C124" s="135" t="str">
        <f>HYPERLINK("http://phish.net/sideshows/guest-appearance/?d=1998-11-10","setlist")</f>
        <v>setlist</v>
      </c>
      <c r="D124" s="400" t="s">
        <v>3762</v>
      </c>
      <c r="E124" s="400" t="s">
        <v>479</v>
      </c>
      <c r="F124" s="148" t="s">
        <v>480</v>
      </c>
      <c r="G124" s="148" t="s">
        <v>36</v>
      </c>
      <c r="H124" s="135" t="str">
        <f>HYPERLINK("http://www.mediafire.com/?14xg7ejzdzipx","download link")</f>
        <v>download link</v>
      </c>
      <c r="I124" s="149" t="s">
        <v>3763</v>
      </c>
    </row>
    <row r="125">
      <c r="A125" s="130">
        <v>39601.0</v>
      </c>
      <c r="B125" s="260"/>
      <c r="C125" s="105" t="str">
        <f>HYPERLINK("http://phish.net/sideshows/guest-appearance/?d=2008-06-02","setlist")</f>
        <v>setlist</v>
      </c>
      <c r="D125" s="287" t="s">
        <v>2817</v>
      </c>
      <c r="E125" s="132" t="s">
        <v>2826</v>
      </c>
      <c r="F125" s="133" t="s">
        <v>35</v>
      </c>
      <c r="G125" s="133" t="s">
        <v>36</v>
      </c>
      <c r="H125" s="105" t="str">
        <f>HYPERLINK("http://www.mediafire.com/?lfkjuz42leifz","download link")</f>
        <v>download link</v>
      </c>
      <c r="I125" s="132" t="s">
        <v>2998</v>
      </c>
    </row>
    <row r="126">
      <c r="A126" s="150">
        <v>39602.0</v>
      </c>
      <c r="B126" s="156"/>
      <c r="C126" s="116" t="str">
        <f>HYPERLINK("http://phish.net/sideshows/guest-appearance/?d=2008-06-03","setlist")</f>
        <v>setlist</v>
      </c>
      <c r="D126" s="290" t="s">
        <v>2817</v>
      </c>
      <c r="E126" s="153" t="s">
        <v>2826</v>
      </c>
      <c r="F126" s="151" t="s">
        <v>35</v>
      </c>
      <c r="G126" s="151" t="s">
        <v>36</v>
      </c>
      <c r="H126" s="116" t="str">
        <f>HYPERLINK("http://www.mediafire.com/?74hr7v9jk7dka","download link")</f>
        <v>download link</v>
      </c>
      <c r="I126" s="153" t="s">
        <v>2787</v>
      </c>
    </row>
    <row r="127">
      <c r="A127" s="350"/>
      <c r="B127" s="354"/>
      <c r="C127" s="352"/>
      <c r="D127" s="370" t="s">
        <v>4043</v>
      </c>
      <c r="E127" s="355"/>
      <c r="F127" s="354"/>
      <c r="G127" s="354"/>
      <c r="H127" s="351"/>
      <c r="I127" s="355"/>
    </row>
    <row r="128">
      <c r="A128" s="150">
        <v>43106.0</v>
      </c>
      <c r="B128" s="156"/>
      <c r="C128" s="116" t="str">
        <f>HYPERLINK("http://phish.net/sideshows/trey-anastasio-band/?d="&amp;RIGHT(TEXT(A99,"mm/dd/yyyy"),4)&amp;"-"&amp;LEFT(TEXT(A99,"mm/dd/yyyy"),2)&amp;"-"&amp;MID(TEXT(A99,"mm/dd/yyyy"),4,2), "setlist")</f>
        <v>setlist</v>
      </c>
      <c r="D128" s="152" t="s">
        <v>2157</v>
      </c>
      <c r="E128" s="152" t="s">
        <v>162</v>
      </c>
      <c r="F128" s="196" t="s">
        <v>129</v>
      </c>
      <c r="G128" s="196"/>
      <c r="H128" s="197"/>
      <c r="I128" s="152" t="s">
        <v>3708</v>
      </c>
    </row>
    <row r="129">
      <c r="A129" s="350"/>
      <c r="B129" s="351"/>
      <c r="C129" s="396"/>
      <c r="D129" s="356" t="s">
        <v>3707</v>
      </c>
      <c r="E129" s="350"/>
      <c r="F129" s="351"/>
      <c r="G129" s="351"/>
      <c r="H129" s="351"/>
      <c r="I129" s="350"/>
    </row>
    <row r="130">
      <c r="A130" s="147">
        <v>34725.0</v>
      </c>
      <c r="B130" s="148" t="s">
        <v>32</v>
      </c>
      <c r="C130" s="135" t="str">
        <f>HYPERLINK("http://phish.net/sideshows/guest-appearance/?d=1995-01-26","setlist")</f>
        <v>setlist</v>
      </c>
      <c r="D130" s="400" t="s">
        <v>2895</v>
      </c>
      <c r="E130" s="400" t="s">
        <v>34</v>
      </c>
      <c r="F130" s="148" t="s">
        <v>35</v>
      </c>
      <c r="G130" s="148" t="s">
        <v>36</v>
      </c>
      <c r="H130" s="135" t="str">
        <f>HYPERLINK("http://www.mediafire.com/?dqa3cxnaz7gnn","download link")</f>
        <v>download link</v>
      </c>
      <c r="I130" s="149" t="s">
        <v>3708</v>
      </c>
    </row>
    <row r="131">
      <c r="A131" s="130">
        <v>34754.0</v>
      </c>
      <c r="B131" s="133" t="s">
        <v>32</v>
      </c>
      <c r="C131" s="105" t="str">
        <f>HYPERLINK("http://phish.net/sideshows/guest-appearance/?d=1995-02-24","setlist")</f>
        <v>setlist</v>
      </c>
      <c r="D131" s="287" t="s">
        <v>863</v>
      </c>
      <c r="E131" s="287" t="s">
        <v>162</v>
      </c>
      <c r="F131" s="133" t="s">
        <v>129</v>
      </c>
      <c r="G131" s="133" t="s">
        <v>36</v>
      </c>
      <c r="H131" s="105" t="str">
        <f>HYPERLINK("http://www.mediafire.com/?jc2l9ug54brvq","download link")</f>
        <v>download link</v>
      </c>
      <c r="I131" s="132" t="s">
        <v>3661</v>
      </c>
    </row>
    <row r="132">
      <c r="A132" s="147">
        <v>37030.0</v>
      </c>
      <c r="C132" s="135" t="str">
        <f>HYPERLINK("http://phish.net/sideshows/guest-appearance/?d=2001-05-19","setlist")</f>
        <v>setlist</v>
      </c>
      <c r="D132" s="400" t="s">
        <v>3816</v>
      </c>
      <c r="E132" s="400" t="s">
        <v>683</v>
      </c>
      <c r="F132" s="148" t="s">
        <v>679</v>
      </c>
      <c r="G132" s="148" t="s">
        <v>36</v>
      </c>
      <c r="H132" s="135" t="str">
        <f>HYPERLINK("http://www.mediafire.com/?nbmkkiybmkyh0","download link")</f>
        <v>download link</v>
      </c>
      <c r="I132" s="149" t="s">
        <v>3661</v>
      </c>
    </row>
    <row r="133">
      <c r="A133" s="130">
        <v>38546.0</v>
      </c>
      <c r="B133" s="260"/>
      <c r="C133" s="105" t="str">
        <f>HYPERLINK("http://phish.net/sideshows/guest-appearance/?d=2005-07-13","setlist")</f>
        <v>setlist</v>
      </c>
      <c r="D133" s="287" t="s">
        <v>2267</v>
      </c>
      <c r="E133" s="287" t="s">
        <v>437</v>
      </c>
      <c r="F133" s="133" t="s">
        <v>433</v>
      </c>
      <c r="G133" s="133" t="s">
        <v>36</v>
      </c>
      <c r="H133" s="105" t="str">
        <f>HYPERLINK("http://www.mediafire.com/?9tdf28q0odpxo","download link")</f>
        <v>download link</v>
      </c>
      <c r="I133" s="132" t="s">
        <v>3670</v>
      </c>
    </row>
    <row r="134">
      <c r="A134" s="150">
        <v>38563.0</v>
      </c>
      <c r="B134" s="156"/>
      <c r="C134" s="116" t="str">
        <f>HYPERLINK("http://phish.net/sideshows/guest-appearance/?d=2005-07-30","setlist")</f>
        <v>setlist</v>
      </c>
      <c r="D134" s="290" t="s">
        <v>2541</v>
      </c>
      <c r="E134" s="290" t="s">
        <v>162</v>
      </c>
      <c r="F134" s="151" t="s">
        <v>129</v>
      </c>
      <c r="G134" s="151" t="s">
        <v>36</v>
      </c>
      <c r="H134" s="116" t="str">
        <f>HYPERLINK("http://www.mediafire.com/?tt9he1bh0vo3d","download link")</f>
        <v>download link</v>
      </c>
      <c r="I134" s="153" t="s">
        <v>3661</v>
      </c>
    </row>
    <row r="135">
      <c r="A135" s="130">
        <v>39308.0</v>
      </c>
      <c r="B135" s="260"/>
      <c r="C135" s="105" t="str">
        <f>HYPERLINK("http://phish.net/sideshows/guest-appearance/?d=2007-08-14","setlist")</f>
        <v>setlist</v>
      </c>
      <c r="D135" s="287" t="s">
        <v>1015</v>
      </c>
      <c r="E135" s="132" t="s">
        <v>465</v>
      </c>
      <c r="F135" s="133" t="s">
        <v>129</v>
      </c>
      <c r="G135" s="133" t="s">
        <v>36</v>
      </c>
      <c r="H135" s="105" t="str">
        <f>HYPERLINK("http://www.mediafire.com/?kw66w79am8o2w","download link")</f>
        <v>download link</v>
      </c>
      <c r="I135" s="132" t="s">
        <v>3661</v>
      </c>
    </row>
    <row r="136">
      <c r="A136" s="350"/>
      <c r="B136" s="351"/>
      <c r="C136" s="396"/>
      <c r="D136" s="356" t="s">
        <v>4061</v>
      </c>
      <c r="E136" s="350"/>
      <c r="F136" s="351"/>
      <c r="G136" s="351"/>
      <c r="H136" s="351"/>
      <c r="I136" s="350"/>
    </row>
    <row r="137">
      <c r="A137" s="110">
        <v>37792.0</v>
      </c>
      <c r="B137" s="111"/>
      <c r="C137" s="116" t="str">
        <f>HYPERLINK("http://phish.net/sideshows/guest-appearance/?d=2003-06-20", "setlist")</f>
        <v>setlist</v>
      </c>
      <c r="D137" s="183" t="s">
        <v>1015</v>
      </c>
      <c r="E137" s="183" t="s">
        <v>465</v>
      </c>
      <c r="F137" s="114" t="s">
        <v>129</v>
      </c>
      <c r="G137" s="114" t="s">
        <v>36</v>
      </c>
      <c r="H137" s="135" t="str">
        <f>HYPERLINK("http://www.mediafire.com/?w4d9hzh5bq6fn","download link")</f>
        <v>download link</v>
      </c>
      <c r="I137" s="113" t="s">
        <v>2787</v>
      </c>
    </row>
    <row r="138">
      <c r="A138" s="350"/>
      <c r="B138" s="351"/>
      <c r="C138" s="362"/>
      <c r="D138" s="356" t="s">
        <v>3954</v>
      </c>
      <c r="E138" s="350"/>
      <c r="F138" s="351"/>
      <c r="G138" s="351"/>
      <c r="H138" s="351"/>
      <c r="I138" s="350"/>
    </row>
    <row r="139">
      <c r="A139" s="110">
        <v>39447.0</v>
      </c>
      <c r="B139" s="111"/>
      <c r="C139" s="135" t="str">
        <f>HYPERLINK("http://phish.net/sideshows/guest-appearance/?d=2007-12-31", "setlist")</f>
        <v>setlist</v>
      </c>
      <c r="D139" s="183" t="s">
        <v>2918</v>
      </c>
      <c r="E139" s="113" t="s">
        <v>652</v>
      </c>
      <c r="F139" s="114" t="s">
        <v>650</v>
      </c>
      <c r="G139" s="114" t="s">
        <v>36</v>
      </c>
      <c r="H139" s="116" t="str">
        <f>HYPERLINK("http://www.mediafire.com/?6zwwmiwwdu423", "download link")</f>
        <v>download link</v>
      </c>
      <c r="I139" s="113" t="s">
        <v>3955</v>
      </c>
    </row>
    <row r="140">
      <c r="A140" s="350"/>
      <c r="B140" s="351"/>
      <c r="C140" s="396"/>
      <c r="D140" s="356" t="s">
        <v>3773</v>
      </c>
      <c r="E140" s="350"/>
      <c r="F140" s="351"/>
      <c r="G140" s="351"/>
      <c r="H140" s="351"/>
      <c r="I140" s="350"/>
    </row>
    <row r="141">
      <c r="A141" s="147">
        <v>36245.0</v>
      </c>
      <c r="C141" s="135" t="str">
        <f>HYPERLINK("http://phish.net/sideshows/guest-appearance/?d=1999-03-26","setlist")</f>
        <v>setlist</v>
      </c>
      <c r="D141" s="400" t="s">
        <v>2817</v>
      </c>
      <c r="E141" s="400" t="s">
        <v>854</v>
      </c>
      <c r="F141" s="148" t="s">
        <v>35</v>
      </c>
      <c r="I141" s="149" t="s">
        <v>3774</v>
      </c>
    </row>
    <row r="142">
      <c r="A142" s="130">
        <v>36346.0</v>
      </c>
      <c r="B142" s="260"/>
      <c r="C142" s="105" t="str">
        <f>HYPERLINK("http://phish.net/sideshows/guest-appearance/?d=1999-07-05","setlist")</f>
        <v>setlist</v>
      </c>
      <c r="D142" s="287" t="s">
        <v>3784</v>
      </c>
      <c r="E142" s="287" t="s">
        <v>3785</v>
      </c>
      <c r="F142" s="133" t="s">
        <v>433</v>
      </c>
      <c r="G142" s="133" t="s">
        <v>36</v>
      </c>
      <c r="H142" s="105" t="str">
        <f>HYPERLINK("http://www.mediafire.com/?4afgcdamuqhw6","download link")</f>
        <v>download link</v>
      </c>
      <c r="I142" s="132" t="s">
        <v>2998</v>
      </c>
    </row>
    <row r="143">
      <c r="A143" s="350"/>
      <c r="B143" s="351"/>
      <c r="C143" s="396"/>
      <c r="D143" s="356" t="s">
        <v>3902</v>
      </c>
      <c r="E143" s="350"/>
      <c r="F143" s="351"/>
      <c r="G143" s="351"/>
      <c r="H143" s="351"/>
      <c r="I143" s="350"/>
    </row>
    <row r="144">
      <c r="A144" s="147">
        <v>38037.0</v>
      </c>
      <c r="C144" s="135" t="str">
        <f>HYPERLINK("http://phish.net/sideshows/guest-appearance/?d=2004-02-20","setlist")</f>
        <v>setlist</v>
      </c>
      <c r="D144" s="400" t="s">
        <v>2817</v>
      </c>
      <c r="E144" s="400" t="s">
        <v>854</v>
      </c>
      <c r="F144" s="148" t="s">
        <v>35</v>
      </c>
      <c r="I144" s="149" t="s">
        <v>2787</v>
      </c>
    </row>
    <row r="145">
      <c r="A145" s="350"/>
      <c r="B145" s="351"/>
      <c r="C145" s="362"/>
      <c r="D145" s="356" t="s">
        <v>3866</v>
      </c>
      <c r="E145" s="350"/>
      <c r="F145" s="351"/>
      <c r="G145" s="351"/>
      <c r="H145" s="351"/>
      <c r="I145" s="350"/>
    </row>
    <row r="146">
      <c r="A146" s="110">
        <v>37693.0</v>
      </c>
      <c r="B146" s="111"/>
      <c r="C146" s="135" t="str">
        <f>HYPERLINK("http://phish.net/sideshows/guest-appearance/?d=2003-03-13", "setlist")</f>
        <v>setlist</v>
      </c>
      <c r="D146" s="183" t="s">
        <v>3867</v>
      </c>
      <c r="E146" s="183" t="s">
        <v>1274</v>
      </c>
      <c r="F146" s="114" t="s">
        <v>1133</v>
      </c>
      <c r="G146" s="111"/>
      <c r="H146" s="359"/>
      <c r="I146" s="113" t="s">
        <v>3774</v>
      </c>
    </row>
    <row r="147">
      <c r="A147" s="103">
        <v>37897.0</v>
      </c>
      <c r="B147" s="104"/>
      <c r="C147" s="105" t="str">
        <f>HYPERLINK("http://phish.net/sideshows/guest-appearance/?d=2003-10-03", "setlist")</f>
        <v>setlist</v>
      </c>
      <c r="D147" s="181" t="s">
        <v>3884</v>
      </c>
      <c r="E147" s="181" t="s">
        <v>162</v>
      </c>
      <c r="F147" s="107" t="s">
        <v>129</v>
      </c>
      <c r="G147" s="104"/>
      <c r="H147" s="360"/>
      <c r="I147" s="106" t="s">
        <v>3706</v>
      </c>
    </row>
    <row r="148">
      <c r="A148" s="350"/>
      <c r="B148" s="351"/>
      <c r="C148" s="396"/>
      <c r="D148" s="356" t="s">
        <v>3830</v>
      </c>
      <c r="E148" s="350"/>
      <c r="F148" s="351"/>
      <c r="G148" s="351"/>
      <c r="H148" s="351"/>
      <c r="I148" s="350"/>
    </row>
    <row r="149">
      <c r="A149" s="147">
        <v>37294.0</v>
      </c>
      <c r="C149" s="135" t="str">
        <f>HYPERLINK("http://phish.net/sideshows/guest-appearance/?d=2002-02-07","setlist")</f>
        <v>setlist</v>
      </c>
      <c r="D149" s="400" t="s">
        <v>3511</v>
      </c>
      <c r="E149" s="400" t="s">
        <v>162</v>
      </c>
      <c r="F149" s="148" t="s">
        <v>129</v>
      </c>
      <c r="G149" s="148" t="s">
        <v>36</v>
      </c>
      <c r="H149" s="135" t="str">
        <f>HYPERLINK("http://www.mediafire.com/?h3z85zavx5c5z","download link")</f>
        <v>download link</v>
      </c>
      <c r="I149" s="149" t="s">
        <v>3831</v>
      </c>
    </row>
    <row r="150">
      <c r="A150" s="350"/>
      <c r="B150" s="351"/>
      <c r="C150" s="396"/>
      <c r="D150" s="356" t="s">
        <v>3846</v>
      </c>
      <c r="E150" s="350"/>
      <c r="F150" s="351"/>
      <c r="G150" s="351"/>
      <c r="H150" s="351"/>
      <c r="I150" s="350"/>
    </row>
    <row r="151">
      <c r="A151" s="110">
        <v>37443.0</v>
      </c>
      <c r="B151" s="111"/>
      <c r="C151" s="135" t="str">
        <f>HYPERLINK("http://phish.net/sideshows/guest-appearance/?d=2002-07-06", "setlist")</f>
        <v>setlist</v>
      </c>
      <c r="D151" s="183" t="s">
        <v>62</v>
      </c>
      <c r="E151" s="183" t="s">
        <v>174</v>
      </c>
      <c r="F151" s="114" t="s">
        <v>35</v>
      </c>
      <c r="G151" s="111"/>
      <c r="H151" s="111"/>
      <c r="I151" s="113" t="s">
        <v>3699</v>
      </c>
    </row>
    <row r="152">
      <c r="A152" s="381"/>
      <c r="B152" s="381"/>
      <c r="C152" s="366"/>
      <c r="D152" s="383" t="s">
        <v>4030</v>
      </c>
      <c r="E152" s="391"/>
      <c r="F152" s="381"/>
      <c r="G152" s="381"/>
      <c r="H152" s="358"/>
      <c r="I152" s="391"/>
    </row>
    <row r="153">
      <c r="A153" s="110">
        <v>42433.0</v>
      </c>
      <c r="B153" s="111"/>
      <c r="C153" s="399" t="str">
        <f>HYPERLINK("http://phish.net/sideshows/jon-fishman/?d=2016-03-04", "setlist")</f>
        <v>setlist</v>
      </c>
      <c r="D153" s="269" t="s">
        <v>4031</v>
      </c>
      <c r="E153" s="269" t="s">
        <v>279</v>
      </c>
      <c r="F153" s="139" t="s">
        <v>257</v>
      </c>
      <c r="G153" s="139"/>
      <c r="H153" s="270"/>
      <c r="I153" s="170" t="s">
        <v>2889</v>
      </c>
    </row>
    <row r="154">
      <c r="A154" s="350"/>
      <c r="B154" s="351"/>
      <c r="C154" s="362"/>
      <c r="D154" s="356" t="s">
        <v>4062</v>
      </c>
      <c r="E154" s="350"/>
      <c r="F154" s="351"/>
      <c r="G154" s="351"/>
      <c r="H154" s="351"/>
      <c r="I154" s="350"/>
    </row>
    <row r="155">
      <c r="A155" s="142">
        <v>34370.0</v>
      </c>
      <c r="B155" s="144"/>
      <c r="C155" s="116" t="str">
        <f>HYPERLINK("http://phish.net/sideshows/jon-fishman/?d=1994-02-05", "setlist")</f>
        <v>setlist</v>
      </c>
      <c r="D155" s="272" t="s">
        <v>271</v>
      </c>
      <c r="E155" s="272" t="s">
        <v>162</v>
      </c>
      <c r="F155" s="115" t="s">
        <v>129</v>
      </c>
      <c r="G155" s="115" t="s">
        <v>36</v>
      </c>
      <c r="H155" s="116" t="str">
        <f>HYPERLINK("https://www.mediafire.com/folder/5vfsqw8sepiz2/1994-02-05_-_The_Wetlands_Preserve", "download link")</f>
        <v>download link</v>
      </c>
      <c r="I155" s="118" t="s">
        <v>3689</v>
      </c>
    </row>
    <row r="156">
      <c r="A156" s="103">
        <v>35794.0</v>
      </c>
      <c r="B156" s="104"/>
      <c r="C156" s="105" t="str">
        <f>HYPERLINK("http://phish.net/sideshows/guest-appearance/?showid=1333146604", "setlist")</f>
        <v>setlist</v>
      </c>
      <c r="D156" s="181" t="s">
        <v>3755</v>
      </c>
      <c r="E156" s="181" t="s">
        <v>162</v>
      </c>
      <c r="F156" s="107" t="s">
        <v>129</v>
      </c>
      <c r="G156" s="104"/>
      <c r="H156" s="104"/>
      <c r="I156" s="106" t="s">
        <v>3664</v>
      </c>
    </row>
    <row r="157">
      <c r="A157" s="142">
        <v>36225.0</v>
      </c>
      <c r="B157" s="144"/>
      <c r="C157" s="116" t="str">
        <f>HYPERLINK("http://phish.net/sideshows/guest-appearance/?d=1999-03-06", "setlist")</f>
        <v>setlist</v>
      </c>
      <c r="D157" s="272" t="s">
        <v>3630</v>
      </c>
      <c r="E157" s="272" t="s">
        <v>417</v>
      </c>
      <c r="F157" s="115" t="s">
        <v>95</v>
      </c>
      <c r="G157" s="144"/>
      <c r="H157" s="379"/>
      <c r="I157" s="118" t="s">
        <v>3715</v>
      </c>
    </row>
    <row r="158">
      <c r="A158" s="103">
        <v>36573.0</v>
      </c>
      <c r="B158" s="104"/>
      <c r="C158" s="105" t="str">
        <f>HYPERLINK("http://phish.net/sideshows/guest-appearance/?showid=1332987825", "setlist")</f>
        <v>setlist</v>
      </c>
      <c r="D158" s="181" t="s">
        <v>2817</v>
      </c>
      <c r="E158" s="181" t="s">
        <v>854</v>
      </c>
      <c r="F158" s="107" t="s">
        <v>35</v>
      </c>
      <c r="G158" s="104"/>
      <c r="H158" s="360"/>
      <c r="I158" s="106" t="s">
        <v>3708</v>
      </c>
    </row>
    <row r="159">
      <c r="A159" s="142">
        <v>36863.0</v>
      </c>
      <c r="B159" s="144"/>
      <c r="C159" s="116" t="str">
        <f>HYPERLINK("http://phish.net/sideshows/guest-appearance/?d=2000-12-03", "setlist")</f>
        <v>setlist</v>
      </c>
      <c r="D159" s="272" t="s">
        <v>484</v>
      </c>
      <c r="E159" s="272" t="s">
        <v>565</v>
      </c>
      <c r="F159" s="115" t="s">
        <v>129</v>
      </c>
      <c r="G159" s="144"/>
      <c r="H159" s="145"/>
      <c r="I159" s="118" t="s">
        <v>3808</v>
      </c>
    </row>
    <row r="160">
      <c r="A160" s="103">
        <v>36911.0</v>
      </c>
      <c r="B160" s="104"/>
      <c r="C160" s="105" t="str">
        <f>HYPERLINK("http://phish.net/sideshows/guest-appearance/?d=2001-01-20", "setlist")</f>
        <v>setlist</v>
      </c>
      <c r="D160" s="181" t="s">
        <v>2817</v>
      </c>
      <c r="E160" s="181" t="s">
        <v>854</v>
      </c>
      <c r="F160" s="107" t="s">
        <v>35</v>
      </c>
      <c r="G160" s="104"/>
      <c r="H160" s="104"/>
      <c r="I160" s="181" t="s">
        <v>3671</v>
      </c>
    </row>
    <row r="161">
      <c r="A161" s="350"/>
      <c r="B161" s="351"/>
      <c r="C161" s="396"/>
      <c r="D161" s="356" t="s">
        <v>4016</v>
      </c>
      <c r="E161" s="350"/>
      <c r="F161" s="351"/>
      <c r="G161" s="351"/>
      <c r="H161" s="351"/>
      <c r="I161" s="350"/>
    </row>
    <row r="162">
      <c r="A162" s="110">
        <v>41879.0</v>
      </c>
      <c r="B162" s="111"/>
      <c r="C162" s="135" t="str">
        <f>HYPERLINK("http://phish.net/sideshows/mike-gordon/?d=2014-08-28","setlist")</f>
        <v>setlist</v>
      </c>
      <c r="D162" s="183" t="s">
        <v>3483</v>
      </c>
      <c r="E162" s="183" t="s">
        <v>499</v>
      </c>
      <c r="F162" s="114" t="s">
        <v>203</v>
      </c>
      <c r="G162" s="111"/>
      <c r="H162" s="111"/>
      <c r="I162" s="183" t="s">
        <v>2998</v>
      </c>
    </row>
    <row r="163">
      <c r="A163" s="350"/>
      <c r="B163" s="351"/>
      <c r="C163" s="396"/>
      <c r="D163" s="356" t="s">
        <v>3920</v>
      </c>
      <c r="E163" s="350"/>
      <c r="F163" s="351"/>
      <c r="G163" s="351"/>
      <c r="H163" s="351"/>
      <c r="I163" s="350"/>
    </row>
    <row r="164">
      <c r="A164" s="147">
        <v>38576.0</v>
      </c>
      <c r="C164" s="135" t="str">
        <f>HYPERLINK("http://phish.net/sideshows/guest-appearance/?d=2005-08-12","setlist")</f>
        <v>setlist</v>
      </c>
      <c r="D164" s="400" t="s">
        <v>3236</v>
      </c>
      <c r="E164" s="400" t="s">
        <v>162</v>
      </c>
      <c r="F164" s="148" t="s">
        <v>129</v>
      </c>
      <c r="I164" s="149" t="s">
        <v>2998</v>
      </c>
    </row>
    <row r="165">
      <c r="A165" s="130">
        <v>39732.0</v>
      </c>
      <c r="B165" s="260"/>
      <c r="C165" s="105" t="str">
        <f>HYPERLINK("http://phish.net/sideshows/guest-appearance/?d=2008-10-11","setlist")</f>
        <v>setlist</v>
      </c>
      <c r="D165" s="287" t="s">
        <v>2804</v>
      </c>
      <c r="E165" s="132" t="s">
        <v>34</v>
      </c>
      <c r="F165" s="133" t="s">
        <v>35</v>
      </c>
      <c r="G165" s="260"/>
      <c r="H165" s="260"/>
      <c r="I165" s="132" t="s">
        <v>2998</v>
      </c>
    </row>
    <row r="166">
      <c r="A166" s="381"/>
      <c r="B166" s="381"/>
      <c r="C166" s="366"/>
      <c r="D166" s="383" t="s">
        <v>4026</v>
      </c>
      <c r="E166" s="391"/>
      <c r="F166" s="381"/>
      <c r="G166" s="381"/>
      <c r="H166" s="358"/>
      <c r="I166" s="391"/>
    </row>
    <row r="167">
      <c r="A167" s="110">
        <v>42408.0</v>
      </c>
      <c r="B167" s="111"/>
      <c r="C167" s="399" t="str">
        <f>HYPERLINK("http://phish.net/sideshows/jon-fishman/?d=2016-02-08", "setlist")</f>
        <v>setlist</v>
      </c>
      <c r="D167" s="269" t="s">
        <v>4027</v>
      </c>
      <c r="E167" s="269" t="s">
        <v>225</v>
      </c>
      <c r="F167" s="139" t="s">
        <v>182</v>
      </c>
      <c r="G167" s="139"/>
      <c r="H167" s="270"/>
      <c r="I167" s="269" t="s">
        <v>4028</v>
      </c>
    </row>
    <row r="168">
      <c r="A168" s="350"/>
      <c r="B168" s="351"/>
      <c r="C168" s="396"/>
      <c r="D168" s="356" t="s">
        <v>3739</v>
      </c>
      <c r="E168" s="350"/>
      <c r="F168" s="351"/>
      <c r="G168" s="351"/>
      <c r="H168" s="351"/>
      <c r="I168" s="350"/>
    </row>
    <row r="169">
      <c r="A169" s="147">
        <v>35386.0</v>
      </c>
      <c r="C169" s="135" t="str">
        <f>HYPERLINK("http://phish.net/sideshows/guest-appearance/?d=1996-11-17","setlist")</f>
        <v>setlist</v>
      </c>
      <c r="D169" s="400" t="s">
        <v>3740</v>
      </c>
      <c r="E169" s="400" t="s">
        <v>656</v>
      </c>
      <c r="F169" s="148" t="s">
        <v>650</v>
      </c>
      <c r="I169" s="149" t="s">
        <v>3741</v>
      </c>
    </row>
    <row r="170">
      <c r="A170" s="130">
        <v>37554.0</v>
      </c>
      <c r="B170" s="260"/>
      <c r="C170" s="105" t="str">
        <f>HYPERLINK("http://phish.net/sideshows/guest-appearance/?showid=1328283992","setlist")</f>
        <v>setlist</v>
      </c>
      <c r="D170" s="287" t="s">
        <v>3740</v>
      </c>
      <c r="E170" s="287" t="s">
        <v>656</v>
      </c>
      <c r="F170" s="133" t="s">
        <v>650</v>
      </c>
      <c r="G170" s="260"/>
      <c r="H170" s="260"/>
      <c r="I170" s="132" t="s">
        <v>2885</v>
      </c>
    </row>
    <row r="171">
      <c r="A171" s="350"/>
      <c r="B171" s="351"/>
      <c r="C171" s="396"/>
      <c r="D171" s="356" t="s">
        <v>3928</v>
      </c>
      <c r="E171" s="350"/>
      <c r="F171" s="351"/>
      <c r="G171" s="351"/>
      <c r="H171" s="351"/>
      <c r="I171" s="350"/>
    </row>
    <row r="172">
      <c r="A172" s="147">
        <v>38759.0</v>
      </c>
      <c r="B172" s="148" t="s">
        <v>32</v>
      </c>
      <c r="C172" s="135" t="str">
        <f>HYPERLINK("http://phish.net/sideshows/guest-appearance/?d=2006-02-11","setlist")</f>
        <v>setlist</v>
      </c>
      <c r="D172" s="400" t="s">
        <v>54</v>
      </c>
      <c r="E172" s="400" t="s">
        <v>34</v>
      </c>
      <c r="F172" s="148" t="s">
        <v>35</v>
      </c>
      <c r="G172" s="148" t="s">
        <v>36</v>
      </c>
      <c r="H172" s="135" t="str">
        <f>HYPERLINK("http://www.mediafire.com/?zqa7bmha0br73","download link")</f>
        <v>download link</v>
      </c>
      <c r="I172" s="149" t="s">
        <v>2812</v>
      </c>
    </row>
    <row r="173">
      <c r="A173" s="350"/>
      <c r="B173" s="351"/>
      <c r="C173" s="362"/>
      <c r="D173" s="356" t="s">
        <v>3885</v>
      </c>
      <c r="E173" s="350"/>
      <c r="F173" s="351"/>
      <c r="G173" s="351"/>
      <c r="H173" s="351"/>
      <c r="I173" s="350"/>
    </row>
    <row r="174">
      <c r="A174" s="110">
        <v>37899.0</v>
      </c>
      <c r="B174" s="111"/>
      <c r="C174" s="116" t="str">
        <f>HYPERLINK("http://phish.net/sideshows/guest-appearance/?showid=1333594424", "setlist")</f>
        <v>setlist</v>
      </c>
      <c r="D174" s="183" t="s">
        <v>3886</v>
      </c>
      <c r="E174" s="183" t="s">
        <v>683</v>
      </c>
      <c r="F174" s="114" t="s">
        <v>679</v>
      </c>
      <c r="G174" s="111"/>
      <c r="H174" s="359"/>
      <c r="I174" s="113" t="s">
        <v>2998</v>
      </c>
    </row>
    <row r="175">
      <c r="A175" s="381"/>
      <c r="B175" s="381"/>
      <c r="C175" s="366"/>
      <c r="D175" s="356" t="s">
        <v>4009</v>
      </c>
      <c r="E175" s="391"/>
      <c r="F175" s="381"/>
      <c r="G175" s="381"/>
      <c r="H175" s="358"/>
      <c r="I175" s="391"/>
    </row>
    <row r="176">
      <c r="A176" s="110">
        <v>41524.0</v>
      </c>
      <c r="B176" s="111"/>
      <c r="C176" s="135" t="str">
        <f>HYPERLINK("http://phish.net/sideshows/guest-appearance/?showid=1378613140", "setlist")</f>
        <v>setlist</v>
      </c>
      <c r="D176" s="183" t="s">
        <v>3074</v>
      </c>
      <c r="E176" s="183" t="s">
        <v>2627</v>
      </c>
      <c r="F176" s="114" t="s">
        <v>446</v>
      </c>
      <c r="G176" s="114" t="s">
        <v>36</v>
      </c>
      <c r="H176" s="135" t="str">
        <f>HYPERLINK("https://mega.co.nz/#!aYgTiITB!Pk8cJHBAeBsM0L8oSCBZ3BsfzPANGWaCdMScECLfa3g","download link")</f>
        <v>download link</v>
      </c>
      <c r="I176" s="183" t="s">
        <v>3789</v>
      </c>
    </row>
    <row r="177">
      <c r="A177" s="350"/>
      <c r="B177" s="351"/>
      <c r="C177" s="396"/>
      <c r="D177" s="356" t="s">
        <v>3745</v>
      </c>
      <c r="E177" s="350"/>
      <c r="F177" s="351"/>
      <c r="G177" s="351"/>
      <c r="H177" s="351"/>
      <c r="I177" s="350"/>
    </row>
    <row r="178">
      <c r="A178" s="147">
        <v>35554.0</v>
      </c>
      <c r="C178" s="135" t="str">
        <f>HYPERLINK("http://phish.net/sideshows/guest-appearance/?d=1997-05-04","setlist")</f>
        <v>setlist</v>
      </c>
      <c r="D178" s="400" t="s">
        <v>3746</v>
      </c>
      <c r="E178" s="400" t="s">
        <v>585</v>
      </c>
      <c r="F178" s="148" t="s">
        <v>586</v>
      </c>
      <c r="I178" s="149" t="s">
        <v>3664</v>
      </c>
    </row>
    <row r="179">
      <c r="A179" s="103">
        <v>36653.0</v>
      </c>
      <c r="B179" s="104"/>
      <c r="C179" s="105" t="str">
        <f>HYPERLINK("http://phish.net/sideshows/guest-appearance/?d=2000-05-07", "setlist")</f>
        <v>setlist</v>
      </c>
      <c r="D179" s="181" t="s">
        <v>3797</v>
      </c>
      <c r="E179" s="181" t="s">
        <v>585</v>
      </c>
      <c r="F179" s="107" t="s">
        <v>586</v>
      </c>
      <c r="G179" s="104"/>
      <c r="H179" s="360"/>
      <c r="I179" s="106" t="s">
        <v>3664</v>
      </c>
    </row>
    <row r="180">
      <c r="A180" s="350"/>
      <c r="B180" s="351"/>
      <c r="C180" s="362"/>
      <c r="D180" s="356" t="s">
        <v>3895</v>
      </c>
      <c r="E180" s="350"/>
      <c r="F180" s="351"/>
      <c r="G180" s="351"/>
      <c r="H180" s="351"/>
      <c r="I180" s="350"/>
    </row>
    <row r="181">
      <c r="A181" s="110">
        <v>37985.0</v>
      </c>
      <c r="B181" s="111"/>
      <c r="C181" s="116" t="str">
        <f>HYPERLINK("http://phish.net/sideshows/guest-appearance/?showid=1333592518", "setlist")</f>
        <v>setlist</v>
      </c>
      <c r="D181" s="183" t="s">
        <v>3896</v>
      </c>
      <c r="E181" s="183" t="s">
        <v>1274</v>
      </c>
      <c r="F181" s="114" t="s">
        <v>1133</v>
      </c>
      <c r="G181" s="111"/>
      <c r="H181" s="359"/>
      <c r="I181" s="113" t="s">
        <v>3770</v>
      </c>
    </row>
    <row r="182">
      <c r="A182" s="350"/>
      <c r="B182" s="351"/>
      <c r="C182" s="396"/>
      <c r="D182" s="356" t="s">
        <v>3989</v>
      </c>
      <c r="E182" s="350"/>
      <c r="F182" s="351"/>
      <c r="G182" s="351"/>
      <c r="H182" s="351"/>
      <c r="I182" s="350"/>
    </row>
    <row r="183">
      <c r="A183" s="147">
        <v>40802.0</v>
      </c>
      <c r="C183" s="135" t="str">
        <f>HYPERLINK("http://phish.net/sideshows/guest-appearance/?d=2011-09-16","setlist")</f>
        <v>setlist</v>
      </c>
      <c r="D183" s="400" t="s">
        <v>3078</v>
      </c>
      <c r="E183" s="149" t="s">
        <v>2294</v>
      </c>
      <c r="F183" s="148" t="s">
        <v>129</v>
      </c>
      <c r="I183" s="149" t="s">
        <v>2998</v>
      </c>
    </row>
    <row r="184">
      <c r="A184" s="381"/>
      <c r="B184" s="381"/>
      <c r="C184" s="366"/>
      <c r="D184" s="383" t="s">
        <v>4039</v>
      </c>
      <c r="E184" s="391"/>
      <c r="F184" s="381"/>
      <c r="G184" s="381"/>
      <c r="H184" s="358"/>
      <c r="I184" s="391"/>
    </row>
    <row r="185">
      <c r="A185" s="110">
        <v>42601.0</v>
      </c>
      <c r="B185" s="111"/>
      <c r="C185" s="135" t="str">
        <f>HYPERLINK("http://phish.net/sideshows/page-mcconnell/?d=2016-08-19", "setlist")</f>
        <v>setlist</v>
      </c>
      <c r="D185" s="269" t="s">
        <v>54</v>
      </c>
      <c r="E185" s="269" t="s">
        <v>34</v>
      </c>
      <c r="F185" s="139" t="s">
        <v>35</v>
      </c>
      <c r="G185" s="139"/>
      <c r="H185" s="270"/>
      <c r="I185" s="269" t="s">
        <v>2885</v>
      </c>
    </row>
    <row r="186">
      <c r="A186" s="350"/>
      <c r="B186" s="351"/>
      <c r="C186" s="362"/>
      <c r="D186" s="356" t="s">
        <v>3769</v>
      </c>
      <c r="E186" s="350"/>
      <c r="F186" s="351"/>
      <c r="G186" s="351"/>
      <c r="H186" s="351"/>
      <c r="I186" s="350"/>
    </row>
    <row r="187">
      <c r="A187" s="110">
        <v>36184.0</v>
      </c>
      <c r="B187" s="111"/>
      <c r="C187" s="135" t="str">
        <f>HYPERLINK("http://phish.net/sideshows/guest-appearance/?d=1999-01-24", "setlist")</f>
        <v>setlist</v>
      </c>
      <c r="D187" s="183" t="s">
        <v>3607</v>
      </c>
      <c r="E187" s="183" t="s">
        <v>34</v>
      </c>
      <c r="F187" s="114" t="s">
        <v>35</v>
      </c>
      <c r="G187" s="111"/>
      <c r="H187" s="359"/>
      <c r="I187" s="113" t="s">
        <v>3770</v>
      </c>
    </row>
    <row r="188">
      <c r="A188" s="103">
        <v>36240.0</v>
      </c>
      <c r="B188" s="104"/>
      <c r="C188" s="105" t="str">
        <f>HYPERLINK("http://phish.net/sideshows/guest-appearance/?d=1999-03-21", "setlist")</f>
        <v>setlist</v>
      </c>
      <c r="D188" s="181" t="s">
        <v>3772</v>
      </c>
      <c r="E188" s="181" t="s">
        <v>1011</v>
      </c>
      <c r="F188" s="107" t="s">
        <v>35</v>
      </c>
      <c r="G188" s="104"/>
      <c r="H188" s="360"/>
      <c r="I188" s="106" t="s">
        <v>2925</v>
      </c>
    </row>
    <row r="189">
      <c r="A189" s="350"/>
      <c r="B189" s="354"/>
      <c r="C189" s="352"/>
      <c r="D189" s="370" t="s">
        <v>4052</v>
      </c>
      <c r="E189" s="355"/>
      <c r="F189" s="354"/>
      <c r="G189" s="354"/>
      <c r="H189" s="351"/>
      <c r="I189" s="355"/>
    </row>
    <row r="190">
      <c r="A190" s="150">
        <v>44737.0</v>
      </c>
      <c r="B190" s="156"/>
      <c r="C190" s="116" t="str">
        <f>HYPERLINK("http://phish.net/sideshows/trey-anastasio-band/?d="&amp;RIGHT(TEXT(A127,"mm/dd/yyyy"),4)&amp;"-"&amp;LEFT(TEXT(A127,"mm/dd/yyyy"),2)&amp;"-"&amp;MID(TEXT(A127,"mm/dd/yyyy"),4,2), "setlist")</f>
        <v>setlist</v>
      </c>
      <c r="D190" s="152" t="s">
        <v>2157</v>
      </c>
      <c r="E190" s="152" t="s">
        <v>162</v>
      </c>
      <c r="F190" s="196" t="s">
        <v>129</v>
      </c>
      <c r="G190" s="196" t="s">
        <v>36</v>
      </c>
      <c r="H190" s="116" t="str">
        <f>HYPERLINK("https://www.mediafire.com/file/hdr44r3vzljynti/2022-06-25_-_Radio_City_Music_Hall_-_New_York%252C_NY.rar/file", "download link")</f>
        <v>download link</v>
      </c>
      <c r="I190" s="152" t="s">
        <v>3807</v>
      </c>
    </row>
    <row r="191">
      <c r="A191" s="350"/>
      <c r="B191" s="351"/>
      <c r="C191" s="362"/>
      <c r="D191" s="356" t="s">
        <v>3822</v>
      </c>
      <c r="E191" s="350"/>
      <c r="F191" s="351"/>
      <c r="G191" s="351"/>
      <c r="H191" s="351"/>
      <c r="I191" s="350"/>
    </row>
    <row r="192">
      <c r="A192" s="110">
        <v>37143.0</v>
      </c>
      <c r="B192" s="111"/>
      <c r="C192" s="116" t="str">
        <f>HYPERLINK("http://phish.net/sideshows/guest-appearance/?d=2001-09-09", "setlist")</f>
        <v>setlist</v>
      </c>
      <c r="D192" s="183" t="s">
        <v>2817</v>
      </c>
      <c r="E192" s="183" t="s">
        <v>854</v>
      </c>
      <c r="F192" s="114" t="s">
        <v>35</v>
      </c>
      <c r="G192" s="111"/>
      <c r="H192" s="359"/>
      <c r="I192" s="113" t="s">
        <v>3781</v>
      </c>
    </row>
    <row r="193">
      <c r="A193" s="350"/>
      <c r="B193" s="351"/>
      <c r="C193" s="351"/>
      <c r="D193" s="356" t="s">
        <v>3200</v>
      </c>
      <c r="E193" s="351"/>
      <c r="F193" s="351"/>
      <c r="G193" s="354"/>
      <c r="H193" s="351"/>
      <c r="I193" s="355"/>
    </row>
    <row r="194">
      <c r="A194" s="147">
        <v>34763.0</v>
      </c>
      <c r="C194" s="135" t="str">
        <f t="shared" ref="C194:C195" si="1">HYPERLINK(((((("http://phish.net/sideshows/trey-anastasio-band/?d="&amp;RIGHT(TEXT(A194,"mm/dd/yyyy"),4))&amp;"-")&amp;LEFT(TEXT(A194,"mm/dd/yyyy"),2))&amp;"-")&amp;MID(TEXT(A194,"mm/dd/yyyy"),4,2)),"setlist")</f>
        <v>setlist</v>
      </c>
      <c r="D194" s="400" t="s">
        <v>3711</v>
      </c>
      <c r="E194" s="400" t="s">
        <v>34</v>
      </c>
      <c r="F194" s="148" t="s">
        <v>35</v>
      </c>
      <c r="I194" s="149" t="s">
        <v>3712</v>
      </c>
    </row>
    <row r="195">
      <c r="A195" s="130">
        <v>35341.0</v>
      </c>
      <c r="B195" s="260"/>
      <c r="C195" s="105" t="str">
        <f t="shared" si="1"/>
        <v>setlist</v>
      </c>
      <c r="D195" s="287" t="s">
        <v>3735</v>
      </c>
      <c r="E195" s="287" t="s">
        <v>34</v>
      </c>
      <c r="F195" s="133" t="s">
        <v>35</v>
      </c>
      <c r="G195" s="260"/>
      <c r="H195" s="260"/>
      <c r="I195" s="132" t="s">
        <v>3736</v>
      </c>
    </row>
    <row r="196">
      <c r="A196" s="110">
        <v>37035.0</v>
      </c>
      <c r="B196" s="111"/>
      <c r="C196" s="116" t="str">
        <f>HYPERLINK("http://phish.net/sideshows/guest-appearance/?d=2001-05-24", "setlist")</f>
        <v>setlist</v>
      </c>
      <c r="D196" s="183" t="s">
        <v>3607</v>
      </c>
      <c r="E196" s="183" t="s">
        <v>34</v>
      </c>
      <c r="F196" s="114" t="s">
        <v>35</v>
      </c>
      <c r="G196" s="111"/>
      <c r="H196" s="359"/>
      <c r="I196" s="113" t="s">
        <v>3664</v>
      </c>
    </row>
    <row r="197">
      <c r="A197" s="103">
        <v>37806.0</v>
      </c>
      <c r="B197" s="104"/>
      <c r="C197" s="105" t="str">
        <f>HYPERLINK("http://phish.net/sideshows/guest-appearance/?d=2003-07-04", "setlist")</f>
        <v>setlist</v>
      </c>
      <c r="D197" s="181" t="s">
        <v>3607</v>
      </c>
      <c r="E197" s="181" t="s">
        <v>34</v>
      </c>
      <c r="F197" s="107" t="s">
        <v>35</v>
      </c>
      <c r="G197" s="104"/>
      <c r="H197" s="104"/>
      <c r="I197" s="106" t="s">
        <v>3770</v>
      </c>
    </row>
    <row r="198">
      <c r="A198" s="350"/>
      <c r="B198" s="351"/>
      <c r="C198" s="396"/>
      <c r="D198" s="356" t="s">
        <v>3814</v>
      </c>
      <c r="E198" s="350"/>
      <c r="F198" s="351"/>
      <c r="G198" s="351"/>
      <c r="H198" s="351"/>
      <c r="I198" s="350"/>
    </row>
    <row r="199">
      <c r="A199" s="147">
        <v>37022.0</v>
      </c>
      <c r="C199" s="135" t="str">
        <f>HYPERLINK("http://phish.net/sideshows/guest-appearance/?d=2001-05-11","setlist")</f>
        <v>setlist</v>
      </c>
      <c r="D199" s="400" t="s">
        <v>863</v>
      </c>
      <c r="E199" s="400" t="s">
        <v>162</v>
      </c>
      <c r="F199" s="148" t="s">
        <v>129</v>
      </c>
      <c r="I199" s="149" t="s">
        <v>3815</v>
      </c>
    </row>
    <row r="200">
      <c r="A200" s="130">
        <v>37182.0</v>
      </c>
      <c r="B200" s="260"/>
      <c r="C200" s="105" t="str">
        <f>HYPERLINK("http://phish.net/sideshows/guest-appearance/?showid=1326933190","setlist")</f>
        <v>setlist</v>
      </c>
      <c r="D200" s="287" t="s">
        <v>863</v>
      </c>
      <c r="E200" s="287" t="s">
        <v>162</v>
      </c>
      <c r="F200" s="133" t="s">
        <v>129</v>
      </c>
      <c r="G200" s="260"/>
      <c r="H200" s="260"/>
      <c r="I200" s="132" t="s">
        <v>3718</v>
      </c>
    </row>
    <row r="201">
      <c r="A201" s="147">
        <v>37518.0</v>
      </c>
      <c r="C201" s="135" t="str">
        <f>HYPERLINK("http://phish.net/sideshows/guest-appearance/?d=2002-09-19","setlist")</f>
        <v>setlist</v>
      </c>
      <c r="D201" s="400" t="s">
        <v>3855</v>
      </c>
      <c r="E201" s="400" t="s">
        <v>3856</v>
      </c>
      <c r="F201" s="148" t="s">
        <v>129</v>
      </c>
      <c r="I201" s="149" t="s">
        <v>3720</v>
      </c>
    </row>
    <row r="202">
      <c r="A202" s="103">
        <v>37531.0</v>
      </c>
      <c r="B202" s="104"/>
      <c r="C202" s="105" t="str">
        <f>HYPERLINK("http://phish.net/sideshows/guest-appearance/?showid=1332784602", "setlist")</f>
        <v>setlist</v>
      </c>
      <c r="D202" s="181" t="s">
        <v>863</v>
      </c>
      <c r="E202" s="181" t="s">
        <v>162</v>
      </c>
      <c r="F202" s="107" t="s">
        <v>129</v>
      </c>
      <c r="G202" s="104"/>
      <c r="H202" s="360"/>
      <c r="I202" s="106" t="s">
        <v>3670</v>
      </c>
    </row>
    <row r="203">
      <c r="A203" s="150">
        <v>37744.0</v>
      </c>
      <c r="B203" s="273"/>
      <c r="C203" s="116" t="str">
        <f>HYPERLINK("http://phish.net/sideshows/guest-appearance/?d=2003-05-03","setlist")</f>
        <v>setlist</v>
      </c>
      <c r="D203" s="290" t="s">
        <v>2845</v>
      </c>
      <c r="E203" s="290" t="s">
        <v>585</v>
      </c>
      <c r="F203" s="151" t="s">
        <v>586</v>
      </c>
      <c r="G203" s="151" t="s">
        <v>36</v>
      </c>
      <c r="H203" s="116" t="str">
        <f>HYPERLINK("http://www.mediafire.com/?zc2j48bb946pz","download link")</f>
        <v>download link</v>
      </c>
      <c r="I203" s="153" t="s">
        <v>2787</v>
      </c>
    </row>
    <row r="204">
      <c r="A204" s="103">
        <v>38465.0</v>
      </c>
      <c r="B204" s="104"/>
      <c r="C204" s="105" t="str">
        <f>HYPERLINK("http://phish.net/sideshows/guest-appearance/?d=2005-04-23", "setlist")</f>
        <v>setlist</v>
      </c>
      <c r="D204" s="181" t="s">
        <v>2817</v>
      </c>
      <c r="E204" s="181" t="s">
        <v>2826</v>
      </c>
      <c r="F204" s="107" t="s">
        <v>35</v>
      </c>
      <c r="G204" s="104"/>
      <c r="H204" s="360"/>
      <c r="I204" s="106" t="s">
        <v>3913</v>
      </c>
    </row>
    <row r="205">
      <c r="A205" s="147">
        <v>38534.0</v>
      </c>
      <c r="C205" s="135" t="str">
        <f>HYPERLINK("http://phish.net/sideshows/guest-appearance/?showid=1327854118","setlist")</f>
        <v>setlist</v>
      </c>
      <c r="D205" s="400" t="s">
        <v>1297</v>
      </c>
      <c r="E205" s="400" t="s">
        <v>1298</v>
      </c>
      <c r="F205" s="148" t="s">
        <v>203</v>
      </c>
      <c r="I205" s="149" t="s">
        <v>2998</v>
      </c>
    </row>
    <row r="206">
      <c r="A206" s="103">
        <v>38570.0</v>
      </c>
      <c r="B206" s="104"/>
      <c r="C206" s="105" t="str">
        <f>HYPERLINK("http://phish.net/sideshows/guest-appearance/?showid=1332774529", "setlist")</f>
        <v>setlist</v>
      </c>
      <c r="D206" s="181" t="s">
        <v>993</v>
      </c>
      <c r="E206" s="181" t="s">
        <v>994</v>
      </c>
      <c r="F206" s="107" t="s">
        <v>129</v>
      </c>
      <c r="G206" s="104"/>
      <c r="H206" s="360"/>
      <c r="I206" s="106" t="s">
        <v>3661</v>
      </c>
    </row>
    <row r="207">
      <c r="A207" s="142">
        <v>38703.0</v>
      </c>
      <c r="B207" s="144"/>
      <c r="C207" s="116" t="str">
        <f>HYPERLINK("http://phish.net/sideshows/guest-appearance/?showid=1332772485", "setlist")</f>
        <v>setlist</v>
      </c>
      <c r="D207" s="272" t="s">
        <v>2326</v>
      </c>
      <c r="E207" s="272" t="s">
        <v>2327</v>
      </c>
      <c r="F207" s="115" t="s">
        <v>443</v>
      </c>
      <c r="G207" s="144"/>
      <c r="H207" s="379"/>
      <c r="I207" s="118" t="s">
        <v>3661</v>
      </c>
    </row>
    <row r="208">
      <c r="A208" s="103">
        <v>41844.0</v>
      </c>
      <c r="B208" s="104"/>
      <c r="C208" s="105" t="str">
        <f>HYPERLINK("http://phish.net/sideshows/mike-gordon/?d=2014-07-24", "setlist")</f>
        <v>setlist</v>
      </c>
      <c r="D208" s="181" t="s">
        <v>4015</v>
      </c>
      <c r="E208" s="181" t="s">
        <v>541</v>
      </c>
      <c r="F208" s="107" t="s">
        <v>443</v>
      </c>
      <c r="G208" s="107" t="s">
        <v>36</v>
      </c>
      <c r="H208" s="105" t="str">
        <f>HYPERLINK("http://www.mediafire.com/download/685axu5guo11nug/2014-07-24_-_Uptown_Amphitheatre_-_Charlotte,_NC.rar","download link")</f>
        <v>download link</v>
      </c>
      <c r="I208" s="181" t="s">
        <v>2787</v>
      </c>
    </row>
    <row r="209">
      <c r="A209" s="350"/>
      <c r="B209" s="351"/>
      <c r="C209" s="396"/>
      <c r="D209" s="356" t="s">
        <v>4000</v>
      </c>
      <c r="E209" s="350"/>
      <c r="F209" s="351"/>
      <c r="G209" s="351"/>
      <c r="H209" s="351"/>
      <c r="I209" s="350"/>
    </row>
    <row r="210">
      <c r="A210" s="110">
        <v>41167.0</v>
      </c>
      <c r="B210" s="111"/>
      <c r="C210" s="135" t="str">
        <f>HYPERLINK("http://phish.net/sideshows/guest-appearance/?d=2012-09-15", "setlist")</f>
        <v>setlist</v>
      </c>
      <c r="D210" s="113" t="s">
        <v>3116</v>
      </c>
      <c r="E210" s="113" t="s">
        <v>34</v>
      </c>
      <c r="F210" s="114" t="s">
        <v>35</v>
      </c>
      <c r="G210" s="111"/>
      <c r="H210" s="145"/>
      <c r="I210" s="113" t="s">
        <v>2812</v>
      </c>
    </row>
    <row r="211">
      <c r="A211" s="103">
        <v>42259.0</v>
      </c>
      <c r="B211" s="104"/>
      <c r="C211" s="105" t="str">
        <f>HYPERLINK("http://phish.net/sideshows/mike-gordon/?d=2015-09-12", "setlist")</f>
        <v>setlist</v>
      </c>
      <c r="D211" s="266" t="s">
        <v>3116</v>
      </c>
      <c r="E211" s="266" t="s">
        <v>34</v>
      </c>
      <c r="F211" s="141" t="s">
        <v>35</v>
      </c>
      <c r="G211" s="107"/>
      <c r="H211" s="143"/>
      <c r="I211" s="266" t="s">
        <v>2998</v>
      </c>
    </row>
    <row r="212">
      <c r="A212" s="350"/>
      <c r="B212" s="351"/>
      <c r="C212" s="396"/>
      <c r="D212" s="356" t="s">
        <v>3777</v>
      </c>
      <c r="E212" s="350"/>
      <c r="F212" s="351"/>
      <c r="G212" s="351"/>
      <c r="H212" s="351"/>
      <c r="I212" s="350"/>
    </row>
    <row r="213">
      <c r="A213" s="110">
        <v>36297.0</v>
      </c>
      <c r="B213" s="111"/>
      <c r="C213" s="135" t="str">
        <f>HYPERLINK("http://phish.net/sideshows/guest-appearance/?showid=1342060436", "setlist")</f>
        <v>setlist</v>
      </c>
      <c r="D213" s="183" t="s">
        <v>3607</v>
      </c>
      <c r="E213" s="183" t="s">
        <v>34</v>
      </c>
      <c r="F213" s="114" t="s">
        <v>35</v>
      </c>
      <c r="G213" s="111"/>
      <c r="H213" s="359"/>
      <c r="I213" s="113" t="s">
        <v>3770</v>
      </c>
    </row>
    <row r="214">
      <c r="A214" s="103">
        <v>36822.0</v>
      </c>
      <c r="B214" s="104"/>
      <c r="C214" s="105" t="str">
        <f>HYPERLINK("http://phish.net/sideshows/guest-appearance/?d=2000-10-23", "setlist")</f>
        <v>setlist</v>
      </c>
      <c r="D214" s="181" t="s">
        <v>3607</v>
      </c>
      <c r="E214" s="181" t="s">
        <v>34</v>
      </c>
      <c r="F214" s="107" t="s">
        <v>35</v>
      </c>
      <c r="G214" s="104"/>
      <c r="H214" s="104"/>
      <c r="I214" s="181" t="s">
        <v>3795</v>
      </c>
    </row>
    <row r="215">
      <c r="A215" s="142">
        <v>36861.0</v>
      </c>
      <c r="B215" s="273"/>
      <c r="C215" s="116" t="str">
        <f>HYPERLINK("http://phish.net/sideshows/guest-appearance/?showid=1333326079", "setlist")</f>
        <v>setlist</v>
      </c>
      <c r="D215" s="272" t="s">
        <v>2804</v>
      </c>
      <c r="E215" s="272" t="s">
        <v>34</v>
      </c>
      <c r="F215" s="115" t="s">
        <v>35</v>
      </c>
      <c r="G215" s="273"/>
      <c r="H215" s="144"/>
      <c r="I215" s="272" t="s">
        <v>3806</v>
      </c>
    </row>
    <row r="216">
      <c r="A216" s="103">
        <v>36983.0</v>
      </c>
      <c r="B216" s="104"/>
      <c r="C216" s="105" t="str">
        <f>HYPERLINK("http://phish.net/sideshows/guest-appearance/?d=2001-04-02", "setlist")</f>
        <v>setlist</v>
      </c>
      <c r="D216" s="181" t="s">
        <v>3607</v>
      </c>
      <c r="E216" s="181" t="s">
        <v>34</v>
      </c>
      <c r="F216" s="107" t="s">
        <v>35</v>
      </c>
      <c r="G216" s="104"/>
      <c r="H216" s="360"/>
      <c r="I216" s="106" t="s">
        <v>3795</v>
      </c>
    </row>
    <row r="217">
      <c r="A217" s="110">
        <v>41292.0</v>
      </c>
      <c r="B217" s="111"/>
      <c r="C217" s="135" t="str">
        <f>HYPERLINK("http://phish.net/sideshows/guest-appearance/?d=2013-01-18", "setlist")</f>
        <v>setlist</v>
      </c>
      <c r="D217" s="183" t="s">
        <v>54</v>
      </c>
      <c r="E217" s="183" t="s">
        <v>34</v>
      </c>
      <c r="F217" s="114" t="s">
        <v>35</v>
      </c>
      <c r="G217" s="111"/>
      <c r="H217" s="138"/>
      <c r="I217" s="183" t="s">
        <v>2889</v>
      </c>
    </row>
    <row r="218">
      <c r="A218" s="381"/>
      <c r="B218" s="381"/>
      <c r="C218" s="366"/>
      <c r="D218" s="383" t="s">
        <v>4040</v>
      </c>
      <c r="E218" s="391"/>
      <c r="F218" s="381"/>
      <c r="G218" s="381"/>
      <c r="H218" s="358"/>
      <c r="I218" s="391"/>
    </row>
    <row r="219">
      <c r="A219" s="110">
        <v>42609.0</v>
      </c>
      <c r="B219" s="111"/>
      <c r="C219" s="135" t="str">
        <f>HYPERLINK("http://phish.net/setlists/mike-gordon-july-27-2016-oak-ridge-farm-arrington-va-usa-2.html", "setlist")</f>
        <v>setlist</v>
      </c>
      <c r="D219" s="269" t="s">
        <v>2626</v>
      </c>
      <c r="E219" s="269" t="s">
        <v>2627</v>
      </c>
      <c r="F219" s="139" t="s">
        <v>446</v>
      </c>
      <c r="G219" s="139"/>
      <c r="H219" s="270"/>
      <c r="I219" s="269" t="s">
        <v>4041</v>
      </c>
    </row>
    <row r="220">
      <c r="A220" s="350"/>
      <c r="B220" s="351"/>
      <c r="C220" s="396"/>
      <c r="D220" s="356" t="s">
        <v>3956</v>
      </c>
      <c r="E220" s="350"/>
      <c r="F220" s="351"/>
      <c r="G220" s="351"/>
      <c r="H220" s="351"/>
      <c r="I220" s="350"/>
    </row>
    <row r="221">
      <c r="A221" s="110">
        <v>39453.0</v>
      </c>
      <c r="B221" s="111"/>
      <c r="C221" s="135" t="str">
        <f>HYPERLINK("http://phish.net/sideshows/guest-appearance/?d=2008-01-06", "setlist")</f>
        <v>setlist</v>
      </c>
      <c r="D221" s="183" t="s">
        <v>2817</v>
      </c>
      <c r="E221" s="113" t="s">
        <v>2826</v>
      </c>
      <c r="F221" s="114" t="s">
        <v>35</v>
      </c>
      <c r="G221" s="111"/>
      <c r="H221" s="359"/>
      <c r="I221" s="113" t="s">
        <v>3957</v>
      </c>
    </row>
    <row r="222">
      <c r="A222" s="103">
        <v>41047.0</v>
      </c>
      <c r="B222" s="104"/>
      <c r="C222" s="105" t="str">
        <f>HYPERLINK("http://phish.net/sideshows/guest-appearance/?d=2012-05-18", "setlist")</f>
        <v>setlist</v>
      </c>
      <c r="D222" s="181" t="s">
        <v>2817</v>
      </c>
      <c r="E222" s="106" t="s">
        <v>2826</v>
      </c>
      <c r="F222" s="107" t="s">
        <v>35</v>
      </c>
      <c r="G222" s="107" t="s">
        <v>36</v>
      </c>
      <c r="H222" s="105" t="str">
        <f>HYPERLINK("http://www.mediafire.com/?1duj7nuza1qm3","download link")</f>
        <v>download link</v>
      </c>
      <c r="I222" s="106" t="s">
        <v>3957</v>
      </c>
    </row>
    <row r="223">
      <c r="A223" s="380"/>
      <c r="B223" s="381"/>
      <c r="C223" s="366"/>
      <c r="D223" s="356" t="s">
        <v>4003</v>
      </c>
      <c r="E223" s="391"/>
      <c r="F223" s="381"/>
      <c r="G223" s="381"/>
      <c r="H223" s="358"/>
      <c r="I223" s="391"/>
    </row>
    <row r="224">
      <c r="A224" s="110">
        <v>41193.0</v>
      </c>
      <c r="B224" s="111"/>
      <c r="C224" s="116" t="str">
        <f>HYPERLINK("http://phish.net/sideshows/jon-fishman/?d="&amp;RIGHT(TEXT(A224,"mm/dd/yyyy"),4)&amp;"-"&amp;LEFT(TEXT(A224,"mm/dd/yyyy"),2)&amp;"-"&amp;MID(TEXT(A224,"mm/dd/yyyy"),4,2), "setlist")</f>
        <v>setlist</v>
      </c>
      <c r="D224" s="183" t="s">
        <v>2817</v>
      </c>
      <c r="E224" s="183" t="s">
        <v>2826</v>
      </c>
      <c r="F224" s="114" t="s">
        <v>35</v>
      </c>
      <c r="G224" s="111"/>
      <c r="H224" s="138"/>
      <c r="I224" s="183" t="s">
        <v>4004</v>
      </c>
    </row>
    <row r="225">
      <c r="A225" s="350"/>
      <c r="B225" s="351"/>
      <c r="C225" s="362"/>
      <c r="D225" s="356" t="s">
        <v>3759</v>
      </c>
      <c r="E225" s="350"/>
      <c r="F225" s="351"/>
      <c r="G225" s="351"/>
      <c r="H225" s="351"/>
      <c r="I225" s="350"/>
    </row>
    <row r="226">
      <c r="A226" s="110">
        <v>35904.0</v>
      </c>
      <c r="B226" s="111"/>
      <c r="C226" s="135" t="str">
        <f>HYPERLINK("http://phish.net/sideshows/guest-appearance/?d=1998-04-19", "setlist")</f>
        <v>setlist</v>
      </c>
      <c r="D226" s="183" t="s">
        <v>2811</v>
      </c>
      <c r="E226" s="183" t="s">
        <v>34</v>
      </c>
      <c r="F226" s="114" t="s">
        <v>35</v>
      </c>
      <c r="G226" s="111"/>
      <c r="H226" s="111"/>
      <c r="I226" s="113" t="s">
        <v>3760</v>
      </c>
    </row>
    <row r="227">
      <c r="A227" s="350"/>
      <c r="B227" s="351"/>
      <c r="C227" s="396"/>
      <c r="D227" s="356" t="s">
        <v>3682</v>
      </c>
      <c r="E227" s="350"/>
      <c r="F227" s="351"/>
      <c r="G227" s="351"/>
      <c r="H227" s="351"/>
      <c r="I227" s="350"/>
    </row>
    <row r="228">
      <c r="A228" s="147">
        <v>34209.0</v>
      </c>
      <c r="C228" s="135" t="str">
        <f>HYPERLINK("http://phish.net/sideshows/guest-appearance/?showid=1328590012","setlist")</f>
        <v>setlist</v>
      </c>
      <c r="D228" s="400" t="s">
        <v>1309</v>
      </c>
      <c r="E228" s="400" t="s">
        <v>3683</v>
      </c>
      <c r="F228" s="148" t="s">
        <v>679</v>
      </c>
      <c r="I228" s="149" t="s">
        <v>3684</v>
      </c>
    </row>
    <row r="229">
      <c r="A229" s="350"/>
      <c r="B229" s="351"/>
      <c r="C229" s="396"/>
      <c r="D229" s="356" t="s">
        <v>3990</v>
      </c>
      <c r="E229" s="350"/>
      <c r="F229" s="351"/>
      <c r="G229" s="351"/>
      <c r="H229" s="351"/>
      <c r="I229" s="350"/>
    </row>
    <row r="230">
      <c r="A230" s="147">
        <v>40827.0</v>
      </c>
      <c r="C230" s="135" t="str">
        <f>HYPERLINK("http://phish.net/sideshows/guest-appearance/?d=2011-10-11","setlist")</f>
        <v>setlist</v>
      </c>
      <c r="D230" s="400" t="s">
        <v>2817</v>
      </c>
      <c r="E230" s="149" t="s">
        <v>2826</v>
      </c>
      <c r="F230" s="148" t="s">
        <v>35</v>
      </c>
      <c r="I230" s="149" t="s">
        <v>2998</v>
      </c>
    </row>
    <row r="231">
      <c r="A231" s="350"/>
      <c r="B231" s="351"/>
      <c r="C231" s="362"/>
      <c r="D231" s="356" t="s">
        <v>3826</v>
      </c>
      <c r="E231" s="350"/>
      <c r="F231" s="351"/>
      <c r="G231" s="351"/>
      <c r="H231" s="351"/>
      <c r="I231" s="350"/>
    </row>
    <row r="232">
      <c r="A232" s="110">
        <v>37213.0</v>
      </c>
      <c r="B232" s="111"/>
      <c r="C232" s="116" t="str">
        <f>HYPERLINK("http://phish.net/sideshows/guest-appearance/?showid=1331261389", "setlist")</f>
        <v>setlist</v>
      </c>
      <c r="D232" s="183" t="s">
        <v>3236</v>
      </c>
      <c r="E232" s="183" t="s">
        <v>162</v>
      </c>
      <c r="F232" s="114" t="s">
        <v>129</v>
      </c>
      <c r="G232" s="111"/>
      <c r="H232" s="111"/>
      <c r="I232" s="113" t="s">
        <v>3827</v>
      </c>
    </row>
    <row r="233">
      <c r="A233" s="350"/>
      <c r="B233" s="351"/>
      <c r="C233" s="396"/>
      <c r="D233" s="356" t="s">
        <v>4063</v>
      </c>
      <c r="E233" s="350"/>
      <c r="F233" s="351"/>
      <c r="G233" s="351"/>
      <c r="H233" s="351"/>
      <c r="I233" s="350"/>
    </row>
    <row r="234">
      <c r="A234" s="147">
        <v>37531.0</v>
      </c>
      <c r="C234" s="135" t="str">
        <f>HYPERLINK("http://phish.net/sideshows/guest-appearance/?showid=1328410119","setlist")</f>
        <v>setlist</v>
      </c>
      <c r="D234" s="400" t="s">
        <v>863</v>
      </c>
      <c r="E234" s="400" t="s">
        <v>162</v>
      </c>
      <c r="F234" s="148" t="s">
        <v>129</v>
      </c>
      <c r="I234" s="149" t="s">
        <v>3859</v>
      </c>
    </row>
    <row r="235">
      <c r="A235" s="350"/>
      <c r="B235" s="351"/>
      <c r="C235" s="362"/>
      <c r="D235" s="356" t="s">
        <v>2793</v>
      </c>
      <c r="E235" s="350"/>
      <c r="F235" s="351"/>
      <c r="G235" s="351"/>
      <c r="H235" s="351"/>
      <c r="I235" s="350"/>
    </row>
    <row r="236">
      <c r="A236" s="110">
        <v>36418.0</v>
      </c>
      <c r="B236" s="111"/>
      <c r="C236" s="135" t="str">
        <f>HYPERLINK("http://phish.net/sideshows/guest-appearance/?d=1999-09-15", "setlist")</f>
        <v>setlist</v>
      </c>
      <c r="D236" s="183" t="s">
        <v>3788</v>
      </c>
      <c r="E236" s="183" t="s">
        <v>683</v>
      </c>
      <c r="F236" s="114" t="s">
        <v>679</v>
      </c>
      <c r="G236" s="111"/>
      <c r="H236" s="359"/>
      <c r="I236" s="113" t="s">
        <v>3718</v>
      </c>
    </row>
    <row r="237">
      <c r="A237" s="103">
        <v>36834.0</v>
      </c>
      <c r="B237" s="104"/>
      <c r="C237" s="105" t="str">
        <f>HYPERLINK("http://phish.net/sideshows/guest-appearance/?d=2000-11-04", "setlist")</f>
        <v>setlist</v>
      </c>
      <c r="D237" s="181" t="s">
        <v>2817</v>
      </c>
      <c r="E237" s="181" t="s">
        <v>854</v>
      </c>
      <c r="F237" s="107" t="s">
        <v>35</v>
      </c>
      <c r="G237" s="104"/>
      <c r="H237" s="104"/>
      <c r="I237" s="181" t="s">
        <v>3715</v>
      </c>
    </row>
    <row r="238">
      <c r="A238" s="142">
        <v>37295.0</v>
      </c>
      <c r="B238" s="144"/>
      <c r="C238" s="116" t="str">
        <f>HYPERLINK("http://phish.net/sideshows/guest-appearance/?d=2002-02-08", "setlist")</f>
        <v>setlist</v>
      </c>
      <c r="D238" s="272" t="s">
        <v>2817</v>
      </c>
      <c r="E238" s="272" t="s">
        <v>854</v>
      </c>
      <c r="F238" s="115" t="s">
        <v>35</v>
      </c>
      <c r="G238" s="115" t="s">
        <v>36</v>
      </c>
      <c r="H238" s="116" t="str">
        <f>HYPERLINK("http://www.mediafire.com/?9a90xu39zg20z", "download link")</f>
        <v>download link</v>
      </c>
      <c r="I238" s="118" t="s">
        <v>3664</v>
      </c>
    </row>
    <row r="239">
      <c r="A239" s="103">
        <v>37709.0</v>
      </c>
      <c r="B239" s="104"/>
      <c r="C239" s="105" t="str">
        <f>HYPERLINK("http://phish.net/sideshows/guest-appearance/?d=2003-03-29", "setlist")</f>
        <v>setlist</v>
      </c>
      <c r="D239" s="181" t="s">
        <v>2817</v>
      </c>
      <c r="E239" s="181" t="s">
        <v>854</v>
      </c>
      <c r="F239" s="107" t="s">
        <v>35</v>
      </c>
      <c r="G239" s="104"/>
      <c r="H239" s="360"/>
      <c r="I239" s="106" t="s">
        <v>3715</v>
      </c>
    </row>
    <row r="240">
      <c r="A240" s="350"/>
      <c r="B240" s="351"/>
      <c r="C240" s="362"/>
      <c r="D240" s="356" t="s">
        <v>3891</v>
      </c>
      <c r="E240" s="350"/>
      <c r="F240" s="351"/>
      <c r="G240" s="351"/>
      <c r="H240" s="351"/>
      <c r="I240" s="350"/>
    </row>
    <row r="241">
      <c r="A241" s="110">
        <v>37932.0</v>
      </c>
      <c r="B241" s="111"/>
      <c r="C241" s="116" t="str">
        <f>HYPERLINK("http://phish.net/sideshows/guest-appearance/?showid=1333426010", "setlist")</f>
        <v>setlist</v>
      </c>
      <c r="D241" s="183" t="s">
        <v>3892</v>
      </c>
      <c r="E241" s="183" t="s">
        <v>162</v>
      </c>
      <c r="F241" s="114" t="s">
        <v>129</v>
      </c>
      <c r="G241" s="114" t="s">
        <v>36</v>
      </c>
      <c r="H241" s="116" t="str">
        <f>HYPERLINK("http://www.mediafire.com/?ayirihoa8y9vg", "download link")</f>
        <v>download link</v>
      </c>
      <c r="I241" s="113" t="s">
        <v>3670</v>
      </c>
    </row>
    <row r="242">
      <c r="A242" s="350"/>
      <c r="B242" s="351"/>
      <c r="C242" s="396"/>
      <c r="D242" s="356" t="s">
        <v>3972</v>
      </c>
      <c r="E242" s="350"/>
      <c r="F242" s="351"/>
      <c r="G242" s="351"/>
      <c r="H242" s="351"/>
      <c r="I242" s="350"/>
    </row>
    <row r="243">
      <c r="A243" s="147">
        <v>39573.0</v>
      </c>
      <c r="C243" s="402" t="s">
        <v>40</v>
      </c>
      <c r="D243" s="400" t="s">
        <v>584</v>
      </c>
      <c r="E243" s="149" t="s">
        <v>585</v>
      </c>
      <c r="F243" s="148" t="s">
        <v>586</v>
      </c>
      <c r="G243" s="148" t="s">
        <v>36</v>
      </c>
      <c r="H243" s="135" t="str">
        <f>HYPERLINK("http://www.mediafire.com/?wg459n90blp5g","download link")</f>
        <v>download link</v>
      </c>
      <c r="I243" s="149" t="s">
        <v>3712</v>
      </c>
    </row>
    <row r="244">
      <c r="A244" s="350"/>
      <c r="B244" s="351"/>
      <c r="C244" s="362"/>
      <c r="D244" s="356" t="s">
        <v>3819</v>
      </c>
      <c r="E244" s="350"/>
      <c r="F244" s="351"/>
      <c r="G244" s="351"/>
      <c r="H244" s="351"/>
      <c r="I244" s="350"/>
    </row>
    <row r="245">
      <c r="A245" s="110">
        <v>37040.0</v>
      </c>
      <c r="B245" s="111"/>
      <c r="C245" s="116" t="str">
        <f>HYPERLINK("http://phish.net/sideshows/guest-appearance/?d=2001-05-29", "setlist")</f>
        <v>setlist</v>
      </c>
      <c r="D245" s="183" t="s">
        <v>3236</v>
      </c>
      <c r="E245" s="183" t="s">
        <v>162</v>
      </c>
      <c r="F245" s="114" t="s">
        <v>129</v>
      </c>
      <c r="G245" s="111"/>
      <c r="H245" s="359"/>
      <c r="I245" s="113" t="s">
        <v>3820</v>
      </c>
    </row>
    <row r="246">
      <c r="A246" s="350"/>
      <c r="B246" s="351"/>
      <c r="C246" s="396"/>
      <c r="D246" s="356" t="s">
        <v>3775</v>
      </c>
      <c r="E246" s="350"/>
      <c r="F246" s="351"/>
      <c r="G246" s="351"/>
      <c r="H246" s="351"/>
      <c r="I246" s="350"/>
    </row>
    <row r="247">
      <c r="A247" s="147">
        <v>36259.0</v>
      </c>
      <c r="C247" s="135" t="str">
        <f>HYPERLINK("http://phish.net/sideshows/guest-appearance/?d=1999-04-09","setlist")</f>
        <v>setlist</v>
      </c>
      <c r="D247" s="400" t="s">
        <v>2817</v>
      </c>
      <c r="E247" s="400" t="s">
        <v>854</v>
      </c>
      <c r="F247" s="148" t="s">
        <v>35</v>
      </c>
      <c r="G247" s="148" t="s">
        <v>36</v>
      </c>
      <c r="H247" s="135" t="str">
        <f>HYPERLINK("http://www.mediafire.com/?j4lgffbvildly","download link")</f>
        <v>download link</v>
      </c>
      <c r="I247" s="149" t="s">
        <v>3671</v>
      </c>
    </row>
    <row r="248">
      <c r="A248" s="350"/>
      <c r="B248" s="351"/>
      <c r="C248" s="362"/>
      <c r="D248" s="356" t="s">
        <v>3993</v>
      </c>
      <c r="E248" s="350"/>
      <c r="F248" s="351"/>
      <c r="G248" s="351"/>
      <c r="H248" s="351"/>
      <c r="I248" s="350"/>
    </row>
    <row r="249">
      <c r="A249" s="110">
        <v>40992.0</v>
      </c>
      <c r="B249" s="111"/>
      <c r="C249" s="135" t="str">
        <f>HYPERLINK("http://phish.net/sideshows/guest-appearance/?d=2012-03-24", "setlist")</f>
        <v>setlist</v>
      </c>
      <c r="D249" s="113" t="s">
        <v>2817</v>
      </c>
      <c r="E249" s="113" t="s">
        <v>2826</v>
      </c>
      <c r="F249" s="114" t="s">
        <v>35</v>
      </c>
      <c r="G249" s="111"/>
      <c r="H249" s="138"/>
      <c r="I249" s="113" t="s">
        <v>2787</v>
      </c>
    </row>
    <row r="250">
      <c r="A250" s="381"/>
      <c r="B250" s="381"/>
      <c r="C250" s="366"/>
      <c r="D250" s="383" t="s">
        <v>4029</v>
      </c>
      <c r="E250" s="391"/>
      <c r="F250" s="381"/>
      <c r="G250" s="381"/>
      <c r="H250" s="358"/>
      <c r="I250" s="391"/>
    </row>
    <row r="251">
      <c r="A251" s="110">
        <v>42431.0</v>
      </c>
      <c r="B251" s="111"/>
      <c r="C251" s="399" t="str">
        <f>HYPERLINK("http://phish.net/sideshows/jon-fishman/?d=2016-03-02", "setlist")</f>
        <v>setlist</v>
      </c>
      <c r="D251" s="269" t="s">
        <v>1193</v>
      </c>
      <c r="E251" s="269" t="s">
        <v>279</v>
      </c>
      <c r="F251" s="139" t="s">
        <v>257</v>
      </c>
      <c r="G251" s="139"/>
      <c r="H251" s="270"/>
      <c r="I251" s="170" t="s">
        <v>4028</v>
      </c>
    </row>
    <row r="252">
      <c r="A252" s="350"/>
      <c r="B252" s="351"/>
      <c r="C252" s="362"/>
      <c r="D252" s="356" t="s">
        <v>3800</v>
      </c>
      <c r="E252" s="350"/>
      <c r="F252" s="351"/>
      <c r="G252" s="351"/>
      <c r="H252" s="351"/>
      <c r="I252" s="350"/>
    </row>
    <row r="253">
      <c r="A253" s="110">
        <v>36666.0</v>
      </c>
      <c r="B253" s="114" t="s">
        <v>32</v>
      </c>
      <c r="C253" s="135" t="str">
        <f>HYPERLINK("http://phish.net/sideshows/guest-appearance/?d=2000-05-20", "setlist")</f>
        <v>setlist</v>
      </c>
      <c r="D253" s="183" t="s">
        <v>2223</v>
      </c>
      <c r="E253" s="183" t="s">
        <v>162</v>
      </c>
      <c r="F253" s="114" t="s">
        <v>129</v>
      </c>
      <c r="G253" s="114">
        <v>132.0</v>
      </c>
      <c r="H253" s="116" t="str">
        <f>HYPERLINK("http://www.mediafire.com/?srljdbj86xiw3", "download link")</f>
        <v>download link</v>
      </c>
      <c r="I253" s="183" t="s">
        <v>3661</v>
      </c>
    </row>
    <row r="254">
      <c r="A254" s="350"/>
      <c r="B254" s="351"/>
      <c r="C254" s="396"/>
      <c r="D254" s="356" t="s">
        <v>4064</v>
      </c>
      <c r="E254" s="350"/>
      <c r="F254" s="351"/>
      <c r="G254" s="351"/>
      <c r="H254" s="351"/>
      <c r="I254" s="350"/>
    </row>
    <row r="255">
      <c r="A255" s="147">
        <v>35647.0</v>
      </c>
      <c r="C255" s="135" t="str">
        <f>HYPERLINK("http://phish.net/sideshows/guest-appearance/?d=1997-08-05","setlist")</f>
        <v>setlist</v>
      </c>
      <c r="D255" s="400" t="s">
        <v>3752</v>
      </c>
      <c r="E255" s="400" t="s">
        <v>885</v>
      </c>
      <c r="F255" s="148" t="s">
        <v>886</v>
      </c>
      <c r="I255" s="149" t="s">
        <v>2787</v>
      </c>
    </row>
    <row r="256">
      <c r="A256" s="381"/>
      <c r="B256" s="381"/>
      <c r="C256" s="366"/>
      <c r="D256" s="383" t="s">
        <v>4034</v>
      </c>
      <c r="E256" s="391"/>
      <c r="F256" s="381"/>
      <c r="G256" s="381"/>
      <c r="H256" s="358"/>
      <c r="I256" s="391"/>
    </row>
    <row r="257">
      <c r="A257" s="110">
        <v>42478.0</v>
      </c>
      <c r="B257" s="111"/>
      <c r="C257" s="399" t="str">
        <f>HYPERLINK("http://phish.net/sideshows/jon-fishman/?d=2016-04-18", "setlist")</f>
        <v>setlist</v>
      </c>
      <c r="D257" s="269" t="s">
        <v>4035</v>
      </c>
      <c r="E257" s="269" t="s">
        <v>2294</v>
      </c>
      <c r="F257" s="139" t="s">
        <v>129</v>
      </c>
      <c r="G257" s="139"/>
      <c r="H257" s="270"/>
      <c r="I257" s="170" t="s">
        <v>4036</v>
      </c>
    </row>
    <row r="258">
      <c r="A258" s="350"/>
      <c r="B258" s="351"/>
      <c r="C258" s="396"/>
      <c r="D258" s="356" t="s">
        <v>3909</v>
      </c>
      <c r="E258" s="350"/>
      <c r="F258" s="351"/>
      <c r="G258" s="351"/>
      <c r="H258" s="351"/>
      <c r="I258" s="350"/>
    </row>
    <row r="259">
      <c r="A259" s="147">
        <v>38353.0</v>
      </c>
      <c r="C259" s="135" t="str">
        <f>HYPERLINK("http://phish.net/sideshows/guest-appearance/?d=2005-01-01","setlist")</f>
        <v>setlist</v>
      </c>
      <c r="D259" s="400" t="s">
        <v>3511</v>
      </c>
      <c r="E259" s="400" t="s">
        <v>162</v>
      </c>
      <c r="F259" s="148" t="s">
        <v>129</v>
      </c>
      <c r="G259" s="148" t="s">
        <v>36</v>
      </c>
      <c r="H259" s="135" t="str">
        <f>HYPERLINK("http://www.mediafire.com/?vfdna5esaxf7f","download link")</f>
        <v>download link</v>
      </c>
      <c r="I259" s="149" t="s">
        <v>3792</v>
      </c>
    </row>
    <row r="260">
      <c r="A260" s="350"/>
      <c r="B260" s="351"/>
      <c r="C260" s="396"/>
      <c r="D260" s="356" t="s">
        <v>3717</v>
      </c>
      <c r="E260" s="350"/>
      <c r="F260" s="351"/>
      <c r="G260" s="351"/>
      <c r="H260" s="351"/>
      <c r="I260" s="350"/>
    </row>
    <row r="261">
      <c r="A261" s="147">
        <v>34908.0</v>
      </c>
      <c r="B261" s="148" t="s">
        <v>32</v>
      </c>
      <c r="C261" s="135" t="str">
        <f>HYPERLINK("http://phish.net/sideshows/guest-appearance/?d=1995-07-28","setlist")</f>
        <v>setlist</v>
      </c>
      <c r="D261" s="400" t="s">
        <v>2804</v>
      </c>
      <c r="E261" s="400" t="s">
        <v>34</v>
      </c>
      <c r="F261" s="148" t="s">
        <v>35</v>
      </c>
      <c r="G261" s="148" t="s">
        <v>36</v>
      </c>
      <c r="H261" s="135" t="str">
        <f>HYPERLINK("http://www.mediafire.com/?6nlhyogg866fr","download link")</f>
        <v>download link</v>
      </c>
      <c r="I261" s="149" t="s">
        <v>3718</v>
      </c>
    </row>
    <row r="262">
      <c r="A262" s="130">
        <v>36316.0</v>
      </c>
      <c r="B262" s="133" t="s">
        <v>32</v>
      </c>
      <c r="C262" s="105" t="str">
        <f>HYPERLINK("http://phish.net/sideshows/guest-appearance/?d=1999-06-05","setlist")</f>
        <v>setlist</v>
      </c>
      <c r="D262" s="287" t="s">
        <v>2817</v>
      </c>
      <c r="E262" s="287" t="s">
        <v>854</v>
      </c>
      <c r="F262" s="133" t="s">
        <v>35</v>
      </c>
      <c r="G262" s="133" t="s">
        <v>36</v>
      </c>
      <c r="H262" s="105" t="str">
        <f>HYPERLINK("http://www.mediafire.com/?8ru1ablg4w93a","download link")</f>
        <v>download link</v>
      </c>
      <c r="I262" s="140" t="s">
        <v>3758</v>
      </c>
    </row>
    <row r="263">
      <c r="A263" s="147">
        <v>36423.0</v>
      </c>
      <c r="C263" s="135" t="str">
        <f>HYPERLINK("http://phish.net/sideshows/guest-appearance/?d=1999-09-20","setlist")</f>
        <v>setlist</v>
      </c>
      <c r="D263" s="400" t="s">
        <v>3251</v>
      </c>
      <c r="E263" s="400" t="s">
        <v>3252</v>
      </c>
      <c r="F263" s="148" t="s">
        <v>805</v>
      </c>
      <c r="I263" s="172" t="s">
        <v>3789</v>
      </c>
    </row>
    <row r="264">
      <c r="A264" s="103">
        <v>37594.0</v>
      </c>
      <c r="B264" s="107" t="s">
        <v>32</v>
      </c>
      <c r="C264" s="105" t="str">
        <f>HYPERLINK("http://phish.net/sideshows/guest-appearance/?d=2002-12-04", "setlist")</f>
        <v>setlist</v>
      </c>
      <c r="D264" s="181" t="s">
        <v>2817</v>
      </c>
      <c r="E264" s="181" t="s">
        <v>3862</v>
      </c>
      <c r="F264" s="107" t="s">
        <v>35</v>
      </c>
      <c r="G264" s="107" t="s">
        <v>36</v>
      </c>
      <c r="H264" s="105" t="str">
        <f>HYPERLINK("http://www.mediafire.com/?445m4d624w2kv","download link")</f>
        <v>download link</v>
      </c>
      <c r="I264" s="106" t="s">
        <v>3718</v>
      </c>
    </row>
    <row r="265">
      <c r="A265" s="150">
        <v>38185.0</v>
      </c>
      <c r="B265" s="273"/>
      <c r="C265" s="116" t="str">
        <f>HYPERLINK("http://phish.net/sideshows//?d=2004-07-17","setlist")</f>
        <v>setlist</v>
      </c>
      <c r="D265" s="290" t="s">
        <v>3907</v>
      </c>
      <c r="E265" s="290" t="s">
        <v>3908</v>
      </c>
      <c r="F265" s="151" t="s">
        <v>129</v>
      </c>
      <c r="G265" s="151" t="s">
        <v>36</v>
      </c>
      <c r="H265" s="116" t="str">
        <f>HYPERLINK("http://www.mediafire.com/?6rx7c6l92c7u6","download link")</f>
        <v>download link</v>
      </c>
      <c r="I265" s="153" t="s">
        <v>2998</v>
      </c>
    </row>
    <row r="266">
      <c r="A266" s="103">
        <v>40460.0</v>
      </c>
      <c r="B266" s="104"/>
      <c r="C266" s="105" t="str">
        <f>HYPERLINK("http://phish.net/sideshows/guest-appearance/?showid=1336443936", "setlist")</f>
        <v>setlist</v>
      </c>
      <c r="D266" s="181" t="s">
        <v>2406</v>
      </c>
      <c r="E266" s="106" t="s">
        <v>2407</v>
      </c>
      <c r="F266" s="107" t="s">
        <v>203</v>
      </c>
      <c r="G266" s="107" t="s">
        <v>36</v>
      </c>
      <c r="H266" s="105" t="str">
        <f>HYPERLINK("http://www.mediafire.com/?7t8p8p91yp1pc", "download link")</f>
        <v>download link</v>
      </c>
      <c r="I266" s="106" t="s">
        <v>3987</v>
      </c>
    </row>
    <row r="267">
      <c r="A267" s="110">
        <v>41882.0</v>
      </c>
      <c r="B267" s="111"/>
      <c r="C267" s="135" t="str">
        <f>HYPERLINK("http://phish.net/sideshows/mike-gordon/?d=2014-08-31", "setlist")</f>
        <v>setlist</v>
      </c>
      <c r="D267" s="183" t="s">
        <v>4017</v>
      </c>
      <c r="E267" s="183" t="s">
        <v>499</v>
      </c>
      <c r="F267" s="114" t="s">
        <v>203</v>
      </c>
      <c r="G267" s="114" t="s">
        <v>36</v>
      </c>
      <c r="H267" s="135" t="str">
        <f>HYPERLINK("http://www.mediafire.com/download/d5na8npg3igo1s1/2014-08-31_-_Cervantes_Masterpiece_Ballroom_-_Denver,_CO.rar","download link")</f>
        <v>download link</v>
      </c>
      <c r="I267" s="183" t="s">
        <v>4018</v>
      </c>
    </row>
    <row r="268">
      <c r="A268" s="350"/>
      <c r="B268" s="351"/>
      <c r="C268" s="396"/>
      <c r="D268" s="356" t="s">
        <v>3937</v>
      </c>
      <c r="E268" s="350"/>
      <c r="F268" s="351"/>
      <c r="G268" s="351"/>
      <c r="H268" s="351"/>
      <c r="I268" s="350"/>
    </row>
    <row r="269">
      <c r="A269" s="147">
        <v>38544.0</v>
      </c>
      <c r="C269" s="135" t="str">
        <f>HYPERLINK("http://phish.net/sideshows/guest-appearance/?d=2005-07-11","setlist")</f>
        <v>setlist</v>
      </c>
      <c r="D269" s="400" t="s">
        <v>761</v>
      </c>
      <c r="E269" s="400" t="s">
        <v>437</v>
      </c>
      <c r="F269" s="148" t="s">
        <v>433</v>
      </c>
      <c r="I269" s="149" t="s">
        <v>3919</v>
      </c>
    </row>
    <row r="270">
      <c r="A270" s="103">
        <v>38912.0</v>
      </c>
      <c r="B270" s="104"/>
      <c r="C270" s="403" t="s">
        <v>40</v>
      </c>
      <c r="D270" s="181" t="s">
        <v>2977</v>
      </c>
      <c r="E270" s="106" t="s">
        <v>2978</v>
      </c>
      <c r="F270" s="107" t="s">
        <v>874</v>
      </c>
      <c r="G270" s="107" t="s">
        <v>36</v>
      </c>
      <c r="H270" s="105" t="str">
        <f>HYPERLINK("http://www.mediafire.com/?carswur3a1o3v","download link")</f>
        <v>download link</v>
      </c>
      <c r="I270" s="106" t="s">
        <v>3671</v>
      </c>
    </row>
    <row r="271">
      <c r="A271" s="350"/>
      <c r="B271" s="351"/>
      <c r="C271" s="362"/>
      <c r="D271" s="356" t="s">
        <v>3870</v>
      </c>
      <c r="E271" s="350"/>
      <c r="F271" s="351"/>
      <c r="G271" s="351"/>
      <c r="H271" s="351"/>
      <c r="I271" s="350"/>
    </row>
    <row r="272">
      <c r="A272" s="110">
        <v>36799.0</v>
      </c>
      <c r="B272" s="111"/>
      <c r="C272" s="135" t="str">
        <f>HYPERLINK("http://phish.net/sideshows/guest-appearance/?showid=1335110947", "setlist")</f>
        <v>setlist</v>
      </c>
      <c r="D272" s="183" t="s">
        <v>2990</v>
      </c>
      <c r="E272" s="183" t="s">
        <v>1804</v>
      </c>
      <c r="F272" s="114" t="s">
        <v>1805</v>
      </c>
      <c r="G272" s="114" t="s">
        <v>36</v>
      </c>
      <c r="H272" s="135" t="str">
        <f>HYPERLINK("http://www.mediafire.com/?49yusbr2h1fl1","download link")</f>
        <v>download link</v>
      </c>
      <c r="I272" s="183" t="s">
        <v>3804</v>
      </c>
    </row>
    <row r="273">
      <c r="A273" s="103">
        <v>37401.0</v>
      </c>
      <c r="B273" s="104"/>
      <c r="C273" s="105" t="str">
        <f>HYPERLINK("http://phish.net/sideshows/guest-appearance/?showid=1338521284", "setlist")</f>
        <v>setlist</v>
      </c>
      <c r="D273" s="181" t="s">
        <v>2883</v>
      </c>
      <c r="E273" s="181" t="s">
        <v>3839</v>
      </c>
      <c r="F273" s="107" t="s">
        <v>679</v>
      </c>
      <c r="G273" s="104"/>
      <c r="H273" s="104"/>
      <c r="I273" s="106" t="s">
        <v>3661</v>
      </c>
    </row>
    <row r="274">
      <c r="A274" s="142">
        <v>37745.0</v>
      </c>
      <c r="B274" s="144"/>
      <c r="C274" s="116" t="str">
        <f>HYPERLINK("http://phish.net/sideshows/guest-appearance/?d=2003-05-04", "setlist")</f>
        <v>setlist</v>
      </c>
      <c r="D274" s="272" t="s">
        <v>584</v>
      </c>
      <c r="E274" s="272" t="s">
        <v>585</v>
      </c>
      <c r="F274" s="115" t="s">
        <v>586</v>
      </c>
      <c r="G274" s="144"/>
      <c r="H274" s="379"/>
      <c r="I274" s="118" t="s">
        <v>2787</v>
      </c>
    </row>
    <row r="275">
      <c r="A275" s="350"/>
      <c r="B275" s="351"/>
      <c r="C275" s="396"/>
      <c r="D275" s="356" t="s">
        <v>3982</v>
      </c>
      <c r="E275" s="350"/>
      <c r="F275" s="351"/>
      <c r="G275" s="351"/>
      <c r="H275" s="351"/>
      <c r="I275" s="350"/>
    </row>
    <row r="276">
      <c r="A276" s="147">
        <v>40192.0</v>
      </c>
      <c r="C276" s="135" t="str">
        <f>HYPERLINK("http://phish.net/sideshows/guest-appearance/?d=2010-01-14","setlist")</f>
        <v>setlist</v>
      </c>
      <c r="D276" s="400" t="s">
        <v>2817</v>
      </c>
      <c r="E276" s="149" t="s">
        <v>2826</v>
      </c>
      <c r="F276" s="148" t="s">
        <v>35</v>
      </c>
      <c r="G276" s="148" t="s">
        <v>36</v>
      </c>
      <c r="H276" s="135" t="str">
        <f>HYPERLINK("http://www.mediafire.com/?ccbuwyg691z1e","download link")</f>
        <v>download link</v>
      </c>
      <c r="I276" s="149" t="s">
        <v>2885</v>
      </c>
    </row>
    <row r="277">
      <c r="A277" s="350"/>
      <c r="B277" s="351"/>
      <c r="C277" s="396"/>
      <c r="D277" s="356" t="s">
        <v>3786</v>
      </c>
      <c r="E277" s="350"/>
      <c r="F277" s="351"/>
      <c r="G277" s="351"/>
      <c r="H277" s="351"/>
      <c r="I277" s="350"/>
    </row>
    <row r="278">
      <c r="A278" s="110">
        <v>36383.0</v>
      </c>
      <c r="B278" s="114" t="s">
        <v>32</v>
      </c>
      <c r="C278" s="135" t="str">
        <f>HYPERLINK("http://phish.net/sideshows/guest-appearance/?d=1999-08-11", "setlist")</f>
        <v>setlist</v>
      </c>
      <c r="D278" s="183" t="s">
        <v>2817</v>
      </c>
      <c r="E278" s="183" t="s">
        <v>854</v>
      </c>
      <c r="F278" s="114" t="s">
        <v>35</v>
      </c>
      <c r="G278" s="114" t="s">
        <v>36</v>
      </c>
      <c r="H278" s="116" t="str">
        <f>HYPERLINK("http://www.mediafire.com/?erhgdl54j6hbm", "download link")</f>
        <v>download link</v>
      </c>
      <c r="I278" s="113" t="s">
        <v>3787</v>
      </c>
    </row>
    <row r="279">
      <c r="A279" s="130">
        <v>37407.0</v>
      </c>
      <c r="B279" s="260"/>
      <c r="C279" s="105" t="str">
        <f>HYPERLINK("http://phish.net/sideshows/guest-appearance/?showid=1327209609","setlist")</f>
        <v>setlist</v>
      </c>
      <c r="D279" s="287" t="s">
        <v>1938</v>
      </c>
      <c r="E279" s="287" t="s">
        <v>1804</v>
      </c>
      <c r="F279" s="133" t="s">
        <v>1805</v>
      </c>
      <c r="G279" s="260"/>
      <c r="H279" s="260"/>
      <c r="I279" s="132" t="s">
        <v>3670</v>
      </c>
    </row>
    <row r="280">
      <c r="A280" s="350"/>
      <c r="B280" s="357"/>
      <c r="C280" s="351"/>
      <c r="D280" s="356" t="s">
        <v>4001</v>
      </c>
      <c r="E280" s="357"/>
      <c r="F280" s="351"/>
      <c r="G280" s="357"/>
      <c r="H280" s="357"/>
      <c r="I280" s="350"/>
    </row>
    <row r="281">
      <c r="A281" s="110">
        <v>41185.0</v>
      </c>
      <c r="C281" s="135" t="str">
        <f>HYPERLINK("http://phish.net/sideshows/mike-gordon/?d=2012-10-03", "setlist")</f>
        <v>setlist</v>
      </c>
      <c r="D281" s="183" t="s">
        <v>4002</v>
      </c>
      <c r="E281" s="183" t="s">
        <v>2243</v>
      </c>
      <c r="F281" s="114" t="s">
        <v>43</v>
      </c>
      <c r="I281" s="113" t="s">
        <v>2787</v>
      </c>
    </row>
    <row r="282">
      <c r="A282" s="381"/>
      <c r="B282" s="381"/>
      <c r="C282" s="366"/>
      <c r="D282" s="356" t="s">
        <v>4014</v>
      </c>
      <c r="E282" s="391"/>
      <c r="F282" s="381"/>
      <c r="G282" s="381"/>
      <c r="H282" s="358"/>
      <c r="I282" s="391"/>
    </row>
    <row r="283">
      <c r="A283" s="110">
        <v>41790.0</v>
      </c>
      <c r="B283" s="111"/>
      <c r="C283" s="135" t="str">
        <f>HYPERLINK("http://phish.net/sideshows/mike-gordon/?d=2014-05-31", "setlist")</f>
        <v>setlist</v>
      </c>
      <c r="D283" s="183" t="s">
        <v>3992</v>
      </c>
      <c r="E283" s="183" t="s">
        <v>34</v>
      </c>
      <c r="F283" s="114" t="s">
        <v>35</v>
      </c>
      <c r="G283" s="114" t="s">
        <v>36</v>
      </c>
      <c r="H283" s="135" t="str">
        <f>HYPERLINK("http://www.mediafire.com/download/hce0833oedto78g/2014-05-31_-_Radio_Bean_-_Burlington,_VT.rar","download link")</f>
        <v>download link</v>
      </c>
      <c r="I283" s="183" t="s">
        <v>2920</v>
      </c>
    </row>
    <row r="284">
      <c r="A284" s="350"/>
      <c r="B284" s="351"/>
      <c r="C284" s="396"/>
      <c r="D284" s="356" t="s">
        <v>3615</v>
      </c>
      <c r="E284" s="350"/>
      <c r="F284" s="351"/>
      <c r="G284" s="351"/>
      <c r="H284" s="351"/>
      <c r="I284" s="350"/>
    </row>
    <row r="285">
      <c r="A285" s="147">
        <v>40837.0</v>
      </c>
      <c r="C285" s="135" t="str">
        <f>HYPERLINK("http://phish.net/sideshows/guest-appearance/?d=2011-10-21","setlist")</f>
        <v>setlist</v>
      </c>
      <c r="D285" s="400" t="s">
        <v>3992</v>
      </c>
      <c r="E285" s="149" t="s">
        <v>34</v>
      </c>
      <c r="F285" s="148" t="s">
        <v>35</v>
      </c>
      <c r="I285" s="149" t="s">
        <v>2787</v>
      </c>
    </row>
    <row r="286">
      <c r="A286" s="350"/>
      <c r="B286" s="351"/>
      <c r="C286" s="396"/>
      <c r="D286" s="356" t="s">
        <v>3959</v>
      </c>
      <c r="E286" s="350"/>
      <c r="F286" s="351"/>
      <c r="G286" s="351"/>
      <c r="H286" s="351"/>
      <c r="I286" s="350"/>
    </row>
    <row r="287">
      <c r="A287" s="147">
        <v>39480.0</v>
      </c>
      <c r="B287" s="148" t="s">
        <v>32</v>
      </c>
      <c r="C287" s="135" t="str">
        <f>HYPERLINK("http://phish.net/sideshows/guest-appearance/?d=2008-02-02","setlist")</f>
        <v>setlist</v>
      </c>
      <c r="D287" s="400" t="s">
        <v>3960</v>
      </c>
      <c r="E287" s="149" t="s">
        <v>3961</v>
      </c>
      <c r="F287" s="148" t="s">
        <v>35</v>
      </c>
      <c r="G287" s="148" t="s">
        <v>36</v>
      </c>
      <c r="H287" s="135" t="str">
        <f>HYPERLINK("http://www.mediafire.com/?6q57eb132lnq9","download link")</f>
        <v>download link</v>
      </c>
      <c r="I287" s="149" t="s">
        <v>2787</v>
      </c>
    </row>
    <row r="288">
      <c r="A288" s="350"/>
      <c r="B288" s="351"/>
      <c r="C288" s="396"/>
      <c r="D288" s="356" t="s">
        <v>3719</v>
      </c>
      <c r="E288" s="350"/>
      <c r="F288" s="351"/>
      <c r="G288" s="351"/>
      <c r="H288" s="351"/>
      <c r="I288" s="350"/>
    </row>
    <row r="289">
      <c r="A289" s="147">
        <v>34910.0</v>
      </c>
      <c r="B289" s="148" t="s">
        <v>32</v>
      </c>
      <c r="C289" s="135" t="str">
        <f>HYPERLINK("http://phish.net/sideshows/guest-appearance/?d=1995-07-30","setlist")</f>
        <v>setlist</v>
      </c>
      <c r="D289" s="400" t="s">
        <v>3281</v>
      </c>
      <c r="E289" s="400" t="s">
        <v>3282</v>
      </c>
      <c r="F289" s="148" t="s">
        <v>129</v>
      </c>
      <c r="G289" s="148" t="s">
        <v>36</v>
      </c>
      <c r="H289" s="135" t="str">
        <f>HYPERLINK("http://www.mediafire.com/?rvyzyrbih55b8","download link")</f>
        <v>download link</v>
      </c>
      <c r="I289" s="149" t="s">
        <v>3720</v>
      </c>
    </row>
    <row r="290">
      <c r="A290" s="103">
        <v>35119.0</v>
      </c>
      <c r="B290" s="104"/>
      <c r="C290" s="105" t="str">
        <f>HYPERLINK("http://phish.net/sideshows/guest-appearance/?d=1996-02-24", "setlist")</f>
        <v>setlist</v>
      </c>
      <c r="D290" s="181" t="s">
        <v>2811</v>
      </c>
      <c r="E290" s="181" t="s">
        <v>34</v>
      </c>
      <c r="F290" s="107" t="s">
        <v>35</v>
      </c>
      <c r="G290" s="107" t="s">
        <v>36</v>
      </c>
      <c r="H290" s="105" t="str">
        <f>HYPERLINK("http://www.mediafire.com/?fmgxpxmu1ahfp","download link")</f>
        <v>download link</v>
      </c>
      <c r="I290" s="106" t="s">
        <v>3724</v>
      </c>
    </row>
    <row r="291">
      <c r="A291" s="110">
        <v>35550.0</v>
      </c>
      <c r="B291" s="114" t="s">
        <v>32</v>
      </c>
      <c r="C291" s="135" t="str">
        <f>HYPERLINK("http://phish.net/sideshows/guest-appearance/?d=1997-04-30", "setlist")</f>
        <v>setlist</v>
      </c>
      <c r="D291" s="183" t="s">
        <v>2811</v>
      </c>
      <c r="E291" s="183" t="s">
        <v>34</v>
      </c>
      <c r="F291" s="114" t="s">
        <v>35</v>
      </c>
      <c r="G291" s="114" t="s">
        <v>36</v>
      </c>
      <c r="H291" s="135" t="str">
        <f>HYPERLINK("http://www.mediafire.com/?clt0490li39g9","download link")</f>
        <v>download link</v>
      </c>
      <c r="I291" s="113" t="s">
        <v>3724</v>
      </c>
    </row>
    <row r="292">
      <c r="A292" s="103">
        <v>35741.0</v>
      </c>
      <c r="B292" s="107" t="s">
        <v>32</v>
      </c>
      <c r="C292" s="105" t="str">
        <f>HYPERLINK("http://phish.net/sideshows/guest-appearance/?showid=1332689644", "setlist")</f>
        <v>setlist</v>
      </c>
      <c r="D292" s="181" t="s">
        <v>2811</v>
      </c>
      <c r="E292" s="181" t="s">
        <v>34</v>
      </c>
      <c r="F292" s="107" t="s">
        <v>35</v>
      </c>
      <c r="G292" s="107" t="s">
        <v>36</v>
      </c>
      <c r="H292" s="105" t="str">
        <f>HYPERLINK("http://www.mediafire.com/?dvsuqgekdoaly","download link")</f>
        <v>download link</v>
      </c>
      <c r="I292" s="106" t="s">
        <v>3754</v>
      </c>
    </row>
    <row r="293">
      <c r="A293" s="110">
        <v>35903.0</v>
      </c>
      <c r="B293" s="111"/>
      <c r="C293" s="135" t="str">
        <f>HYPERLINK("http://phish.net/sideshows/guest-appearance/?d=1998-04-18", "setlist")</f>
        <v>setlist</v>
      </c>
      <c r="D293" s="183" t="s">
        <v>2811</v>
      </c>
      <c r="E293" s="183" t="s">
        <v>34</v>
      </c>
      <c r="F293" s="114" t="s">
        <v>35</v>
      </c>
      <c r="G293" s="111"/>
      <c r="H293" s="111"/>
      <c r="I293" s="113" t="s">
        <v>3758</v>
      </c>
    </row>
    <row r="294">
      <c r="A294" s="103">
        <v>36553.0</v>
      </c>
      <c r="B294" s="107" t="s">
        <v>32</v>
      </c>
      <c r="C294" s="105" t="str">
        <f>HYPERLINK("http://phish.net/sideshows/guest-appearance/?d=2000-01-28", "setlist")</f>
        <v>setlist</v>
      </c>
      <c r="D294" s="181" t="s">
        <v>2817</v>
      </c>
      <c r="E294" s="181" t="s">
        <v>854</v>
      </c>
      <c r="F294" s="107" t="s">
        <v>35</v>
      </c>
      <c r="G294" s="107" t="s">
        <v>36</v>
      </c>
      <c r="H294" s="105" t="str">
        <f>HYPERLINK("http://www.mediafire.com/?xudpd44jp9r7j", "download link")</f>
        <v>download link</v>
      </c>
      <c r="I294" s="106" t="s">
        <v>3792</v>
      </c>
    </row>
    <row r="295">
      <c r="A295" s="110">
        <v>36855.0</v>
      </c>
      <c r="C295" s="135" t="str">
        <f>HYPERLINK("http://phish.net/sideshows/guest-appearance/?d=2000-11-25", "setlist")</f>
        <v>setlist</v>
      </c>
      <c r="D295" s="183" t="s">
        <v>296</v>
      </c>
      <c r="E295" s="183" t="s">
        <v>297</v>
      </c>
      <c r="F295" s="114" t="s">
        <v>298</v>
      </c>
      <c r="H295" s="359"/>
      <c r="I295" s="113" t="s">
        <v>2925</v>
      </c>
    </row>
    <row r="296">
      <c r="A296" s="103">
        <v>37465.0</v>
      </c>
      <c r="B296" s="107" t="s">
        <v>32</v>
      </c>
      <c r="C296" s="105" t="str">
        <f>HYPERLINK("http://phish.net/sideshows/guest-appearance/?d=2002-07-28", "setlist")</f>
        <v>setlist</v>
      </c>
      <c r="D296" s="181" t="s">
        <v>3281</v>
      </c>
      <c r="E296" s="181" t="s">
        <v>3282</v>
      </c>
      <c r="F296" s="107" t="s">
        <v>129</v>
      </c>
      <c r="G296" s="107" t="s">
        <v>36</v>
      </c>
      <c r="H296" s="105" t="str">
        <f>HYPERLINK("http://www.mediafire.com/?8wuidtbk3mhg8", "download link")</f>
        <v>download link</v>
      </c>
      <c r="I296" s="106" t="s">
        <v>3720</v>
      </c>
    </row>
    <row r="297">
      <c r="A297" s="142">
        <v>37506.0</v>
      </c>
      <c r="B297" s="144"/>
      <c r="C297" s="116" t="str">
        <f>HYPERLINK("http://phish.net/sideshows/guest-appearance/?d=2002-09-07", "setlist")</f>
        <v>setlist</v>
      </c>
      <c r="D297" s="272" t="s">
        <v>3852</v>
      </c>
      <c r="E297" s="272" t="s">
        <v>3853</v>
      </c>
      <c r="F297" s="115" t="s">
        <v>95</v>
      </c>
      <c r="G297" s="115" t="s">
        <v>36</v>
      </c>
      <c r="H297" s="116" t="str">
        <f>HYPERLINK("http://www.mediafire.com/?iqil8bcbe24x2", "download link")</f>
        <v>download link</v>
      </c>
      <c r="I297" s="118" t="s">
        <v>3854</v>
      </c>
    </row>
    <row r="298">
      <c r="A298" s="103">
        <v>37645.0</v>
      </c>
      <c r="B298" s="107" t="s">
        <v>32</v>
      </c>
      <c r="C298" s="105" t="str">
        <f>HYPERLINK("http://phish.net/sideshows/guest-appearance/?d=2003-01-24", "setlist")</f>
        <v>setlist</v>
      </c>
      <c r="D298" s="181" t="s">
        <v>2817</v>
      </c>
      <c r="E298" s="181" t="s">
        <v>854</v>
      </c>
      <c r="F298" s="107" t="s">
        <v>35</v>
      </c>
      <c r="G298" s="107" t="s">
        <v>36</v>
      </c>
      <c r="H298" s="105" t="str">
        <f>HYPERLINK("http://www.mediafire.com/?66yzw0x28i7je","download link")</f>
        <v>download link</v>
      </c>
      <c r="I298" s="106" t="s">
        <v>3758</v>
      </c>
    </row>
    <row r="299">
      <c r="A299" s="142">
        <v>37659.0</v>
      </c>
      <c r="B299" s="144"/>
      <c r="C299" s="116" t="str">
        <f>HYPERLINK("http://phish.net/sideshows/guest-appearance/?d=2003-02-07", "setlist")</f>
        <v>setlist</v>
      </c>
      <c r="D299" s="272" t="s">
        <v>3863</v>
      </c>
      <c r="E299" s="272" t="s">
        <v>162</v>
      </c>
      <c r="F299" s="115" t="s">
        <v>129</v>
      </c>
      <c r="G299" s="144"/>
      <c r="H299" s="379"/>
      <c r="I299" s="118" t="s">
        <v>2787</v>
      </c>
    </row>
    <row r="300">
      <c r="A300" s="103">
        <v>37863.0</v>
      </c>
      <c r="B300" s="104"/>
      <c r="C300" s="105" t="str">
        <f>HYPERLINK("http://phish.net/sideshows/guest-appearance/?showid=1333682204", "setlist")</f>
        <v>setlist</v>
      </c>
      <c r="D300" s="181" t="s">
        <v>3882</v>
      </c>
      <c r="E300" s="181" t="s">
        <v>841</v>
      </c>
      <c r="F300" s="107" t="s">
        <v>129</v>
      </c>
      <c r="G300" s="107" t="s">
        <v>36</v>
      </c>
      <c r="H300" s="105" t="str">
        <f>HYPERLINK("http://www.mediafire.com/?cbibtvzcw5or5", "download link")</f>
        <v>download link</v>
      </c>
      <c r="I300" s="106" t="s">
        <v>2787</v>
      </c>
    </row>
    <row r="301">
      <c r="A301" s="142">
        <v>37869.0</v>
      </c>
      <c r="B301" s="144"/>
      <c r="C301" s="116" t="str">
        <f>HYPERLINK("http://phish.net/sideshows/guest-appearance/?d=2003-09-05", "setlist")</f>
        <v>setlist</v>
      </c>
      <c r="D301" s="272" t="s">
        <v>296</v>
      </c>
      <c r="E301" s="272" t="s">
        <v>297</v>
      </c>
      <c r="F301" s="115" t="s">
        <v>298</v>
      </c>
      <c r="G301" s="115" t="s">
        <v>36</v>
      </c>
      <c r="H301" s="116" t="str">
        <f>HYPERLINK("http://www.mediafire.com/?cgcqg5alezcdk", "download link")</f>
        <v>download link</v>
      </c>
      <c r="I301" s="118" t="s">
        <v>3718</v>
      </c>
    </row>
    <row r="302">
      <c r="A302" s="103">
        <v>41299.0</v>
      </c>
      <c r="B302" s="104"/>
      <c r="C302" s="105" t="str">
        <f>HYPERLINK("http://phish.net/sideshows/guest-appearance/?d=2013-01-25", "setlist")</f>
        <v>setlist</v>
      </c>
      <c r="D302" s="181" t="s">
        <v>2817</v>
      </c>
      <c r="E302" s="181" t="s">
        <v>2826</v>
      </c>
      <c r="F302" s="107" t="s">
        <v>35</v>
      </c>
      <c r="G302" s="107" t="s">
        <v>36</v>
      </c>
      <c r="H302" s="105" t="str">
        <f>HYPERLINK("http://www.mediafire.com/?cz4n538n8xh6u", "download link")</f>
        <v>download link</v>
      </c>
      <c r="I302" s="181" t="s">
        <v>2787</v>
      </c>
    </row>
    <row r="303">
      <c r="A303" s="142">
        <v>41671.0</v>
      </c>
      <c r="B303" s="111"/>
      <c r="C303" s="135" t="str">
        <f>HYPERLINK("http://phish.net/sideshows/mike-gordon/?d=2014-02-01", "setlist")</f>
        <v>setlist</v>
      </c>
      <c r="D303" s="183" t="s">
        <v>2817</v>
      </c>
      <c r="E303" s="183" t="s">
        <v>2826</v>
      </c>
      <c r="F303" s="114" t="s">
        <v>35</v>
      </c>
      <c r="G303" s="111"/>
      <c r="H303" s="111"/>
      <c r="I303" s="183" t="s">
        <v>3720</v>
      </c>
    </row>
    <row r="304">
      <c r="A304" s="150">
        <v>44365.0</v>
      </c>
      <c r="B304" s="156"/>
      <c r="C304" s="116" t="str">
        <f>HYPERLINK("http://phish.net/sideshows/trey-anastasio-band/?d="&amp;RIGHT(TEXT(A243,"mm/dd/yyyy"),4)&amp;"-"&amp;LEFT(TEXT(A243,"mm/dd/yyyy"),2)&amp;"-"&amp;MID(TEXT(A243,"mm/dd/yyyy"),4,2), "setlist")</f>
        <v>setlist</v>
      </c>
      <c r="D304" s="152" t="s">
        <v>4048</v>
      </c>
      <c r="E304" s="152" t="s">
        <v>34</v>
      </c>
      <c r="F304" s="196" t="s">
        <v>35</v>
      </c>
      <c r="G304" s="196" t="s">
        <v>36</v>
      </c>
      <c r="H304" s="116" t="str">
        <f>HYPERLINK("https://www.mediafire.com/file/ofzlhtxtqx9afv0/2021-06-18_-_Backside_405_-_Burlington%252C_VT.rar/file", "download link")</f>
        <v>download link</v>
      </c>
      <c r="I304" s="152" t="s">
        <v>2787</v>
      </c>
    </row>
    <row r="305">
      <c r="A305" s="350"/>
      <c r="B305" s="351"/>
      <c r="C305" s="396"/>
      <c r="D305" s="356" t="s">
        <v>3723</v>
      </c>
      <c r="E305" s="350"/>
      <c r="F305" s="351"/>
      <c r="G305" s="351"/>
      <c r="H305" s="351"/>
      <c r="I305" s="350"/>
    </row>
    <row r="306">
      <c r="A306" s="147">
        <v>34986.0</v>
      </c>
      <c r="B306" s="148" t="s">
        <v>32</v>
      </c>
      <c r="C306" s="135" t="str">
        <f>HYPERLINK("http://phish.net/sideshows/guest-appearance/?showid=1328153435","setlist")</f>
        <v>setlist</v>
      </c>
      <c r="D306" s="400" t="s">
        <v>3409</v>
      </c>
      <c r="E306" s="400" t="s">
        <v>591</v>
      </c>
      <c r="F306" s="148" t="s">
        <v>589</v>
      </c>
      <c r="G306" s="148" t="s">
        <v>36</v>
      </c>
      <c r="H306" s="135" t="str">
        <f>HYPERLINK("http://www.mediafire.com/?pm0bshm80buz8","download link")</f>
        <v>download link</v>
      </c>
      <c r="I306" s="149" t="s">
        <v>3671</v>
      </c>
    </row>
    <row r="307">
      <c r="A307" s="130">
        <v>36861.0</v>
      </c>
      <c r="B307" s="260"/>
      <c r="C307" s="105" t="str">
        <f>HYPERLINK("http://phish.net/sideshows/guest-appearance/?d=2000-12-01","setlist")</f>
        <v>setlist</v>
      </c>
      <c r="D307" s="287" t="s">
        <v>866</v>
      </c>
      <c r="E307" s="287" t="s">
        <v>309</v>
      </c>
      <c r="F307" s="133" t="s">
        <v>129</v>
      </c>
      <c r="G307" s="133" t="s">
        <v>36</v>
      </c>
      <c r="H307" s="105" t="str">
        <f>HYPERLINK("http://www.mediafire.com/?0svts6upluwsh","download link")</f>
        <v>download link</v>
      </c>
      <c r="I307" s="132" t="s">
        <v>3807</v>
      </c>
    </row>
    <row r="308">
      <c r="A308" s="150">
        <v>36875.0</v>
      </c>
      <c r="B308" s="156"/>
      <c r="C308" s="116" t="str">
        <f>HYPERLINK("http://phish.net/sideshows/guest-appearance/?d=2000-12-15","setlist")</f>
        <v>setlist</v>
      </c>
      <c r="D308" s="290" t="s">
        <v>3528</v>
      </c>
      <c r="E308" s="290" t="s">
        <v>773</v>
      </c>
      <c r="F308" s="151" t="s">
        <v>472</v>
      </c>
      <c r="G308" s="151" t="s">
        <v>36</v>
      </c>
      <c r="H308" s="116" t="str">
        <f>HYPERLINK("http://www.mediafire.com/?0vvh63unb8fga","download link")</f>
        <v>download link</v>
      </c>
      <c r="I308" s="153" t="s">
        <v>3715</v>
      </c>
    </row>
    <row r="309">
      <c r="A309" s="130">
        <v>38920.0</v>
      </c>
      <c r="B309" s="260"/>
      <c r="C309" s="105" t="str">
        <f>HYPERLINK("http://phish.net/sideshows/guest-appearance/?showid=1328239228","setlist")</f>
        <v>setlist</v>
      </c>
      <c r="D309" s="287" t="s">
        <v>2927</v>
      </c>
      <c r="E309" s="132" t="s">
        <v>2928</v>
      </c>
      <c r="F309" s="133" t="s">
        <v>486</v>
      </c>
      <c r="G309" s="133" t="s">
        <v>36</v>
      </c>
      <c r="H309" s="105" t="str">
        <f>HYPERLINK("http://www.mediafire.com/?1blk2oqjz2pbp","download link")</f>
        <v>download link</v>
      </c>
      <c r="I309" s="132" t="s">
        <v>3708</v>
      </c>
    </row>
    <row r="310">
      <c r="A310" s="350"/>
      <c r="B310" s="351"/>
      <c r="C310" s="396"/>
      <c r="D310" s="356" t="s">
        <v>3962</v>
      </c>
      <c r="E310" s="350"/>
      <c r="F310" s="351"/>
      <c r="G310" s="351"/>
      <c r="H310" s="351"/>
      <c r="I310" s="350"/>
    </row>
    <row r="311">
      <c r="A311" s="147">
        <v>39494.0</v>
      </c>
      <c r="C311" s="135" t="str">
        <f>HYPERLINK("http://phish.net/sideshows/guest-appearance/?d=2008-02-16","setlist")</f>
        <v>setlist</v>
      </c>
      <c r="D311" s="400" t="s">
        <v>54</v>
      </c>
      <c r="E311" s="149" t="s">
        <v>34</v>
      </c>
      <c r="F311" s="148" t="s">
        <v>35</v>
      </c>
      <c r="I311" s="149" t="s">
        <v>2787</v>
      </c>
    </row>
    <row r="312">
      <c r="A312" s="350"/>
      <c r="B312" s="351"/>
      <c r="C312" s="396"/>
      <c r="D312" s="356" t="s">
        <v>3697</v>
      </c>
      <c r="E312" s="350"/>
      <c r="F312" s="351"/>
      <c r="G312" s="351"/>
      <c r="H312" s="351"/>
      <c r="I312" s="350"/>
    </row>
    <row r="313">
      <c r="A313" s="147">
        <v>34447.0</v>
      </c>
      <c r="C313" s="135" t="str">
        <f>HYPERLINK("http://phish.net/sideshows/guest-appearance/?showid=1327641019","setlist")</f>
        <v>setlist</v>
      </c>
      <c r="D313" s="400" t="s">
        <v>761</v>
      </c>
      <c r="E313" s="400" t="s">
        <v>437</v>
      </c>
      <c r="F313" s="148" t="s">
        <v>433</v>
      </c>
      <c r="I313" s="149" t="s">
        <v>3698</v>
      </c>
    </row>
    <row r="314">
      <c r="A314" s="130">
        <v>35166.0</v>
      </c>
      <c r="B314" s="133" t="s">
        <v>32</v>
      </c>
      <c r="C314" s="105" t="str">
        <f>HYPERLINK("http://phish.net/sideshows/guest-appearance/?d=1996-04-11","setlist")</f>
        <v>setlist</v>
      </c>
      <c r="D314" s="287" t="s">
        <v>2811</v>
      </c>
      <c r="E314" s="287" t="s">
        <v>34</v>
      </c>
      <c r="F314" s="133" t="s">
        <v>35</v>
      </c>
      <c r="G314" s="133" t="s">
        <v>36</v>
      </c>
      <c r="H314" s="105" t="str">
        <f>HYPERLINK("http://www.mediafire.com/?1w9n5m27awpqq","download link")</f>
        <v>download link</v>
      </c>
      <c r="I314" s="132" t="s">
        <v>3726</v>
      </c>
    </row>
    <row r="315">
      <c r="A315" s="350"/>
      <c r="B315" s="351"/>
      <c r="C315" s="396"/>
      <c r="D315" s="356" t="s">
        <v>3811</v>
      </c>
      <c r="E315" s="350"/>
      <c r="F315" s="351"/>
      <c r="G315" s="351"/>
      <c r="H315" s="351"/>
      <c r="I315" s="350"/>
    </row>
    <row r="316">
      <c r="A316" s="147">
        <v>36914.0</v>
      </c>
      <c r="C316" s="135" t="str">
        <f>HYPERLINK("http://phish.net/sideshows/guest-appearance/?d=2001-01-23","setlist")</f>
        <v>setlist</v>
      </c>
      <c r="D316" s="400" t="s">
        <v>2817</v>
      </c>
      <c r="E316" s="400" t="s">
        <v>854</v>
      </c>
      <c r="F316" s="148" t="s">
        <v>35</v>
      </c>
      <c r="I316" s="149" t="s">
        <v>2998</v>
      </c>
    </row>
    <row r="317">
      <c r="A317" s="350"/>
      <c r="B317" s="351"/>
      <c r="C317" s="396"/>
      <c r="D317" s="356" t="s">
        <v>4065</v>
      </c>
      <c r="E317" s="350"/>
      <c r="F317" s="351"/>
      <c r="G317" s="351"/>
      <c r="H317" s="351"/>
      <c r="I317" s="350"/>
    </row>
    <row r="318">
      <c r="A318" s="147">
        <v>38625.0</v>
      </c>
      <c r="C318" s="135" t="str">
        <f>HYPERLINK("http://phish.net/sideshows/guest-appearance/?showid=1327879503","setlist")</f>
        <v>setlist</v>
      </c>
      <c r="D318" s="400" t="s">
        <v>3924</v>
      </c>
      <c r="E318" s="400" t="s">
        <v>911</v>
      </c>
      <c r="F318" s="148" t="s">
        <v>679</v>
      </c>
      <c r="I318" s="149" t="s">
        <v>2998</v>
      </c>
    </row>
    <row r="319">
      <c r="A319" s="353" t="s">
        <v>2467</v>
      </c>
      <c r="B319" s="351"/>
      <c r="C319" s="396"/>
      <c r="D319" s="356" t="s">
        <v>3687</v>
      </c>
      <c r="E319" s="350"/>
      <c r="F319" s="351"/>
      <c r="G319" s="351"/>
      <c r="H319" s="351"/>
      <c r="I319" s="350"/>
    </row>
    <row r="320">
      <c r="A320" s="147">
        <v>34367.0</v>
      </c>
      <c r="C320" s="135" t="str">
        <f>HYPERLINK("http://phish.net/sideshows/guest-appearance/?d=1994-02-02","setlist")</f>
        <v>setlist</v>
      </c>
      <c r="D320" s="400" t="s">
        <v>2804</v>
      </c>
      <c r="E320" s="400" t="s">
        <v>34</v>
      </c>
      <c r="F320" s="148" t="s">
        <v>35</v>
      </c>
      <c r="I320" s="149" t="s">
        <v>2885</v>
      </c>
    </row>
    <row r="321">
      <c r="A321" s="350"/>
      <c r="B321" s="351"/>
      <c r="C321" s="396"/>
      <c r="D321" s="356" t="s">
        <v>3691</v>
      </c>
      <c r="E321" s="350"/>
      <c r="F321" s="351"/>
      <c r="G321" s="351"/>
      <c r="H321" s="351"/>
      <c r="I321" s="350"/>
    </row>
    <row r="322">
      <c r="A322" s="147">
        <v>34401.0</v>
      </c>
      <c r="B322" s="148" t="s">
        <v>32</v>
      </c>
      <c r="C322" s="135" t="str">
        <f>HYPERLINK("http://phish.net/sideshows//?d=1994-03-08","setlist")</f>
        <v>setlist</v>
      </c>
      <c r="D322" s="400" t="s">
        <v>2811</v>
      </c>
      <c r="E322" s="400" t="s">
        <v>34</v>
      </c>
      <c r="F322" s="148" t="s">
        <v>35</v>
      </c>
      <c r="G322" s="148" t="s">
        <v>36</v>
      </c>
      <c r="H322" s="135" t="str">
        <f>HYPERLINK("http://www.mediafire.com/?xrwnnaxur4jqx","download link")</f>
        <v>download link</v>
      </c>
      <c r="I322" s="149" t="s">
        <v>3692</v>
      </c>
    </row>
    <row r="323">
      <c r="A323" s="130">
        <v>34488.0</v>
      </c>
      <c r="B323" s="260"/>
      <c r="C323" s="105" t="str">
        <f>HYPERLINK("http://phish.net/sideshows//?d=1994-06-03","setlist")</f>
        <v>setlist</v>
      </c>
      <c r="D323" s="287" t="s">
        <v>2811</v>
      </c>
      <c r="E323" s="287" t="s">
        <v>34</v>
      </c>
      <c r="F323" s="133" t="s">
        <v>35</v>
      </c>
      <c r="G323" s="260"/>
      <c r="H323" s="260"/>
      <c r="I323" s="132" t="s">
        <v>3699</v>
      </c>
    </row>
    <row r="324">
      <c r="A324" s="150">
        <v>34541.0</v>
      </c>
      <c r="B324" s="156"/>
      <c r="C324" s="116" t="str">
        <f>HYPERLINK("http://phish.net/sideshows//?d=1994-07-26","setlist")</f>
        <v>setlist</v>
      </c>
      <c r="D324" s="290" t="s">
        <v>2811</v>
      </c>
      <c r="E324" s="290" t="s">
        <v>34</v>
      </c>
      <c r="F324" s="151" t="s">
        <v>35</v>
      </c>
      <c r="G324" s="156"/>
      <c r="H324" s="401"/>
      <c r="I324" s="153" t="s">
        <v>3692</v>
      </c>
    </row>
    <row r="325">
      <c r="A325" s="130">
        <v>34648.0</v>
      </c>
      <c r="B325" s="260"/>
      <c r="C325" s="105" t="str">
        <f>HYPERLINK("http://phish.net/sideshows//?d=1994-11-10","setlist")</f>
        <v>setlist</v>
      </c>
      <c r="D325" s="287" t="s">
        <v>2811</v>
      </c>
      <c r="E325" s="287" t="s">
        <v>34</v>
      </c>
      <c r="F325" s="133" t="s">
        <v>35</v>
      </c>
      <c r="G325" s="260"/>
      <c r="H325" s="260"/>
      <c r="I325" s="132" t="s">
        <v>4066</v>
      </c>
    </row>
    <row r="326">
      <c r="A326" s="147">
        <v>34733.0</v>
      </c>
      <c r="B326" s="148" t="s">
        <v>32</v>
      </c>
      <c r="C326" s="135" t="str">
        <f>HYPERLINK("http://phish.net/sideshows/guest-appearance/?d=1995-02-03","setlist")</f>
        <v>setlist</v>
      </c>
      <c r="D326" s="400" t="s">
        <v>3709</v>
      </c>
      <c r="E326" s="400" t="s">
        <v>96</v>
      </c>
      <c r="F326" s="148" t="s">
        <v>35</v>
      </c>
      <c r="G326" s="148" t="s">
        <v>36</v>
      </c>
      <c r="H326" s="135" t="str">
        <f>HYPERLINK("http://www.mediafire.com/?hop44n3qpdmxi","download link")</f>
        <v>download link</v>
      </c>
      <c r="I326" s="149" t="s">
        <v>3699</v>
      </c>
    </row>
    <row r="327">
      <c r="A327" s="103">
        <v>34740.0</v>
      </c>
      <c r="B327" s="104"/>
      <c r="C327" s="105" t="str">
        <f>HYPERLINK("http://phish.net/sideshows/guest-appearance/?d=1995-02-10", "setlist")</f>
        <v>setlist</v>
      </c>
      <c r="D327" s="181" t="s">
        <v>2811</v>
      </c>
      <c r="E327" s="181" t="s">
        <v>34</v>
      </c>
      <c r="F327" s="107" t="s">
        <v>35</v>
      </c>
      <c r="G327" s="107" t="s">
        <v>36</v>
      </c>
      <c r="H327" s="105" t="str">
        <f>HYPERLINK("http://www.mediafire.com/?793xbsfac0bez", "download link")</f>
        <v>download link</v>
      </c>
      <c r="I327" s="106" t="s">
        <v>3710</v>
      </c>
    </row>
    <row r="328">
      <c r="A328" s="142">
        <v>34819.0</v>
      </c>
      <c r="B328" s="144"/>
      <c r="C328" s="116" t="str">
        <f>HYPERLINK("http://phish.net/sideshows/guest-appearance/?d=1995-04-30", "setlist")</f>
        <v>setlist</v>
      </c>
      <c r="D328" s="272" t="s">
        <v>3716</v>
      </c>
      <c r="E328" s="272" t="s">
        <v>585</v>
      </c>
      <c r="F328" s="115" t="s">
        <v>586</v>
      </c>
      <c r="G328" s="144"/>
      <c r="H328" s="379"/>
      <c r="I328" s="118" t="s">
        <v>3692</v>
      </c>
    </row>
    <row r="329">
      <c r="A329" s="130">
        <v>35183.0</v>
      </c>
      <c r="B329" s="107" t="s">
        <v>32</v>
      </c>
      <c r="C329" s="105" t="str">
        <f>HYPERLINK("http://phish.net/sideshows/guest-appearance/?showid=1327982603","setlist")</f>
        <v>setlist</v>
      </c>
      <c r="D329" s="287" t="s">
        <v>3716</v>
      </c>
      <c r="E329" s="287" t="s">
        <v>585</v>
      </c>
      <c r="F329" s="133" t="s">
        <v>586</v>
      </c>
      <c r="G329" s="107" t="s">
        <v>3727</v>
      </c>
      <c r="H329" s="105" t="str">
        <f>HYPERLINK("http://www.mediafire.com/?l29f24s1exb8i", "download link")</f>
        <v>download link</v>
      </c>
      <c r="I329" s="287" t="s">
        <v>3728</v>
      </c>
    </row>
    <row r="330">
      <c r="A330" s="350"/>
      <c r="B330" s="351"/>
      <c r="C330" s="362"/>
      <c r="D330" s="356" t="s">
        <v>3994</v>
      </c>
      <c r="E330" s="350"/>
      <c r="F330" s="351"/>
      <c r="G330" s="351"/>
      <c r="H330" s="351"/>
      <c r="I330" s="350"/>
    </row>
    <row r="331">
      <c r="A331" s="110">
        <v>41109.0</v>
      </c>
      <c r="B331" s="111"/>
      <c r="C331" s="135" t="str">
        <f>HYPERLINK("http://phish.net/sideshows/guest-appearance/?d=2012-07-19", "setlist")</f>
        <v>setlist</v>
      </c>
      <c r="D331" s="183" t="s">
        <v>2817</v>
      </c>
      <c r="E331" s="113" t="s">
        <v>2826</v>
      </c>
      <c r="F331" s="114" t="s">
        <v>35</v>
      </c>
      <c r="G331" s="114" t="s">
        <v>36</v>
      </c>
      <c r="H331" s="398" t="str">
        <f>HYPERLINK("http://www.mediafire.com/?067o16o7oeokw","download link")</f>
        <v>download link</v>
      </c>
      <c r="I331" s="113" t="s">
        <v>2998</v>
      </c>
    </row>
    <row r="332">
      <c r="A332" s="350"/>
      <c r="B332" s="351"/>
      <c r="C332" s="352"/>
      <c r="D332" s="356" t="s">
        <v>3967</v>
      </c>
      <c r="E332" s="357"/>
      <c r="F332" s="351"/>
      <c r="G332" s="351"/>
      <c r="H332" s="358"/>
      <c r="I332" s="357"/>
    </row>
    <row r="333">
      <c r="A333" s="110">
        <v>39558.0</v>
      </c>
      <c r="B333" s="111"/>
      <c r="C333" s="135" t="str">
        <f>HYPERLINK("http://phish.net/sideshows/guest-appearance/?d=2008-04-20", "setlist")</f>
        <v>setlist</v>
      </c>
      <c r="D333" s="183" t="s">
        <v>3968</v>
      </c>
      <c r="E333" s="183" t="s">
        <v>683</v>
      </c>
      <c r="F333" s="114" t="s">
        <v>679</v>
      </c>
      <c r="G333" s="114" t="s">
        <v>36</v>
      </c>
      <c r="H333" s="116" t="str">
        <f>HYPERLINK("http://www.mediafire.com/?6yisfxqwsijwh", "download link")</f>
        <v>download link</v>
      </c>
      <c r="I333" s="183" t="s">
        <v>3715</v>
      </c>
    </row>
    <row r="334">
      <c r="A334" s="350"/>
      <c r="B334" s="351"/>
      <c r="C334" s="396"/>
      <c r="D334" s="356" t="s">
        <v>3790</v>
      </c>
      <c r="E334" s="350"/>
      <c r="F334" s="351"/>
      <c r="G334" s="351"/>
      <c r="H334" s="351"/>
      <c r="I334" s="350"/>
    </row>
    <row r="335">
      <c r="A335" s="147">
        <v>36462.0</v>
      </c>
      <c r="C335" s="135" t="str">
        <f>HYPERLINK("http://phish.net/sideshows/guest-appearance/?d=1999-10-29","setlist")</f>
        <v>setlist</v>
      </c>
      <c r="D335" s="400" t="s">
        <v>2817</v>
      </c>
      <c r="E335" s="400" t="s">
        <v>854</v>
      </c>
      <c r="F335" s="148" t="s">
        <v>35</v>
      </c>
      <c r="G335" s="148" t="s">
        <v>36</v>
      </c>
      <c r="H335" s="135" t="str">
        <f>HYPERLINK("http://www.mediafire.com/?pqchicuz93i52","download link")</f>
        <v>download link</v>
      </c>
      <c r="I335" s="149" t="s">
        <v>3791</v>
      </c>
    </row>
    <row r="336">
      <c r="A336" s="130">
        <v>37498.0</v>
      </c>
      <c r="B336" s="260"/>
      <c r="C336" s="105" t="str">
        <f>HYPERLINK("http://phish.net/sideshows/guest-appearance/?showid=1328330265","setlist")</f>
        <v>setlist</v>
      </c>
      <c r="D336" s="287" t="s">
        <v>3238</v>
      </c>
      <c r="E336" s="287" t="s">
        <v>3239</v>
      </c>
      <c r="F336" s="133" t="s">
        <v>129</v>
      </c>
      <c r="G336" s="133" t="s">
        <v>36</v>
      </c>
      <c r="H336" s="105" t="str">
        <f>HYPERLINK("http://www.mediafire.com/?5n7ianqggpeuq","download link")</f>
        <v>download link</v>
      </c>
      <c r="I336" s="132" t="s">
        <v>3664</v>
      </c>
    </row>
    <row r="337">
      <c r="A337" s="147">
        <v>37531.0</v>
      </c>
      <c r="C337" s="135" t="str">
        <f>HYPERLINK("http://phish.net/sideshows/guest-appearance/?showid=1328409205","setlist")</f>
        <v>setlist</v>
      </c>
      <c r="D337" s="400" t="s">
        <v>3236</v>
      </c>
      <c r="E337" s="400" t="s">
        <v>162</v>
      </c>
      <c r="F337" s="148" t="s">
        <v>129</v>
      </c>
      <c r="G337" s="148" t="s">
        <v>36</v>
      </c>
      <c r="H337" s="135" t="str">
        <f>HYPERLINK("http://www.mediafire.com/?gqahc4a1sf2rx","download link")</f>
        <v>download link</v>
      </c>
      <c r="I337" s="149" t="s">
        <v>3670</v>
      </c>
    </row>
    <row r="338">
      <c r="A338" s="130">
        <v>37667.0</v>
      </c>
      <c r="B338" s="260"/>
      <c r="C338" s="105" t="str">
        <f>HYPERLINK("http://phish.net/sideshows/guest-appearance/?showid=1328412205","setlist")</f>
        <v>setlist</v>
      </c>
      <c r="D338" s="287" t="s">
        <v>2990</v>
      </c>
      <c r="E338" s="287" t="s">
        <v>1804</v>
      </c>
      <c r="F338" s="133" t="s">
        <v>1805</v>
      </c>
      <c r="G338" s="133" t="s">
        <v>36</v>
      </c>
      <c r="H338" s="105" t="str">
        <f>HYPERLINK("http://www.mediafire.com/?yc87ul6mjxby6","download link")</f>
        <v>download link</v>
      </c>
      <c r="I338" s="132" t="s">
        <v>2787</v>
      </c>
    </row>
    <row r="339">
      <c r="A339" s="147">
        <v>38138.0</v>
      </c>
      <c r="C339" s="135" t="str">
        <f>HYPERLINK("http://phish.net/sideshows/guest-appearance/?showid=1328415471","setlist")</f>
        <v>setlist</v>
      </c>
      <c r="D339" s="400" t="s">
        <v>3071</v>
      </c>
      <c r="E339" s="400" t="s">
        <v>3072</v>
      </c>
      <c r="F339" s="148" t="s">
        <v>480</v>
      </c>
      <c r="G339" s="148" t="s">
        <v>36</v>
      </c>
      <c r="H339" s="135" t="str">
        <f>HYPERLINK("http://www.mediafire.com/?ujgl7282b3f5m","download link")</f>
        <v>download link</v>
      </c>
      <c r="I339" s="149" t="s">
        <v>3664</v>
      </c>
    </row>
    <row r="340">
      <c r="A340" s="130">
        <v>38233.0</v>
      </c>
      <c r="B340" s="260"/>
      <c r="C340" s="105" t="str">
        <f>HYPERLINK("http://phish.net/sideshows/guest-appearance/?d=2004-09-03","setlist")</f>
        <v>setlist</v>
      </c>
      <c r="D340" s="287" t="s">
        <v>3238</v>
      </c>
      <c r="E340" s="287" t="s">
        <v>3239</v>
      </c>
      <c r="F340" s="133" t="s">
        <v>129</v>
      </c>
      <c r="G340" s="133" t="s">
        <v>36</v>
      </c>
      <c r="H340" s="105" t="str">
        <f>HYPERLINK("http://www.mediafire.com/?bd3a1lhuexavs","download link")</f>
        <v>download link</v>
      </c>
      <c r="I340" s="132" t="s">
        <v>2998</v>
      </c>
    </row>
    <row r="341">
      <c r="A341" s="147">
        <v>38393.0</v>
      </c>
      <c r="C341" s="135" t="str">
        <f>HYPERLINK("http://phish.net/sideshows/guest-appearance/?d=2005-02-10","setlist")</f>
        <v>setlist</v>
      </c>
      <c r="D341" s="400" t="s">
        <v>863</v>
      </c>
      <c r="E341" s="400" t="s">
        <v>162</v>
      </c>
      <c r="F341" s="148" t="s">
        <v>129</v>
      </c>
      <c r="G341" s="148" t="s">
        <v>36</v>
      </c>
      <c r="H341" s="135" t="str">
        <f>HYPERLINK("http://www.mediafire.com/?bk27521gq9p3e","download link")</f>
        <v>download link</v>
      </c>
      <c r="I341" s="149" t="s">
        <v>3910</v>
      </c>
    </row>
    <row r="342">
      <c r="A342" s="130">
        <v>38794.0</v>
      </c>
      <c r="B342" s="260"/>
      <c r="C342" s="105" t="str">
        <f>HYPERLINK("http://phish.net/sideshows/guest-appearance/?d=2006-03-18","setlist")</f>
        <v>setlist</v>
      </c>
      <c r="D342" s="287" t="s">
        <v>1680</v>
      </c>
      <c r="E342" s="287" t="s">
        <v>3930</v>
      </c>
      <c r="F342" s="133" t="s">
        <v>129</v>
      </c>
      <c r="G342" s="133" t="s">
        <v>36</v>
      </c>
      <c r="H342" s="105" t="str">
        <f>HYPERLINK("http://www.mediafire.com/?2ldrtrbw19r1r","download link")</f>
        <v>download link</v>
      </c>
      <c r="I342" s="132" t="s">
        <v>3664</v>
      </c>
    </row>
    <row r="343">
      <c r="A343" s="147">
        <v>38961.0</v>
      </c>
      <c r="C343" s="135" t="str">
        <f>HYPERLINK("http://phish.net/sideshows/guest-appearance/?showid=1328586860","setlist")</f>
        <v>setlist</v>
      </c>
      <c r="D343" s="400" t="s">
        <v>3238</v>
      </c>
      <c r="E343" s="149" t="s">
        <v>3239</v>
      </c>
      <c r="F343" s="148" t="s">
        <v>3938</v>
      </c>
      <c r="G343" s="148" t="s">
        <v>36</v>
      </c>
      <c r="H343" s="135" t="str">
        <f>HYPERLINK("http://www.mediafire.com/?aik9bktyubuiq","download link")</f>
        <v>download link</v>
      </c>
      <c r="I343" s="149" t="s">
        <v>2852</v>
      </c>
    </row>
    <row r="344">
      <c r="A344" s="130">
        <v>39000.0</v>
      </c>
      <c r="B344" s="260"/>
      <c r="C344" s="105" t="str">
        <f>HYPERLINK("http://phish.net/sideshows/guest-appearance/?d=2006-10-10","setlist")</f>
        <v>setlist</v>
      </c>
      <c r="D344" s="287" t="s">
        <v>2817</v>
      </c>
      <c r="E344" s="132" t="s">
        <v>2826</v>
      </c>
      <c r="F344" s="133" t="s">
        <v>35</v>
      </c>
      <c r="G344" s="260"/>
      <c r="H344" s="260"/>
      <c r="I344" s="132" t="s">
        <v>3939</v>
      </c>
    </row>
    <row r="345">
      <c r="A345" s="350"/>
      <c r="B345" s="351"/>
      <c r="C345" s="396"/>
      <c r="D345" s="356" t="s">
        <v>3995</v>
      </c>
      <c r="E345" s="350"/>
      <c r="F345" s="351"/>
      <c r="G345" s="351"/>
      <c r="H345" s="351"/>
      <c r="I345" s="350"/>
    </row>
    <row r="346">
      <c r="A346" s="110">
        <v>41124.0</v>
      </c>
      <c r="C346" s="135" t="str">
        <f>HYPERLINK("http://phish.net/sideshows/guest-appearance/?d=2012-08-03", "setlist")</f>
        <v>setlist</v>
      </c>
      <c r="D346" s="183" t="s">
        <v>3996</v>
      </c>
      <c r="E346" s="113" t="s">
        <v>2832</v>
      </c>
      <c r="F346" s="114" t="s">
        <v>679</v>
      </c>
      <c r="I346" s="113" t="s">
        <v>3997</v>
      </c>
    </row>
    <row r="347">
      <c r="A347" s="350"/>
      <c r="B347" s="351"/>
      <c r="C347" s="396"/>
      <c r="D347" s="356" t="s">
        <v>3946</v>
      </c>
      <c r="E347" s="350"/>
      <c r="F347" s="351"/>
      <c r="G347" s="351"/>
      <c r="H347" s="351"/>
      <c r="I347" s="350"/>
    </row>
    <row r="348">
      <c r="A348" s="147">
        <v>39330.0</v>
      </c>
      <c r="C348" s="135" t="str">
        <f>HYPERLINK("http://phish.net/sideshows/guest-appearance/?d=2007-09-05","setlist")</f>
        <v>setlist</v>
      </c>
      <c r="D348" s="400" t="s">
        <v>3947</v>
      </c>
      <c r="E348" s="149" t="s">
        <v>185</v>
      </c>
      <c r="F348" s="148" t="s">
        <v>35</v>
      </c>
      <c r="G348" s="148" t="s">
        <v>36</v>
      </c>
      <c r="H348" s="135" t="str">
        <f>HYPERLINK("http://www.mediafire.com/?w7ncmgk175449","download link")</f>
        <v>download link</v>
      </c>
      <c r="I348" s="149" t="s">
        <v>3720</v>
      </c>
    </row>
    <row r="349">
      <c r="A349" s="380"/>
      <c r="B349" s="381"/>
      <c r="C349" s="362"/>
      <c r="D349" s="356" t="s">
        <v>4067</v>
      </c>
      <c r="E349" s="382"/>
      <c r="F349" s="381"/>
      <c r="G349" s="381"/>
      <c r="H349" s="358"/>
      <c r="I349" s="382"/>
    </row>
    <row r="350">
      <c r="A350" s="147">
        <v>41729.0</v>
      </c>
      <c r="B350" s="111"/>
      <c r="C350" s="116" t="str">
        <f>HYPERLINK("http://phish.net/sideshows/mike-gordon/?d="&amp;RIGHT(TEXT(A350,"mm/dd/yyyy"),4)&amp;"-"&amp;LEFT(TEXT(A350,"mm/dd/yyyy"),2)&amp;"-"&amp;MID(TEXT(A350,"mm/dd/yyyy"),4,2), "setlist")</f>
        <v>setlist</v>
      </c>
      <c r="D350" s="149" t="s">
        <v>2823</v>
      </c>
      <c r="E350" s="149" t="s">
        <v>162</v>
      </c>
      <c r="F350" s="148" t="s">
        <v>129</v>
      </c>
      <c r="G350" s="111"/>
      <c r="H350" s="138"/>
      <c r="I350" s="113" t="s">
        <v>2787</v>
      </c>
    </row>
    <row r="351">
      <c r="A351" s="350"/>
      <c r="B351" s="351"/>
      <c r="C351" s="396"/>
      <c r="D351" s="356" t="s">
        <v>4068</v>
      </c>
      <c r="E351" s="350"/>
      <c r="F351" s="351"/>
      <c r="G351" s="351"/>
      <c r="H351" s="351"/>
      <c r="I351" s="350"/>
    </row>
    <row r="352">
      <c r="A352" s="147">
        <v>40893.0</v>
      </c>
      <c r="C352" s="135" t="str">
        <f>HYPERLINK("http://phish.net/sideshows/guest-appearance/?d=2011-12-16","setlist")</f>
        <v>setlist</v>
      </c>
      <c r="D352" s="149" t="s">
        <v>1330</v>
      </c>
      <c r="E352" s="149" t="s">
        <v>162</v>
      </c>
      <c r="F352" s="148" t="s">
        <v>129</v>
      </c>
      <c r="I352" s="149" t="s">
        <v>3787</v>
      </c>
    </row>
    <row r="353">
      <c r="A353" s="350"/>
      <c r="B353" s="351"/>
      <c r="C353" s="396"/>
      <c r="D353" s="356" t="s">
        <v>3914</v>
      </c>
      <c r="E353" s="350"/>
      <c r="F353" s="351"/>
      <c r="G353" s="351"/>
      <c r="H353" s="351"/>
      <c r="I353" s="350"/>
    </row>
    <row r="354">
      <c r="A354" s="110">
        <v>38475.0</v>
      </c>
      <c r="B354" s="111"/>
      <c r="C354" s="116" t="str">
        <f>HYPERLINK("http://phish.net/sideshows/guest-appearance/?showid=1362195820", "setlist")</f>
        <v>setlist</v>
      </c>
      <c r="D354" s="183" t="s">
        <v>1345</v>
      </c>
      <c r="E354" s="183" t="s">
        <v>439</v>
      </c>
      <c r="F354" s="114" t="s">
        <v>430</v>
      </c>
      <c r="G354" s="114" t="s">
        <v>36</v>
      </c>
      <c r="H354" s="116" t="str">
        <f>HYPERLINK("http://www.mediafire.com/download/v2r21w46c2lth2p/2005-05-03_-_Township_Auditorium_-_Columbia%2C_SC.rar", "download link")</f>
        <v>download link</v>
      </c>
      <c r="I354" s="113" t="s">
        <v>3661</v>
      </c>
    </row>
    <row r="355">
      <c r="A355" s="147">
        <v>38717.0</v>
      </c>
      <c r="C355" s="135" t="str">
        <f>HYPERLINK("http://phish.net/sideshows/guest-appearance/?showid=1327873950","setlist")</f>
        <v>setlist</v>
      </c>
      <c r="D355" s="400" t="s">
        <v>1553</v>
      </c>
      <c r="E355" s="400" t="s">
        <v>162</v>
      </c>
      <c r="F355" s="148" t="s">
        <v>129</v>
      </c>
      <c r="G355" s="148" t="s">
        <v>36</v>
      </c>
      <c r="H355" s="135" t="str">
        <f>HYPERLINK("http://www.mediafire.com/?e1z6vkyvib74k","download link")</f>
        <v>download link</v>
      </c>
      <c r="I355" s="149" t="s">
        <v>3661</v>
      </c>
    </row>
    <row r="356">
      <c r="A356" s="350"/>
      <c r="B356" s="354"/>
      <c r="C356" s="351"/>
      <c r="D356" s="356" t="s">
        <v>3897</v>
      </c>
      <c r="E356" s="404"/>
      <c r="F356" s="354"/>
      <c r="G356" s="354"/>
      <c r="H356" s="351"/>
      <c r="I356" s="355"/>
    </row>
    <row r="357">
      <c r="A357" s="147">
        <v>38006.0</v>
      </c>
      <c r="C357" s="135" t="str">
        <f>HYPERLINK("http://phish.net/sideshows/guest-appearance/?d=2004-01-20","setlist")</f>
        <v>setlist</v>
      </c>
      <c r="D357" s="400" t="s">
        <v>3898</v>
      </c>
      <c r="E357" s="400" t="s">
        <v>3899</v>
      </c>
      <c r="F357" s="148" t="s">
        <v>2912</v>
      </c>
      <c r="I357" s="149" t="s">
        <v>3670</v>
      </c>
    </row>
    <row r="358">
      <c r="A358" s="130">
        <v>38102.0</v>
      </c>
      <c r="B358" s="260"/>
      <c r="C358" s="105" t="str">
        <f>HYPERLINK("http://phish.net/sideshows/guest-appearance/?d=2004-04-25","setlist")</f>
        <v>setlist</v>
      </c>
      <c r="D358" s="287" t="s">
        <v>2817</v>
      </c>
      <c r="E358" s="287" t="s">
        <v>854</v>
      </c>
      <c r="F358" s="133" t="s">
        <v>35</v>
      </c>
      <c r="G358" s="260"/>
      <c r="H358" s="260"/>
      <c r="I358" s="132" t="s">
        <v>3509</v>
      </c>
    </row>
    <row r="359">
      <c r="A359" s="150">
        <v>38114.0</v>
      </c>
      <c r="B359" s="156"/>
      <c r="C359" s="116" t="str">
        <f>HYPERLINK("http://phish.net/sideshows/guest-appearance/?d=2004-05-07","setlist")</f>
        <v>setlist</v>
      </c>
      <c r="D359" s="290" t="s">
        <v>1551</v>
      </c>
      <c r="E359" s="290" t="s">
        <v>162</v>
      </c>
      <c r="F359" s="151" t="s">
        <v>129</v>
      </c>
      <c r="G359" s="151">
        <v>128.0</v>
      </c>
      <c r="H359" s="116" t="str">
        <f>HYPERLINK("http://www.mediafire.com/?w0o7wx600t6ui","download link")</f>
        <v>download link</v>
      </c>
      <c r="I359" s="153" t="s">
        <v>3661</v>
      </c>
    </row>
    <row r="360">
      <c r="A360" s="350"/>
      <c r="B360" s="351"/>
      <c r="C360" s="362"/>
      <c r="D360" s="356" t="s">
        <v>3779</v>
      </c>
      <c r="E360" s="350"/>
      <c r="F360" s="351"/>
      <c r="G360" s="351"/>
      <c r="H360" s="351"/>
      <c r="I360" s="350"/>
    </row>
    <row r="361">
      <c r="A361" s="110">
        <v>36311.0</v>
      </c>
      <c r="B361" s="111"/>
      <c r="C361" s="135" t="str">
        <f>HYPERLINK("http://phish.net/sideshows/guest-appearance/?d=1999-05-31", "setlist")</f>
        <v>setlist</v>
      </c>
      <c r="D361" s="183" t="s">
        <v>2817</v>
      </c>
      <c r="E361" s="183" t="s">
        <v>854</v>
      </c>
      <c r="F361" s="114" t="s">
        <v>35</v>
      </c>
      <c r="G361" s="111"/>
      <c r="H361" s="359"/>
      <c r="I361" s="113" t="s">
        <v>3770</v>
      </c>
    </row>
    <row r="362">
      <c r="A362" s="350"/>
      <c r="B362" s="351"/>
      <c r="C362" s="396"/>
      <c r="D362" s="356" t="s">
        <v>3823</v>
      </c>
      <c r="E362" s="350"/>
      <c r="F362" s="351"/>
      <c r="G362" s="351"/>
      <c r="H362" s="351"/>
      <c r="I362" s="350"/>
    </row>
    <row r="363">
      <c r="A363" s="147">
        <v>37151.0</v>
      </c>
      <c r="C363" s="135" t="str">
        <f>HYPERLINK("http://phish.net/sideshows/guest-appearance/?d=2001-09-17","setlist")</f>
        <v>setlist</v>
      </c>
      <c r="D363" s="400" t="s">
        <v>3548</v>
      </c>
      <c r="E363" s="400" t="s">
        <v>585</v>
      </c>
      <c r="F363" s="148" t="s">
        <v>586</v>
      </c>
      <c r="I363" s="149" t="s">
        <v>2941</v>
      </c>
    </row>
    <row r="364">
      <c r="A364" s="130">
        <v>37400.0</v>
      </c>
      <c r="B364" s="260"/>
      <c r="C364" s="105" t="str">
        <f>HYPERLINK("http://phish.net/sideshows/guest-appearance/?showid=1328375582","setlist")</f>
        <v>setlist</v>
      </c>
      <c r="D364" s="287" t="s">
        <v>2804</v>
      </c>
      <c r="E364" s="287" t="s">
        <v>34</v>
      </c>
      <c r="F364" s="133" t="s">
        <v>35</v>
      </c>
      <c r="G364" s="260"/>
      <c r="H364" s="260"/>
      <c r="I364" s="132" t="s">
        <v>3838</v>
      </c>
    </row>
    <row r="365">
      <c r="A365" s="147">
        <v>37571.0</v>
      </c>
      <c r="C365" s="135" t="str">
        <f>HYPERLINK("http://phish.net/sideshows/guest-appearance/?d=2002-11-11","setlist")</f>
        <v>setlist</v>
      </c>
      <c r="D365" s="400" t="s">
        <v>2804</v>
      </c>
      <c r="E365" s="400" t="s">
        <v>34</v>
      </c>
      <c r="F365" s="148" t="s">
        <v>35</v>
      </c>
      <c r="I365" s="149" t="s">
        <v>3706</v>
      </c>
    </row>
    <row r="366">
      <c r="A366" s="130">
        <v>38008.0</v>
      </c>
      <c r="B366" s="260"/>
      <c r="C366" s="105" t="str">
        <f>HYPERLINK("http://phish.net/sideshows/guest-appearance/?d=2004-01-22","setlist")</f>
        <v>setlist</v>
      </c>
      <c r="D366" s="287" t="s">
        <v>3223</v>
      </c>
      <c r="E366" s="287" t="s">
        <v>162</v>
      </c>
      <c r="F366" s="133" t="s">
        <v>129</v>
      </c>
      <c r="G366" s="260"/>
      <c r="H366" s="260"/>
      <c r="I366" s="132" t="s">
        <v>2998</v>
      </c>
    </row>
    <row r="367">
      <c r="A367" s="350"/>
      <c r="B367" s="351"/>
      <c r="C367" s="396"/>
      <c r="D367" s="356" t="s">
        <v>3915</v>
      </c>
      <c r="E367" s="350"/>
      <c r="F367" s="351"/>
      <c r="G367" s="351"/>
      <c r="H367" s="351"/>
      <c r="I367" s="350"/>
    </row>
    <row r="368">
      <c r="A368" s="147">
        <v>38486.0</v>
      </c>
      <c r="B368" s="114" t="s">
        <v>32</v>
      </c>
      <c r="C368" s="135" t="str">
        <f>HYPERLINK("http://phish.net/sideshows/particle/?showid=1327192105","setlist")</f>
        <v>setlist</v>
      </c>
      <c r="D368" s="400" t="s">
        <v>2902</v>
      </c>
      <c r="E368" s="400" t="s">
        <v>162</v>
      </c>
      <c r="F368" s="148" t="s">
        <v>129</v>
      </c>
      <c r="G368" s="114">
        <v>128.0</v>
      </c>
      <c r="H368" s="116" t="str">
        <f>HYPERLINK("http://www.mediafire.com/?p9f23fk414n7s", "download link")</f>
        <v>download link</v>
      </c>
      <c r="I368" s="149" t="s">
        <v>3916</v>
      </c>
    </row>
    <row r="369">
      <c r="A369" s="350"/>
      <c r="B369" s="351"/>
      <c r="C369" s="396"/>
      <c r="D369" s="356" t="s">
        <v>3494</v>
      </c>
      <c r="E369" s="350"/>
      <c r="F369" s="351"/>
      <c r="G369" s="351"/>
      <c r="H369" s="351"/>
      <c r="I369" s="350"/>
    </row>
    <row r="370">
      <c r="A370" s="147">
        <v>36595.0</v>
      </c>
      <c r="B370" s="148" t="s">
        <v>32</v>
      </c>
      <c r="C370" s="135" t="str">
        <f>HYPERLINK("http://phish.net/sideshows/guest-appearance/?d=2000-03-10","setlist")</f>
        <v>setlist</v>
      </c>
      <c r="D370" s="400" t="s">
        <v>3796</v>
      </c>
      <c r="E370" s="400" t="s">
        <v>2909</v>
      </c>
      <c r="F370" s="148" t="s">
        <v>679</v>
      </c>
      <c r="G370" s="148" t="s">
        <v>36</v>
      </c>
      <c r="H370" s="135" t="str">
        <f>HYPERLINK("http://www.mediafire.com/?gsxpb4fcbrki1","download link")</f>
        <v>download link</v>
      </c>
      <c r="I370" s="149" t="s">
        <v>2925</v>
      </c>
    </row>
    <row r="371">
      <c r="A371" s="130">
        <v>36624.0</v>
      </c>
      <c r="B371" s="131"/>
      <c r="C371" s="105" t="str">
        <f>HYPERLINK("http://phish.net/sideshows/guest-appearance/?showid=1326772368","setlist")</f>
        <v>setlist</v>
      </c>
      <c r="D371" s="287" t="s">
        <v>958</v>
      </c>
      <c r="E371" s="287" t="s">
        <v>94</v>
      </c>
      <c r="F371" s="133" t="s">
        <v>95</v>
      </c>
      <c r="G371" s="133" t="s">
        <v>36</v>
      </c>
      <c r="H371" s="105" t="str">
        <f>HYPERLINK("http://www.mediafire.com/?l8f538atguw3p","download link")</f>
        <v>download link</v>
      </c>
      <c r="I371" s="132" t="s">
        <v>2998</v>
      </c>
    </row>
    <row r="372">
      <c r="A372" s="147">
        <v>36891.0</v>
      </c>
      <c r="C372" s="135" t="str">
        <f>HYPERLINK("http://phish.net/sideshows/guest-appearance/?showid=1326774743","setlist")</f>
        <v>setlist</v>
      </c>
      <c r="D372" s="400" t="s">
        <v>3796</v>
      </c>
      <c r="E372" s="400" t="s">
        <v>2909</v>
      </c>
      <c r="F372" s="148" t="s">
        <v>679</v>
      </c>
      <c r="G372" s="148" t="s">
        <v>36</v>
      </c>
      <c r="H372" s="135" t="str">
        <f>HYPERLINK("http://www.mediafire.com/?h57p0pvmraww9","download link")</f>
        <v>download link</v>
      </c>
      <c r="I372" s="149" t="s">
        <v>3809</v>
      </c>
    </row>
    <row r="373">
      <c r="A373" s="130">
        <v>37211.0</v>
      </c>
      <c r="B373" s="260"/>
      <c r="C373" s="105" t="str">
        <f>HYPERLINK("http://phish.net/sideshows/guest-appearance/?showid=1327269437","setlist")</f>
        <v>setlist</v>
      </c>
      <c r="D373" s="287" t="s">
        <v>2895</v>
      </c>
      <c r="E373" s="287" t="s">
        <v>34</v>
      </c>
      <c r="F373" s="133" t="s">
        <v>35</v>
      </c>
      <c r="G373" s="107" t="s">
        <v>36</v>
      </c>
      <c r="H373" s="105" t="str">
        <f>HYPERLINK("http://www.mediafire.com/?3g1yyqccryf1u","download link")</f>
        <v>download link</v>
      </c>
      <c r="I373" s="132" t="s">
        <v>2812</v>
      </c>
    </row>
    <row r="374">
      <c r="A374" s="147">
        <v>38760.0</v>
      </c>
      <c r="B374" s="148" t="s">
        <v>32</v>
      </c>
      <c r="C374" s="135" t="str">
        <f>HYPERLINK("http://phish.net/sideshows/guest-appearance/?d=2006-02-12","setlist")</f>
        <v>setlist</v>
      </c>
      <c r="D374" s="400" t="s">
        <v>1330</v>
      </c>
      <c r="E374" s="400" t="s">
        <v>162</v>
      </c>
      <c r="F374" s="148" t="s">
        <v>129</v>
      </c>
      <c r="G374" s="148" t="s">
        <v>36</v>
      </c>
      <c r="H374" s="135" t="str">
        <f>HYPERLINK("http://www.mediafire.com/?8kd1sdi1m6mfm","download link")</f>
        <v>download link</v>
      </c>
      <c r="I374" s="149" t="s">
        <v>3699</v>
      </c>
    </row>
    <row r="375">
      <c r="A375" s="130">
        <v>38898.0</v>
      </c>
      <c r="B375" s="260"/>
      <c r="C375" s="105" t="str">
        <f>HYPERLINK("http://phish.net/sideshows/guest-appearance/?showid=1326901819","setlist")</f>
        <v>setlist</v>
      </c>
      <c r="D375" s="132" t="s">
        <v>2272</v>
      </c>
      <c r="E375" s="132" t="s">
        <v>2070</v>
      </c>
      <c r="F375" s="133" t="s">
        <v>43</v>
      </c>
      <c r="G375" s="133" t="s">
        <v>36</v>
      </c>
      <c r="H375" s="105" t="str">
        <f>HYPERLINK("http://www.mediafire.com/?mcos4ta322h07","download link")</f>
        <v>download link</v>
      </c>
      <c r="I375" s="132" t="s">
        <v>3933</v>
      </c>
    </row>
    <row r="376">
      <c r="A376" s="150">
        <v>38899.0</v>
      </c>
      <c r="B376" s="156"/>
      <c r="C376" s="116" t="str">
        <f>HYPERLINK("http://phish.net/sideshows/guest-appearance/?showid=1326913599","setlist")</f>
        <v>setlist</v>
      </c>
      <c r="D376" s="153" t="s">
        <v>2072</v>
      </c>
      <c r="E376" s="153" t="s">
        <v>992</v>
      </c>
      <c r="F376" s="151" t="s">
        <v>43</v>
      </c>
      <c r="G376" s="151" t="s">
        <v>36</v>
      </c>
      <c r="H376" s="116" t="str">
        <f>HYPERLINK("http://www.mediafire.com/?w2dtsnmc9ebw7","download link")</f>
        <v>download link</v>
      </c>
      <c r="I376" s="153" t="s">
        <v>3934</v>
      </c>
    </row>
    <row r="377">
      <c r="A377" s="130">
        <v>38900.0</v>
      </c>
      <c r="B377" s="260"/>
      <c r="C377" s="105" t="str">
        <f>HYPERLINK("http://phish.net/sideshows/guest-appearance/?showid=1326913761","setlist")</f>
        <v>setlist</v>
      </c>
      <c r="D377" s="132" t="s">
        <v>1015</v>
      </c>
      <c r="E377" s="132" t="s">
        <v>465</v>
      </c>
      <c r="F377" s="133" t="s">
        <v>129</v>
      </c>
      <c r="G377" s="133" t="s">
        <v>36</v>
      </c>
      <c r="H377" s="105" t="str">
        <f>HYPERLINK("http://www.mediafire.com/download/fz1r21ftewk9ro6/2006-07-02_-_Saratoga_Performing_Arts_Center_-_Saratoga_Springs%2C_NY.rar", "download link")</f>
        <v>download link</v>
      </c>
      <c r="I377" s="132" t="s">
        <v>3671</v>
      </c>
    </row>
    <row r="378">
      <c r="A378" s="150">
        <v>38901.0</v>
      </c>
      <c r="B378" s="156"/>
      <c r="C378" s="116" t="str">
        <f>HYPERLINK("http://phish.net/sideshows/guest-appearance/?showid=1326913881","setlist")</f>
        <v>setlist</v>
      </c>
      <c r="D378" s="153" t="s">
        <v>2973</v>
      </c>
      <c r="E378" s="153" t="s">
        <v>323</v>
      </c>
      <c r="F378" s="151" t="s">
        <v>171</v>
      </c>
      <c r="G378" s="151" t="s">
        <v>36</v>
      </c>
      <c r="H378" s="116" t="str">
        <f>HYPERLINK("http://www.mediafire.com/download/7s16oru69w1hcg7/2006-07-03_-_New_England_Dodge_Music_Center_-_Hartford%2C_CT.rar", "download link")</f>
        <v>download link</v>
      </c>
      <c r="I378" s="153" t="s">
        <v>3933</v>
      </c>
    </row>
    <row r="379">
      <c r="A379" s="130">
        <v>38904.0</v>
      </c>
      <c r="B379" s="260"/>
      <c r="C379" s="105" t="str">
        <f>HYPERLINK("http://phish.net/sideshows/guest-appearance/?showid=1326913990","setlist")</f>
        <v>setlist</v>
      </c>
      <c r="D379" s="132" t="s">
        <v>2071</v>
      </c>
      <c r="E379" s="132" t="s">
        <v>1004</v>
      </c>
      <c r="F379" s="133" t="s">
        <v>95</v>
      </c>
      <c r="G379" s="133" t="s">
        <v>36</v>
      </c>
      <c r="H379" s="105" t="str">
        <f>HYPERLINK("http://www.mediafire.com/download/783fxmxn1h8fkzc/2006-07-06_-_Tweeter_Center_-_Mansfield%2C_MA.rar", "download link")</f>
        <v>download link</v>
      </c>
      <c r="I379" s="132" t="s">
        <v>4069</v>
      </c>
    </row>
    <row r="380">
      <c r="A380" s="150">
        <v>38905.0</v>
      </c>
      <c r="B380" s="156"/>
      <c r="C380" s="116" t="str">
        <f>HYPERLINK("http://phish.net/sideshows/guest-appearance/?showid=1326914167","setlist")</f>
        <v>setlist</v>
      </c>
      <c r="D380" s="153" t="s">
        <v>993</v>
      </c>
      <c r="E380" s="153" t="s">
        <v>994</v>
      </c>
      <c r="F380" s="151" t="s">
        <v>129</v>
      </c>
      <c r="G380" s="151" t="s">
        <v>36</v>
      </c>
      <c r="H380" s="116" t="str">
        <f>HYPERLINK("http://www.mediafire.com/?7d1yq4s8pg6d6","download link")</f>
        <v>download link</v>
      </c>
      <c r="I380" s="153" t="s">
        <v>3933</v>
      </c>
    </row>
    <row r="381">
      <c r="A381" s="130">
        <v>38907.0</v>
      </c>
      <c r="B381" s="133" t="s">
        <v>32</v>
      </c>
      <c r="C381" s="105" t="str">
        <f>HYPERLINK("http://phish.net/sideshows/guest-appearance/?showid=1326914319","setlist")</f>
        <v>setlist</v>
      </c>
      <c r="D381" s="132" t="s">
        <v>2425</v>
      </c>
      <c r="E381" s="132" t="s">
        <v>2426</v>
      </c>
      <c r="F381" s="133" t="s">
        <v>129</v>
      </c>
      <c r="G381" s="133" t="s">
        <v>36</v>
      </c>
      <c r="H381" s="105" t="str">
        <f>HYPERLINK("http://www.mediafire.com/download/1kzdb5ntxvp5c62/2006-07-09_-_Bethel_Woods_Center_for_the_Arts_-_Bethel%2C_NY.rar", "download link")</f>
        <v>download link</v>
      </c>
      <c r="I381" s="132" t="s">
        <v>3933</v>
      </c>
    </row>
    <row r="382">
      <c r="A382" s="150">
        <v>38909.0</v>
      </c>
      <c r="B382" s="156"/>
      <c r="C382" s="116" t="str">
        <f>HYPERLINK("http://phish.net/sideshows/guest-appearance/?showid=1326914637","setlist")</f>
        <v>setlist</v>
      </c>
      <c r="D382" s="153" t="s">
        <v>2975</v>
      </c>
      <c r="E382" s="153" t="s">
        <v>2976</v>
      </c>
      <c r="F382" s="151" t="s">
        <v>212</v>
      </c>
      <c r="G382" s="151" t="s">
        <v>36</v>
      </c>
      <c r="H382" s="116" t="str">
        <f>HYPERLINK("http://www.mediafire.com/download/rmq7cxnc7b8bl8c/2006-07-11_-_Ford_Pavilion_at_Montage_Mountain_-_Scranton%2C_PA.rar", "download link")</f>
        <v>download link</v>
      </c>
      <c r="I382" s="153" t="s">
        <v>3933</v>
      </c>
    </row>
    <row r="383">
      <c r="A383" s="130">
        <v>38910.0</v>
      </c>
      <c r="B383" s="260"/>
      <c r="C383" s="105" t="str">
        <f>HYPERLINK("http://phish.net/sideshows/guest-appearance/?showid=1326914816","setlist")</f>
        <v>setlist</v>
      </c>
      <c r="D383" s="132" t="s">
        <v>2462</v>
      </c>
      <c r="E383" s="132" t="s">
        <v>2463</v>
      </c>
      <c r="F383" s="133" t="s">
        <v>35</v>
      </c>
      <c r="G383" s="133" t="s">
        <v>36</v>
      </c>
      <c r="H383" s="105" t="str">
        <f>HYPERLINK("http://www.mediafire.com/download/v9bb0hhxal66rj2/2006-07-12_-_Champlain_Valley_Exposition_-_Essex_Junction%2C_VT.rar","download link")</f>
        <v>download link</v>
      </c>
      <c r="I383" s="132" t="s">
        <v>3936</v>
      </c>
    </row>
    <row r="384">
      <c r="A384" s="147">
        <v>39375.0</v>
      </c>
      <c r="C384" s="135" t="str">
        <f>HYPERLINK(((((("http://phish.net/sideshows/trey-anastasio-band/?d="&amp;RIGHT(TEXT(A384,"mm/dd/yyyy"),4))&amp;"-")&amp;LEFT(TEXT(A384,"mm/dd/yyyy"),2))&amp;"-")&amp;MID(TEXT(A384,"mm/dd/yyyy"),4,2)),"setlist")</f>
        <v>setlist</v>
      </c>
      <c r="D384" s="400" t="s">
        <v>1489</v>
      </c>
      <c r="E384" s="400" t="s">
        <v>1490</v>
      </c>
      <c r="F384" s="148" t="s">
        <v>129</v>
      </c>
      <c r="G384" s="148" t="s">
        <v>36</v>
      </c>
      <c r="H384" s="135" t="str">
        <f>HYPERLINK("http://www.mediafire.com/?5x9xr2z9e77rk","download link")</f>
        <v>download link</v>
      </c>
      <c r="I384" s="149" t="s">
        <v>3699</v>
      </c>
    </row>
    <row r="385">
      <c r="A385" s="103">
        <v>41137.0</v>
      </c>
      <c r="B385" s="104"/>
      <c r="C385" s="105" t="str">
        <f>HYPERLINK("http://phish.net/sideshows/mike-gordon/?d=2012-08-16", "setlist")</f>
        <v>setlist</v>
      </c>
      <c r="D385" s="106" t="s">
        <v>3998</v>
      </c>
      <c r="E385" s="106" t="s">
        <v>2832</v>
      </c>
      <c r="F385" s="107" t="s">
        <v>679</v>
      </c>
      <c r="G385" s="107" t="s">
        <v>36</v>
      </c>
      <c r="H385" s="105" t="str">
        <f>HYPERLINK("http://www.mediafire.com/?35es2s6cjdbju","download link")</f>
        <v>download link</v>
      </c>
      <c r="I385" s="106" t="s">
        <v>3724</v>
      </c>
    </row>
    <row r="386">
      <c r="A386" s="142">
        <v>42568.0</v>
      </c>
      <c r="B386" s="144"/>
      <c r="C386" s="405" t="s">
        <v>40</v>
      </c>
      <c r="D386" s="117" t="s">
        <v>4037</v>
      </c>
      <c r="E386" s="117" t="s">
        <v>2832</v>
      </c>
      <c r="F386" s="165" t="s">
        <v>679</v>
      </c>
      <c r="G386" s="165" t="s">
        <v>36</v>
      </c>
      <c r="H386" s="116" t="str">
        <f>HYPERLINK("http://www.mediafire.com/download/tk2ye7bm95y931c/2016-07-17_-_Terrapin_Crossroads_Backyard_-_San_Rafael%2C_CA.rar","download link")</f>
        <v>download link</v>
      </c>
      <c r="I386" s="117" t="s">
        <v>3712</v>
      </c>
    </row>
    <row r="387">
      <c r="A387" s="381"/>
      <c r="B387" s="381"/>
      <c r="C387" s="366"/>
      <c r="D387" s="356" t="s">
        <v>4008</v>
      </c>
      <c r="E387" s="391"/>
      <c r="F387" s="381"/>
      <c r="G387" s="381"/>
      <c r="H387" s="358"/>
      <c r="I387" s="391"/>
    </row>
    <row r="388">
      <c r="A388" s="110">
        <v>41487.0</v>
      </c>
      <c r="B388" s="111"/>
      <c r="C388" s="135" t="str">
        <f>HYPERLINK("http://phish.net/sideshows/mike-gordon/?d=2013-08-01", "setlist")</f>
        <v>setlist</v>
      </c>
      <c r="D388" s="183" t="s">
        <v>3998</v>
      </c>
      <c r="E388" s="183" t="s">
        <v>2832</v>
      </c>
      <c r="F388" s="114" t="s">
        <v>679</v>
      </c>
      <c r="G388" s="111"/>
      <c r="H388" s="138"/>
      <c r="I388" s="183" t="s">
        <v>2787</v>
      </c>
    </row>
    <row r="389">
      <c r="A389" s="381"/>
      <c r="B389" s="381"/>
      <c r="C389" s="366"/>
      <c r="D389" s="356" t="s">
        <v>4019</v>
      </c>
      <c r="E389" s="391"/>
      <c r="F389" s="381"/>
      <c r="G389" s="381"/>
      <c r="H389" s="358"/>
      <c r="I389" s="391"/>
    </row>
    <row r="390">
      <c r="A390" s="110">
        <v>41938.0</v>
      </c>
      <c r="B390" s="111"/>
      <c r="C390" s="135" t="str">
        <f>HYPERLINK("http://phish.net/sideshows/mike-gordon/?showid=1414252647", "setlist")</f>
        <v>setlist</v>
      </c>
      <c r="D390" s="183" t="s">
        <v>3998</v>
      </c>
      <c r="E390" s="183" t="s">
        <v>2832</v>
      </c>
      <c r="F390" s="114" t="s">
        <v>679</v>
      </c>
      <c r="G390" s="111"/>
      <c r="H390" s="138"/>
      <c r="I390" s="183" t="s">
        <v>3712</v>
      </c>
    </row>
    <row r="391">
      <c r="A391" s="350"/>
      <c r="B391" s="351"/>
      <c r="C391" s="362"/>
      <c r="D391" s="356" t="s">
        <v>3969</v>
      </c>
      <c r="E391" s="350"/>
      <c r="F391" s="351"/>
      <c r="G391" s="351"/>
      <c r="H391" s="351"/>
      <c r="I391" s="350"/>
    </row>
    <row r="392">
      <c r="A392" s="110">
        <v>39569.0</v>
      </c>
      <c r="B392" s="114" t="s">
        <v>32</v>
      </c>
      <c r="C392" s="135" t="str">
        <f>HYPERLINK("http://phish.net/sideshows/guest-appearance/?showid=1361934398", "setlist")</f>
        <v>setlist</v>
      </c>
      <c r="D392" s="183" t="s">
        <v>1686</v>
      </c>
      <c r="E392" s="113" t="s">
        <v>585</v>
      </c>
      <c r="F392" s="114" t="s">
        <v>586</v>
      </c>
      <c r="G392" s="114" t="s">
        <v>36</v>
      </c>
      <c r="H392" s="135" t="str">
        <f>HYPERLINK("http://www.mediafire.com/?6gt32w2gkbm8f","download link")</f>
        <v>download link</v>
      </c>
      <c r="I392" s="113" t="s">
        <v>3316</v>
      </c>
    </row>
    <row r="393">
      <c r="A393" s="350"/>
      <c r="B393" s="351"/>
      <c r="C393" s="362"/>
      <c r="D393" s="356" t="s">
        <v>3793</v>
      </c>
      <c r="E393" s="350"/>
      <c r="F393" s="351"/>
      <c r="G393" s="351"/>
      <c r="H393" s="351"/>
      <c r="I393" s="350"/>
    </row>
    <row r="394">
      <c r="A394" s="110">
        <v>36577.0</v>
      </c>
      <c r="B394" s="111"/>
      <c r="C394" s="135" t="str">
        <f>HYPERLINK("http://phish.net/sideshows/guest-appearance/?d=2000-02-21", "setlist")</f>
        <v>setlist</v>
      </c>
      <c r="D394" s="183" t="s">
        <v>384</v>
      </c>
      <c r="E394" s="183" t="s">
        <v>34</v>
      </c>
      <c r="F394" s="114" t="s">
        <v>35</v>
      </c>
      <c r="G394" s="111"/>
      <c r="H394" s="359"/>
      <c r="I394" s="113" t="s">
        <v>3670</v>
      </c>
    </row>
    <row r="395">
      <c r="A395" s="103">
        <v>37945.0</v>
      </c>
      <c r="B395" s="104"/>
      <c r="C395" s="105" t="str">
        <f>HYPERLINK("http://phish.net/sideshows/guest-appearance/?d=2003-11-20", "setlist")</f>
        <v>setlist</v>
      </c>
      <c r="D395" s="181" t="s">
        <v>2895</v>
      </c>
      <c r="E395" s="181" t="s">
        <v>34</v>
      </c>
      <c r="F395" s="107" t="s">
        <v>35</v>
      </c>
      <c r="G395" s="104"/>
      <c r="H395" s="360"/>
      <c r="I395" s="106" t="s">
        <v>3661</v>
      </c>
    </row>
    <row r="396">
      <c r="A396" s="350"/>
      <c r="B396" s="351"/>
      <c r="C396" s="362"/>
      <c r="D396" s="356" t="s">
        <v>3798</v>
      </c>
      <c r="E396" s="350"/>
      <c r="F396" s="351"/>
      <c r="G396" s="351"/>
      <c r="H396" s="351"/>
      <c r="I396" s="350"/>
    </row>
    <row r="397">
      <c r="A397" s="110">
        <v>36653.0</v>
      </c>
      <c r="B397" s="111"/>
      <c r="C397" s="135" t="str">
        <f>HYPERLINK("http://phish.net/sideshows/guest-appearance/?showid=1355061778", "setlist")</f>
        <v>setlist</v>
      </c>
      <c r="D397" s="183" t="s">
        <v>3561</v>
      </c>
      <c r="E397" s="183" t="s">
        <v>585</v>
      </c>
      <c r="F397" s="114" t="s">
        <v>586</v>
      </c>
      <c r="G397" s="114" t="s">
        <v>36</v>
      </c>
      <c r="H397" s="116" t="str">
        <f>HYPERLINK("http://www.mediafire.com/?mxi5fq0mqlu8a", "download link")</f>
        <v>download link</v>
      </c>
      <c r="I397" s="113" t="s">
        <v>3799</v>
      </c>
    </row>
    <row r="398">
      <c r="A398" s="103">
        <v>37144.0</v>
      </c>
      <c r="B398" s="104"/>
      <c r="C398" s="105" t="str">
        <f>HYPERLINK("http://phish.net/sideshows/guest-appearance/?d=2001-09-10", "setlist")</f>
        <v>setlist</v>
      </c>
      <c r="D398" s="181" t="s">
        <v>271</v>
      </c>
      <c r="E398" s="181" t="s">
        <v>162</v>
      </c>
      <c r="F398" s="107" t="s">
        <v>129</v>
      </c>
      <c r="G398" s="107" t="s">
        <v>36</v>
      </c>
      <c r="H398" s="105" t="str">
        <f>HYPERLINK("http://www.mediafire.com/?lly4rh46yzinf","download link")</f>
        <v>download link</v>
      </c>
      <c r="I398" s="106" t="s">
        <v>2998</v>
      </c>
    </row>
    <row r="399">
      <c r="A399" s="142">
        <v>37366.0</v>
      </c>
      <c r="B399" s="144"/>
      <c r="C399" s="116" t="str">
        <f>HYPERLINK("http://phish.net/sideshows/guest-appearance/?showid=1330402953", "setlist")</f>
        <v>setlist</v>
      </c>
      <c r="D399" s="272" t="s">
        <v>3463</v>
      </c>
      <c r="E399" s="272" t="s">
        <v>34</v>
      </c>
      <c r="F399" s="115" t="s">
        <v>35</v>
      </c>
      <c r="G399" s="144"/>
      <c r="H399" s="379"/>
      <c r="I399" s="118" t="s">
        <v>3836</v>
      </c>
    </row>
    <row r="400">
      <c r="A400" s="350"/>
      <c r="B400" s="351"/>
      <c r="C400" s="362"/>
      <c r="D400" s="356" t="s">
        <v>3832</v>
      </c>
      <c r="E400" s="350"/>
      <c r="F400" s="351"/>
      <c r="G400" s="351"/>
      <c r="H400" s="351"/>
      <c r="I400" s="350"/>
    </row>
    <row r="401">
      <c r="A401" s="110">
        <v>37300.0</v>
      </c>
      <c r="B401" s="111"/>
      <c r="C401" s="116" t="str">
        <f>HYPERLINK("http://phish.net/sideshows/guest-appearance/?d=2002-02-13", "setlist")</f>
        <v>setlist</v>
      </c>
      <c r="D401" s="183" t="s">
        <v>2817</v>
      </c>
      <c r="E401" s="183" t="s">
        <v>854</v>
      </c>
      <c r="F401" s="114" t="s">
        <v>35</v>
      </c>
      <c r="G401" s="111"/>
      <c r="H401" s="359"/>
      <c r="I401" s="113" t="s">
        <v>3741</v>
      </c>
    </row>
    <row r="402">
      <c r="A402" s="350"/>
      <c r="B402" s="351"/>
      <c r="C402" s="396"/>
      <c r="D402" s="356" t="s">
        <v>3929</v>
      </c>
      <c r="E402" s="350"/>
      <c r="F402" s="351"/>
      <c r="G402" s="351"/>
      <c r="H402" s="351"/>
      <c r="I402" s="350"/>
    </row>
    <row r="403">
      <c r="A403" s="147">
        <v>38787.0</v>
      </c>
      <c r="C403" s="135" t="str">
        <f>HYPERLINK("http://phish.net/sideshows/guest-appearance/?d=2006-03-11","setlist")</f>
        <v>setlist</v>
      </c>
      <c r="D403" s="400" t="s">
        <v>2817</v>
      </c>
      <c r="E403" s="400" t="s">
        <v>2826</v>
      </c>
      <c r="F403" s="148" t="s">
        <v>35</v>
      </c>
      <c r="G403" s="148" t="s">
        <v>36</v>
      </c>
      <c r="H403" s="135" t="str">
        <f>HYPERLINK("http://www.mediafire.com/?dj9bq1jc00fn2","download link")</f>
        <v>download link</v>
      </c>
      <c r="I403" s="149" t="s">
        <v>2998</v>
      </c>
    </row>
    <row r="404">
      <c r="A404" s="130">
        <v>39192.0</v>
      </c>
      <c r="B404" s="260"/>
      <c r="C404" s="105" t="str">
        <f>HYPERLINK("http://phish.net/sideshows/guest-appearance/?d=2007-04-20","setlist")</f>
        <v>setlist</v>
      </c>
      <c r="D404" s="287" t="s">
        <v>2817</v>
      </c>
      <c r="E404" s="132" t="s">
        <v>2826</v>
      </c>
      <c r="F404" s="133" t="s">
        <v>35</v>
      </c>
      <c r="G404" s="133" t="s">
        <v>36</v>
      </c>
      <c r="H404" s="105" t="str">
        <f>HYPERLINK("http://www.mediafire.com/?etdp2egxwfgg7","download link")</f>
        <v>download link</v>
      </c>
      <c r="I404" s="132" t="s">
        <v>2787</v>
      </c>
    </row>
    <row r="405">
      <c r="A405" s="350"/>
      <c r="B405" s="351"/>
      <c r="C405" s="396"/>
      <c r="D405" s="356" t="s">
        <v>3952</v>
      </c>
      <c r="E405" s="350"/>
      <c r="F405" s="351"/>
      <c r="G405" s="351"/>
      <c r="H405" s="351"/>
      <c r="I405" s="350"/>
    </row>
    <row r="406">
      <c r="A406" s="147">
        <v>39388.0</v>
      </c>
      <c r="C406" s="135" t="str">
        <f>HYPERLINK("http://phish.net/sideshows/guest-appearance/?d=2007-11-02","setlist")</f>
        <v>setlist</v>
      </c>
      <c r="D406" s="400" t="s">
        <v>2895</v>
      </c>
      <c r="E406" s="149" t="s">
        <v>34</v>
      </c>
      <c r="F406" s="148" t="s">
        <v>35</v>
      </c>
      <c r="G406" s="148" t="s">
        <v>36</v>
      </c>
      <c r="H406" s="135" t="str">
        <f>HYPERLINK("http://www.mediafire.com/?2baya5262thau","download link")</f>
        <v>download link</v>
      </c>
      <c r="I406" s="149" t="s">
        <v>3718</v>
      </c>
    </row>
    <row r="407">
      <c r="A407" s="103">
        <v>41694.0</v>
      </c>
      <c r="B407" s="104"/>
      <c r="C407" s="105" t="str">
        <f>HYPERLINK("http://phish.net/sideshows/mike-gordon/?d=2014-02-24", "setlist")</f>
        <v>setlist</v>
      </c>
      <c r="D407" s="181" t="s">
        <v>2990</v>
      </c>
      <c r="E407" s="181" t="s">
        <v>94</v>
      </c>
      <c r="F407" s="107" t="s">
        <v>95</v>
      </c>
      <c r="G407" s="107" t="s">
        <v>36</v>
      </c>
      <c r="H407" s="105" t="str">
        <f>HYPERLINK("http://www.mediafire.com/download/h6smxsxhc2sgzat/2014-02-24_-_House_of_Blues_-_Boston,_MA.rar","download link")</f>
        <v>download link</v>
      </c>
      <c r="I407" s="181" t="s">
        <v>2998</v>
      </c>
    </row>
    <row r="408">
      <c r="A408" s="350"/>
      <c r="B408" s="351"/>
      <c r="C408" s="396"/>
      <c r="D408" s="356" t="s">
        <v>4070</v>
      </c>
      <c r="E408" s="350"/>
      <c r="F408" s="351"/>
      <c r="G408" s="351"/>
      <c r="H408" s="351"/>
      <c r="I408" s="350"/>
    </row>
    <row r="409">
      <c r="A409" s="147">
        <v>36947.0</v>
      </c>
      <c r="C409" s="135" t="str">
        <f>HYPERLINK("http://phish.net/sideshows/guest-appearance/?d=2001-02-25","setlist")</f>
        <v>setlist</v>
      </c>
      <c r="D409" s="400" t="s">
        <v>3405</v>
      </c>
      <c r="E409" s="400" t="s">
        <v>247</v>
      </c>
      <c r="F409" s="148" t="s">
        <v>95</v>
      </c>
      <c r="I409" s="149" t="s">
        <v>3813</v>
      </c>
    </row>
    <row r="410">
      <c r="A410" s="350"/>
      <c r="B410" s="351"/>
      <c r="C410" s="362"/>
      <c r="D410" s="356" t="s">
        <v>3893</v>
      </c>
      <c r="E410" s="350"/>
      <c r="F410" s="351"/>
      <c r="G410" s="351"/>
      <c r="H410" s="351"/>
      <c r="I410" s="350"/>
    </row>
    <row r="411">
      <c r="A411" s="110">
        <v>37964.0</v>
      </c>
      <c r="B411" s="111"/>
      <c r="C411" s="116" t="str">
        <f>HYPERLINK("http://phish.net/sideshows/guest-appearance/?d=2003-12-09", "setlist")</f>
        <v>setlist</v>
      </c>
      <c r="D411" s="183" t="s">
        <v>3892</v>
      </c>
      <c r="E411" s="183" t="s">
        <v>162</v>
      </c>
      <c r="F411" s="114" t="s">
        <v>129</v>
      </c>
      <c r="G411" s="111"/>
      <c r="H411" s="359"/>
      <c r="I411" s="113" t="s">
        <v>2998</v>
      </c>
    </row>
    <row r="412">
      <c r="A412" s="350"/>
      <c r="B412" s="351"/>
      <c r="C412" s="396"/>
      <c r="D412" s="356" t="s">
        <v>4071</v>
      </c>
      <c r="E412" s="350"/>
      <c r="F412" s="351"/>
      <c r="G412" s="351"/>
      <c r="H412" s="351"/>
      <c r="I412" s="350"/>
    </row>
    <row r="413">
      <c r="A413" s="147">
        <v>34005.0</v>
      </c>
      <c r="B413" s="148" t="s">
        <v>32</v>
      </c>
      <c r="C413" s="135" t="str">
        <f>HYPERLINK("http://phish.net/sideshows/guest-appearance/?showid=1328244182","setlist")</f>
        <v>setlist</v>
      </c>
      <c r="D413" s="400" t="s">
        <v>3679</v>
      </c>
      <c r="E413" s="400" t="s">
        <v>162</v>
      </c>
      <c r="F413" s="148" t="s">
        <v>129</v>
      </c>
      <c r="G413" s="148" t="s">
        <v>36</v>
      </c>
      <c r="H413" s="135" t="str">
        <f>HYPERLINK("http://www.mediafire.com/?hoba772jj5h79","download link")</f>
        <v>download link</v>
      </c>
      <c r="I413" s="149" t="s">
        <v>3671</v>
      </c>
    </row>
    <row r="414">
      <c r="A414" s="350"/>
      <c r="B414" s="351"/>
      <c r="C414" s="396"/>
      <c r="D414" s="356" t="s">
        <v>3860</v>
      </c>
      <c r="E414" s="350"/>
      <c r="F414" s="351"/>
      <c r="G414" s="351"/>
      <c r="H414" s="351"/>
      <c r="I414" s="350"/>
    </row>
    <row r="415">
      <c r="A415" s="147">
        <v>37583.0</v>
      </c>
      <c r="C415" s="135" t="str">
        <f>HYPERLINK("http://phish.net/sideshows/guest-appearance/?d=2002-11-23","setlist")</f>
        <v>setlist</v>
      </c>
      <c r="D415" s="400" t="s">
        <v>2817</v>
      </c>
      <c r="E415" s="400" t="s">
        <v>854</v>
      </c>
      <c r="F415" s="148" t="s">
        <v>35</v>
      </c>
      <c r="I415" s="149" t="s">
        <v>3861</v>
      </c>
    </row>
    <row r="416">
      <c r="A416" s="350"/>
      <c r="B416" s="351"/>
      <c r="C416" s="396"/>
      <c r="D416" s="356" t="s">
        <v>3847</v>
      </c>
      <c r="E416" s="350"/>
      <c r="F416" s="351"/>
      <c r="G416" s="351"/>
      <c r="H416" s="351"/>
      <c r="I416" s="350"/>
    </row>
    <row r="417">
      <c r="A417" s="147">
        <v>37448.0</v>
      </c>
      <c r="C417" s="135" t="str">
        <f>HYPERLINK("http://phish.net/sideshows/guest-appearance/?d=2002-07-11","setlist")</f>
        <v>setlist</v>
      </c>
      <c r="D417" s="400" t="s">
        <v>3848</v>
      </c>
      <c r="E417" s="400" t="s">
        <v>683</v>
      </c>
      <c r="F417" s="148" t="s">
        <v>679</v>
      </c>
      <c r="I417" s="149" t="s">
        <v>2885</v>
      </c>
    </row>
    <row r="418">
      <c r="A418" s="350"/>
      <c r="B418" s="351"/>
      <c r="C418" s="362"/>
      <c r="D418" s="356" t="s">
        <v>4072</v>
      </c>
      <c r="E418" s="350"/>
      <c r="F418" s="351"/>
      <c r="G418" s="351"/>
      <c r="H418" s="351"/>
      <c r="I418" s="350"/>
    </row>
    <row r="419">
      <c r="A419" s="110">
        <v>41159.0</v>
      </c>
      <c r="B419" s="111"/>
      <c r="C419" s="135" t="str">
        <f>HYPERLINK("http://phish.net/sideshows/trey-anastasio-band/?d=2012-09-07", "setlist")</f>
        <v>setlist</v>
      </c>
      <c r="D419" s="113" t="s">
        <v>570</v>
      </c>
      <c r="E419" s="113" t="s">
        <v>571</v>
      </c>
      <c r="F419" s="114" t="s">
        <v>129</v>
      </c>
      <c r="G419" s="114" t="s">
        <v>36</v>
      </c>
      <c r="H419" s="116" t="str">
        <f>HYPERLINK("http://www.mediafire.com/?1foq4657wa4nl", "download link")</f>
        <v>download link</v>
      </c>
      <c r="I419" s="113" t="s">
        <v>3807</v>
      </c>
    </row>
    <row r="420">
      <c r="A420" s="350"/>
      <c r="B420" s="351"/>
      <c r="C420" s="396"/>
      <c r="D420" s="356" t="s">
        <v>3662</v>
      </c>
      <c r="E420" s="350"/>
      <c r="F420" s="351"/>
      <c r="G420" s="351"/>
      <c r="H420" s="351"/>
      <c r="I420" s="350"/>
    </row>
    <row r="421">
      <c r="A421" s="147">
        <v>33344.0</v>
      </c>
      <c r="C421" s="135" t="str">
        <f>HYPERLINK("http://phish.net/sideshows/guest-appearance/?showid=1326776977","setlist")</f>
        <v>setlist</v>
      </c>
      <c r="D421" s="400" t="s">
        <v>710</v>
      </c>
      <c r="E421" s="400" t="s">
        <v>711</v>
      </c>
      <c r="F421" s="148" t="s">
        <v>712</v>
      </c>
      <c r="I421" s="149" t="s">
        <v>3661</v>
      </c>
    </row>
    <row r="422">
      <c r="A422" s="350"/>
      <c r="B422" s="351"/>
      <c r="C422" s="362"/>
      <c r="D422" s="356" t="s">
        <v>3926</v>
      </c>
      <c r="E422" s="350"/>
      <c r="F422" s="351"/>
      <c r="G422" s="351"/>
      <c r="H422" s="351"/>
      <c r="I422" s="350"/>
    </row>
    <row r="423">
      <c r="A423" s="110">
        <v>38700.0</v>
      </c>
      <c r="B423" s="111"/>
      <c r="C423" s="135" t="str">
        <f>HYPERLINK("http://phish.net/sideshows/guest-appearance/?d=2005-12-14", "setlist")</f>
        <v>setlist</v>
      </c>
      <c r="D423" s="183" t="s">
        <v>3892</v>
      </c>
      <c r="E423" s="183" t="s">
        <v>162</v>
      </c>
      <c r="F423" s="114" t="s">
        <v>129</v>
      </c>
      <c r="G423" s="111"/>
      <c r="H423" s="359"/>
      <c r="I423" s="113" t="s">
        <v>3774</v>
      </c>
    </row>
    <row r="424">
      <c r="A424" s="103">
        <v>39569.0</v>
      </c>
      <c r="B424" s="104"/>
      <c r="C424" s="105" t="str">
        <f>HYPERLINK("http://phish.net/sideshows/guest-appearance/?showid=1362105640", "setlist")</f>
        <v>setlist</v>
      </c>
      <c r="D424" s="181" t="s">
        <v>3970</v>
      </c>
      <c r="E424" s="106" t="s">
        <v>585</v>
      </c>
      <c r="F424" s="107" t="s">
        <v>586</v>
      </c>
      <c r="G424" s="107" t="s">
        <v>36</v>
      </c>
      <c r="H424" s="105" t="str">
        <f>HYPERLINK("https://mega.co.nz/#!vUpkhYqK!Q0VTQRjjJgBRkyOckozbPDtG2RNOAhY_fwsOWoni1E0","download link")</f>
        <v>download link</v>
      </c>
      <c r="I424" s="106" t="s">
        <v>3971</v>
      </c>
    </row>
    <row r="425">
      <c r="A425" s="350"/>
      <c r="B425" s="351"/>
      <c r="C425" s="396"/>
      <c r="D425" s="356" t="s">
        <v>3669</v>
      </c>
      <c r="E425" s="350"/>
      <c r="F425" s="351"/>
      <c r="G425" s="351"/>
      <c r="H425" s="351"/>
      <c r="I425" s="350"/>
    </row>
    <row r="426">
      <c r="A426" s="147">
        <v>33804.0</v>
      </c>
      <c r="C426" s="135" t="str">
        <f>HYPERLINK("http://phish.net/sideshows/guest-appearance/?showid=1326560320","setlist")</f>
        <v>setlist</v>
      </c>
      <c r="D426" s="400" t="s">
        <v>991</v>
      </c>
      <c r="E426" s="400" t="s">
        <v>992</v>
      </c>
      <c r="F426" s="148" t="s">
        <v>43</v>
      </c>
      <c r="I426" s="149" t="s">
        <v>3670</v>
      </c>
    </row>
    <row r="427">
      <c r="A427" s="130">
        <v>33807.0</v>
      </c>
      <c r="B427" s="131"/>
      <c r="C427" s="105" t="str">
        <f>HYPERLINK("http://phish.net/sideshows/guest-appearance/?showid=1326560859","setlist")</f>
        <v>setlist</v>
      </c>
      <c r="D427" s="287" t="s">
        <v>1005</v>
      </c>
      <c r="E427" s="287" t="s">
        <v>1006</v>
      </c>
      <c r="F427" s="133" t="s">
        <v>182</v>
      </c>
      <c r="G427" s="131"/>
      <c r="H427" s="131"/>
      <c r="I427" s="132" t="s">
        <v>3671</v>
      </c>
    </row>
    <row r="428">
      <c r="A428" s="147">
        <v>33809.0</v>
      </c>
      <c r="C428" s="135" t="str">
        <f>HYPERLINK("http://phish.net/sideshows/guest-appearance/?showid=1324154208","setlist")</f>
        <v>setlist</v>
      </c>
      <c r="D428" s="400" t="s">
        <v>993</v>
      </c>
      <c r="E428" s="400" t="s">
        <v>994</v>
      </c>
      <c r="F428" s="148" t="s">
        <v>129</v>
      </c>
      <c r="I428" s="149" t="s">
        <v>3672</v>
      </c>
    </row>
    <row r="429">
      <c r="A429" s="130">
        <v>33810.0</v>
      </c>
      <c r="B429" s="131"/>
      <c r="C429" s="105" t="str">
        <f>HYPERLINK("http://phish.net/sideshows/guest-appearance/?showid=1324506508","setlist")</f>
        <v>setlist</v>
      </c>
      <c r="D429" s="287" t="s">
        <v>1010</v>
      </c>
      <c r="E429" s="287" t="s">
        <v>1011</v>
      </c>
      <c r="F429" s="133" t="s">
        <v>35</v>
      </c>
      <c r="G429" s="131"/>
      <c r="H429" s="131"/>
      <c r="I429" s="132" t="s">
        <v>3666</v>
      </c>
    </row>
    <row r="430">
      <c r="A430" s="147">
        <v>33811.0</v>
      </c>
      <c r="C430" s="135" t="str">
        <f>HYPERLINK("http://phish.net/sideshows/guest-appearance/?showid=1326559632","setlist")</f>
        <v>setlist</v>
      </c>
      <c r="D430" s="400" t="s">
        <v>1013</v>
      </c>
      <c r="E430" s="400" t="s">
        <v>1014</v>
      </c>
      <c r="F430" s="148" t="s">
        <v>129</v>
      </c>
      <c r="I430" s="149" t="s">
        <v>3673</v>
      </c>
    </row>
    <row r="431">
      <c r="A431" s="130">
        <v>33812.0</v>
      </c>
      <c r="B431" s="131"/>
      <c r="C431" s="105" t="str">
        <f>HYPERLINK("http://phish.net/sideshows/guest-appearance/?showid=1326571148","setlist")</f>
        <v>setlist</v>
      </c>
      <c r="D431" s="287" t="s">
        <v>1015</v>
      </c>
      <c r="E431" s="287" t="s">
        <v>465</v>
      </c>
      <c r="F431" s="133" t="s">
        <v>129</v>
      </c>
      <c r="G431" s="133" t="s">
        <v>36</v>
      </c>
      <c r="H431" s="105" t="str">
        <f>HYPERLINK("http://www.mediafire.com/?h9zkzmmuoav7q","download link")</f>
        <v>download link</v>
      </c>
      <c r="I431" s="132" t="s">
        <v>3666</v>
      </c>
    </row>
    <row r="432">
      <c r="A432" s="147">
        <v>33813.0</v>
      </c>
      <c r="C432" s="135" t="str">
        <f>HYPERLINK("http://phish.net/sideshows/guest-appearance/?showid=1326571384","setlist")</f>
        <v>setlist</v>
      </c>
      <c r="D432" s="400" t="s">
        <v>1018</v>
      </c>
      <c r="E432" s="400" t="s">
        <v>1019</v>
      </c>
      <c r="F432" s="148" t="s">
        <v>129</v>
      </c>
      <c r="G432" s="114" t="s">
        <v>36</v>
      </c>
      <c r="H432" s="135" t="str">
        <f>HYPERLINK("http://www.mediafire.com/?rn6b9nmz4rib5","download link")</f>
        <v>download link</v>
      </c>
      <c r="I432" s="149" t="s">
        <v>3666</v>
      </c>
    </row>
    <row r="433">
      <c r="A433" s="130">
        <v>33815.0</v>
      </c>
      <c r="B433" s="131"/>
      <c r="C433" s="105" t="str">
        <f>HYPERLINK("http://phish.net/sideshows/guest-appearance/?showid=1326571501","setlist")</f>
        <v>setlist</v>
      </c>
      <c r="D433" s="287" t="s">
        <v>1020</v>
      </c>
      <c r="E433" s="287" t="s">
        <v>1021</v>
      </c>
      <c r="F433" s="133" t="s">
        <v>712</v>
      </c>
      <c r="G433" s="131"/>
      <c r="H433" s="131"/>
      <c r="I433" s="132" t="s">
        <v>3666</v>
      </c>
    </row>
    <row r="434">
      <c r="A434" s="147">
        <v>33816.0</v>
      </c>
      <c r="C434" s="135" t="str">
        <f>HYPERLINK("http://phish.net/sideshows/guest-appearance/?showid=1326571918","setlist")</f>
        <v>setlist</v>
      </c>
      <c r="D434" s="400" t="s">
        <v>1023</v>
      </c>
      <c r="E434" s="400" t="s">
        <v>1024</v>
      </c>
      <c r="F434" s="148" t="s">
        <v>472</v>
      </c>
      <c r="I434" s="149" t="s">
        <v>3674</v>
      </c>
    </row>
    <row r="435">
      <c r="A435" s="130">
        <v>33817.0</v>
      </c>
      <c r="B435" s="131"/>
      <c r="C435" s="105" t="str">
        <f>HYPERLINK("http://phish.net/sideshows/guest-appearance/?showid=1326572136","setlist")</f>
        <v>setlist</v>
      </c>
      <c r="D435" s="287" t="s">
        <v>1025</v>
      </c>
      <c r="E435" s="287" t="s">
        <v>1026</v>
      </c>
      <c r="F435" s="133" t="s">
        <v>480</v>
      </c>
      <c r="G435" s="131"/>
      <c r="H435" s="131"/>
      <c r="I435" s="132" t="s">
        <v>3674</v>
      </c>
    </row>
    <row r="436">
      <c r="A436" s="110">
        <v>33829.0</v>
      </c>
      <c r="B436" s="114" t="s">
        <v>32</v>
      </c>
      <c r="C436" s="394" t="s">
        <v>40</v>
      </c>
      <c r="D436" s="183" t="s">
        <v>1031</v>
      </c>
      <c r="E436" s="183" t="s">
        <v>911</v>
      </c>
      <c r="F436" s="114" t="s">
        <v>679</v>
      </c>
      <c r="G436" s="114" t="s">
        <v>36</v>
      </c>
      <c r="H436" s="135" t="str">
        <f>HYPERLINK("http://www.mediafire.com/?sew3pk76nqfm3","download link")</f>
        <v>download link</v>
      </c>
      <c r="I436" s="113" t="s">
        <v>3675</v>
      </c>
    </row>
    <row r="437">
      <c r="A437" s="130">
        <v>33835.0</v>
      </c>
      <c r="B437" s="260"/>
      <c r="C437" s="105" t="str">
        <f>HYPERLINK("http://phish.net/sideshows/guest-appearance/?showid=1326572455","setlist")</f>
        <v>setlist</v>
      </c>
      <c r="D437" s="287" t="s">
        <v>1037</v>
      </c>
      <c r="E437" s="287" t="s">
        <v>906</v>
      </c>
      <c r="F437" s="133" t="s">
        <v>805</v>
      </c>
      <c r="G437" s="260"/>
      <c r="H437" s="260"/>
      <c r="I437" s="132" t="s">
        <v>3672</v>
      </c>
    </row>
    <row r="438">
      <c r="A438" s="150">
        <v>33836.0</v>
      </c>
      <c r="B438" s="156"/>
      <c r="C438" s="116" t="str">
        <f>HYPERLINK("http://phish.net/sideshows/guest-appearance/?showid=1326572610","setlist")</f>
        <v>setlist</v>
      </c>
      <c r="D438" s="290" t="s">
        <v>1039</v>
      </c>
      <c r="E438" s="290" t="s">
        <v>1040</v>
      </c>
      <c r="F438" s="151" t="s">
        <v>811</v>
      </c>
      <c r="G438" s="156"/>
      <c r="H438" s="156"/>
      <c r="I438" s="153" t="s">
        <v>3672</v>
      </c>
    </row>
    <row r="439">
      <c r="A439" s="130">
        <v>33839.0</v>
      </c>
      <c r="B439" s="260"/>
      <c r="C439" s="105" t="str">
        <f>HYPERLINK("http://phish.net/sideshows/guest-appearance/?showid=1326573143","setlist")</f>
        <v>setlist</v>
      </c>
      <c r="D439" s="287" t="s">
        <v>1041</v>
      </c>
      <c r="E439" s="287" t="s">
        <v>1042</v>
      </c>
      <c r="F439" s="133" t="s">
        <v>203</v>
      </c>
      <c r="G439" s="260"/>
      <c r="H439" s="260"/>
      <c r="I439" s="132" t="s">
        <v>3676</v>
      </c>
    </row>
    <row r="440">
      <c r="A440" s="150">
        <v>33840.0</v>
      </c>
      <c r="B440" s="156"/>
      <c r="C440" s="116" t="str">
        <f>HYPERLINK("http://phish.net/sideshows/guest-appearance/?showid=1326573249","setlist")</f>
        <v>setlist</v>
      </c>
      <c r="D440" s="290" t="s">
        <v>1043</v>
      </c>
      <c r="E440" s="290" t="s">
        <v>1044</v>
      </c>
      <c r="F440" s="151" t="s">
        <v>203</v>
      </c>
      <c r="G440" s="156"/>
      <c r="H440" s="156"/>
      <c r="I440" s="153" t="s">
        <v>3676</v>
      </c>
    </row>
    <row r="441">
      <c r="A441" s="130">
        <v>33841.0</v>
      </c>
      <c r="B441" s="260"/>
      <c r="C441" s="105" t="str">
        <f>HYPERLINK("http://phish.net/sideshows/guest-appearance/?showid=1326573390","setlist")</f>
        <v>setlist</v>
      </c>
      <c r="D441" s="287" t="s">
        <v>1045</v>
      </c>
      <c r="E441" s="287" t="s">
        <v>810</v>
      </c>
      <c r="F441" s="133" t="s">
        <v>811</v>
      </c>
      <c r="G441" s="260"/>
      <c r="H441" s="260"/>
      <c r="I441" s="132" t="s">
        <v>3666</v>
      </c>
    </row>
    <row r="442">
      <c r="A442" s="142">
        <v>33843.0</v>
      </c>
      <c r="B442" s="115" t="s">
        <v>32</v>
      </c>
      <c r="C442" s="116" t="str">
        <f>HYPERLINK("http://phish.net/sideshows/guest-appearance/?showid=1326573622", "setlist")</f>
        <v>setlist</v>
      </c>
      <c r="D442" s="272" t="s">
        <v>1047</v>
      </c>
      <c r="E442" s="272" t="s">
        <v>913</v>
      </c>
      <c r="F442" s="115" t="s">
        <v>679</v>
      </c>
      <c r="G442" s="115" t="s">
        <v>36</v>
      </c>
      <c r="H442" s="116" t="str">
        <f>HYPERLINK("http://www.mediafire.com/?2mydlelulztuo", "download link")</f>
        <v>download link</v>
      </c>
      <c r="I442" s="118" t="s">
        <v>3666</v>
      </c>
    </row>
    <row r="443">
      <c r="A443" s="130">
        <v>33844.0</v>
      </c>
      <c r="B443" s="133" t="s">
        <v>32</v>
      </c>
      <c r="C443" s="105" t="str">
        <f>HYPERLINK("http://phish.net/sideshows/guest-appearance/?showid=1326573752","setlist")</f>
        <v>setlist</v>
      </c>
      <c r="D443" s="287" t="s">
        <v>1049</v>
      </c>
      <c r="E443" s="287" t="s">
        <v>531</v>
      </c>
      <c r="F443" s="133" t="s">
        <v>679</v>
      </c>
      <c r="G443" s="133" t="s">
        <v>36</v>
      </c>
      <c r="H443" s="105" t="str">
        <f>HYPERLINK("http://www.mediafire.com/?s86w05yg7syb5","download link")</f>
        <v>download link</v>
      </c>
      <c r="I443" s="132" t="s">
        <v>3666</v>
      </c>
    </row>
    <row r="444">
      <c r="A444" s="150">
        <v>33845.0</v>
      </c>
      <c r="B444" s="156"/>
      <c r="C444" s="116" t="str">
        <f>HYPERLINK("http://phish.net/sideshows/guest-appearance/?showid=1326573855","setlist")</f>
        <v>setlist</v>
      </c>
      <c r="D444" s="290" t="s">
        <v>1052</v>
      </c>
      <c r="E444" s="290" t="s">
        <v>1053</v>
      </c>
      <c r="F444" s="151" t="s">
        <v>679</v>
      </c>
      <c r="G444" s="156"/>
      <c r="H444" s="156"/>
      <c r="I444" s="153" t="s">
        <v>3674</v>
      </c>
    </row>
    <row r="445">
      <c r="A445" s="130">
        <v>33846.0</v>
      </c>
      <c r="B445" s="133" t="s">
        <v>32</v>
      </c>
      <c r="C445" s="105" t="str">
        <f>HYPERLINK("http://phish.net/sideshows/guest-appearance/?showid=1326574022","setlist")</f>
        <v>setlist</v>
      </c>
      <c r="D445" s="287" t="s">
        <v>1055</v>
      </c>
      <c r="E445" s="287" t="s">
        <v>1056</v>
      </c>
      <c r="F445" s="133" t="s">
        <v>679</v>
      </c>
      <c r="G445" s="133" t="s">
        <v>36</v>
      </c>
      <c r="H445" s="105" t="str">
        <f>HYPERLINK("http://www.mediafire.com/?h56id35zypjrw","download link")</f>
        <v>download link</v>
      </c>
      <c r="I445" s="132" t="s">
        <v>3676</v>
      </c>
    </row>
    <row r="446">
      <c r="A446" s="150">
        <v>35248.0</v>
      </c>
      <c r="B446" s="273"/>
      <c r="C446" s="116" t="str">
        <f>HYPERLINK("http://phish.net/sideshows/guest-appearance/?showid=1326698299","setlist")</f>
        <v>setlist</v>
      </c>
      <c r="D446" s="290" t="s">
        <v>3732</v>
      </c>
      <c r="E446" s="290" t="s">
        <v>3733</v>
      </c>
      <c r="F446" s="151" t="s">
        <v>1694</v>
      </c>
      <c r="G446" s="114" t="s">
        <v>3354</v>
      </c>
      <c r="H446" s="116" t="str">
        <f>HYPERLINK("http://www.mediafire.com/download/prd2txht7krw2br/1996-07-02_-_Pista_Speedway_-_Lonigo%2C_Italy.rar", "download link")</f>
        <v>download link</v>
      </c>
      <c r="I446" s="113" t="s">
        <v>3734</v>
      </c>
    </row>
    <row r="447">
      <c r="A447" s="130">
        <v>35265.0</v>
      </c>
      <c r="B447" s="131"/>
      <c r="C447" s="105" t="str">
        <f>HYPERLINK("http://phish.net/sideshows/guest-appearance/?showid=1326698986","setlist")</f>
        <v>setlist</v>
      </c>
      <c r="D447" s="287" t="s">
        <v>1722</v>
      </c>
      <c r="E447" s="287" t="s">
        <v>1723</v>
      </c>
      <c r="F447" s="133" t="s">
        <v>980</v>
      </c>
      <c r="G447" s="131"/>
      <c r="H447" s="131"/>
      <c r="I447" s="132" t="s">
        <v>3674</v>
      </c>
    </row>
    <row r="448">
      <c r="A448" s="150">
        <v>36268.0</v>
      </c>
      <c r="B448" s="273"/>
      <c r="C448" s="116" t="str">
        <f>HYPERLINK("http://phish.net/sideshows/guest-appearance/?d=1999-04-18","setlist")</f>
        <v>setlist</v>
      </c>
      <c r="D448" s="290" t="s">
        <v>2020</v>
      </c>
      <c r="E448" s="290" t="s">
        <v>683</v>
      </c>
      <c r="F448" s="151" t="s">
        <v>679</v>
      </c>
      <c r="G448" s="151" t="s">
        <v>36</v>
      </c>
      <c r="H448" s="116" t="str">
        <f>HYPERLINK("http://www.mediafire.com/?qp2l22272oi2i","download link")</f>
        <v>download link</v>
      </c>
      <c r="I448" s="153" t="s">
        <v>3776</v>
      </c>
    </row>
    <row r="449">
      <c r="A449" s="381"/>
      <c r="B449" s="381"/>
      <c r="C449" s="366"/>
      <c r="D449" s="383" t="s">
        <v>4032</v>
      </c>
      <c r="E449" s="391"/>
      <c r="F449" s="381"/>
      <c r="G449" s="381"/>
      <c r="H449" s="358"/>
      <c r="I449" s="358"/>
    </row>
    <row r="450">
      <c r="A450" s="110">
        <v>42434.0</v>
      </c>
      <c r="B450" s="111"/>
      <c r="C450" s="399" t="str">
        <f>HYPERLINK("http://phish.net/sideshows/jon-fishman/?showid=1457492610", "setlist")</f>
        <v>setlist</v>
      </c>
      <c r="D450" s="269" t="s">
        <v>4033</v>
      </c>
      <c r="E450" s="269" t="s">
        <v>259</v>
      </c>
      <c r="F450" s="139" t="s">
        <v>257</v>
      </c>
      <c r="G450" s="139"/>
      <c r="H450" s="270"/>
      <c r="I450" s="170" t="s">
        <v>4028</v>
      </c>
    </row>
    <row r="451">
      <c r="A451" s="350"/>
      <c r="B451" s="351"/>
      <c r="C451" s="362"/>
      <c r="D451" s="356" t="s">
        <v>3942</v>
      </c>
      <c r="E451" s="350"/>
      <c r="F451" s="351"/>
      <c r="G451" s="351"/>
      <c r="H451" s="351"/>
      <c r="I451" s="350"/>
    </row>
    <row r="452">
      <c r="A452" s="110">
        <v>39120.0</v>
      </c>
      <c r="B452" s="111"/>
      <c r="C452" s="135" t="str">
        <f>HYPERLINK("http://phish.net/sideshows/guest-appearance/?showid=1328587437", "setlist")</f>
        <v>setlist</v>
      </c>
      <c r="D452" s="183" t="s">
        <v>3841</v>
      </c>
      <c r="E452" s="113" t="s">
        <v>162</v>
      </c>
      <c r="F452" s="114" t="s">
        <v>129</v>
      </c>
      <c r="G452" s="114" t="s">
        <v>3354</v>
      </c>
      <c r="H452" s="116" t="str">
        <f>HYPERLINK("http://www.mediafire.com/?s2h73g8vv38fd", "download link")</f>
        <v>download link</v>
      </c>
      <c r="I452" s="113" t="s">
        <v>3943</v>
      </c>
    </row>
    <row r="453">
      <c r="A453" s="350"/>
      <c r="B453" s="351"/>
      <c r="C453" s="396"/>
      <c r="D453" s="356" t="s">
        <v>3663</v>
      </c>
      <c r="E453" s="350"/>
      <c r="F453" s="351"/>
      <c r="G453" s="351"/>
      <c r="H453" s="351"/>
      <c r="I453" s="350"/>
    </row>
    <row r="454">
      <c r="A454" s="147">
        <v>33572.0</v>
      </c>
      <c r="C454" s="135" t="str">
        <f>HYPERLINK("http://phish.net/sideshows/guest-appearance/?showid=1326731601","setlist")</f>
        <v>setlist</v>
      </c>
      <c r="D454" s="400" t="s">
        <v>570</v>
      </c>
      <c r="E454" s="400" t="s">
        <v>571</v>
      </c>
      <c r="F454" s="148" t="s">
        <v>129</v>
      </c>
      <c r="I454" s="149" t="s">
        <v>3664</v>
      </c>
    </row>
    <row r="455">
      <c r="A455" s="130">
        <v>33635.0</v>
      </c>
      <c r="B455" s="133" t="s">
        <v>32</v>
      </c>
      <c r="C455" s="105" t="str">
        <f>HYPERLINK("http://phish.net/sideshows//?d=1992-02-01","setlist")</f>
        <v>setlist</v>
      </c>
      <c r="D455" s="287" t="s">
        <v>3665</v>
      </c>
      <c r="E455" s="287" t="s">
        <v>34</v>
      </c>
      <c r="F455" s="133" t="s">
        <v>35</v>
      </c>
      <c r="G455" s="133" t="s">
        <v>36</v>
      </c>
      <c r="H455" s="105" t="str">
        <f>HYPERLINK("http://www.mediafire.com/?va7f7w64b71gr","download link")</f>
        <v>download link</v>
      </c>
      <c r="I455" s="132" t="s">
        <v>3666</v>
      </c>
    </row>
    <row r="456">
      <c r="A456" s="147">
        <v>33996.0</v>
      </c>
      <c r="B456" s="148" t="s">
        <v>32</v>
      </c>
      <c r="C456" s="135" t="str">
        <f>HYPERLINK("http://phish.net/sideshows/guest-appearance/?d=1993-01-27","setlist")</f>
        <v>setlist</v>
      </c>
      <c r="D456" s="400" t="s">
        <v>3665</v>
      </c>
      <c r="E456" s="400" t="s">
        <v>34</v>
      </c>
      <c r="F456" s="148" t="s">
        <v>35</v>
      </c>
      <c r="G456" s="148" t="s">
        <v>36</v>
      </c>
      <c r="H456" s="135" t="str">
        <f>HYPERLINK("http://www.mediafire.com/?kh4lelidk7h7v","download link")</f>
        <v>download link</v>
      </c>
      <c r="I456" s="149" t="s">
        <v>3677</v>
      </c>
    </row>
    <row r="457">
      <c r="A457" s="130">
        <v>34380.0</v>
      </c>
      <c r="B457" s="260"/>
      <c r="C457" s="105" t="str">
        <f>HYPERLINK("http://phish.net/sideshows/guest-appearance/?d=1994-02-15","setlist")</f>
        <v>setlist</v>
      </c>
      <c r="D457" s="287" t="s">
        <v>2811</v>
      </c>
      <c r="E457" s="287" t="s">
        <v>34</v>
      </c>
      <c r="F457" s="133" t="s">
        <v>35</v>
      </c>
      <c r="G457" s="260"/>
      <c r="H457" s="260"/>
      <c r="I457" s="132" t="s">
        <v>3690</v>
      </c>
    </row>
    <row r="458">
      <c r="A458" s="350"/>
      <c r="B458" s="351"/>
      <c r="C458" s="362"/>
      <c r="D458" s="356" t="s">
        <v>4073</v>
      </c>
      <c r="E458" s="350"/>
      <c r="F458" s="351"/>
      <c r="G458" s="351"/>
      <c r="H458" s="351"/>
      <c r="I458" s="350"/>
    </row>
    <row r="459">
      <c r="A459" s="110">
        <v>37811.0</v>
      </c>
      <c r="B459" s="111"/>
      <c r="C459" s="116" t="str">
        <f>HYPERLINK("http://phish.net/sideshows/guest-appearance/?showid=1332723016", "setlist")</f>
        <v>setlist</v>
      </c>
      <c r="D459" s="183" t="s">
        <v>3874</v>
      </c>
      <c r="E459" s="183" t="s">
        <v>683</v>
      </c>
      <c r="F459" s="114" t="s">
        <v>679</v>
      </c>
      <c r="G459" s="111"/>
      <c r="H459" s="359"/>
      <c r="I459" s="113" t="s">
        <v>2998</v>
      </c>
    </row>
    <row r="460">
      <c r="A460" s="350"/>
      <c r="B460" s="351"/>
      <c r="C460" s="362"/>
      <c r="D460" s="356" t="s">
        <v>3771</v>
      </c>
      <c r="E460" s="350"/>
      <c r="F460" s="351"/>
      <c r="G460" s="351"/>
      <c r="H460" s="351"/>
      <c r="I460" s="350"/>
    </row>
    <row r="461">
      <c r="A461" s="110">
        <v>36223.0</v>
      </c>
      <c r="B461" s="111"/>
      <c r="C461" s="135" t="str">
        <f>HYPERLINK("http://phish.net/sideshows/guest-appearance/?d=1999-03-04", "setlist")</f>
        <v>setlist</v>
      </c>
      <c r="D461" s="183" t="s">
        <v>2817</v>
      </c>
      <c r="E461" s="183" t="s">
        <v>854</v>
      </c>
      <c r="F461" s="114" t="s">
        <v>35</v>
      </c>
      <c r="G461" s="111"/>
      <c r="H461" s="359"/>
      <c r="I461" s="113" t="s">
        <v>3758</v>
      </c>
    </row>
    <row r="462">
      <c r="A462" s="350"/>
      <c r="B462" s="351"/>
      <c r="C462" s="396"/>
      <c r="D462" s="356" t="s">
        <v>3713</v>
      </c>
      <c r="E462" s="350"/>
      <c r="F462" s="351"/>
      <c r="G462" s="351"/>
      <c r="H462" s="351"/>
      <c r="I462" s="350"/>
    </row>
    <row r="463">
      <c r="A463" s="147">
        <v>34797.0</v>
      </c>
      <c r="C463" s="135" t="str">
        <f>HYPERLINK("http://phish.net/sideshows/guest-appearance/?d=1995-04-08","setlist")</f>
        <v>setlist</v>
      </c>
      <c r="D463" s="400" t="s">
        <v>3714</v>
      </c>
      <c r="E463" s="400" t="s">
        <v>311</v>
      </c>
      <c r="F463" s="148" t="s">
        <v>129</v>
      </c>
      <c r="I463" s="149" t="s">
        <v>3715</v>
      </c>
    </row>
    <row r="464">
      <c r="A464" s="350"/>
      <c r="B464" s="351"/>
      <c r="C464" s="396"/>
      <c r="D464" s="356" t="s">
        <v>3748</v>
      </c>
      <c r="E464" s="350"/>
      <c r="F464" s="351"/>
      <c r="G464" s="351"/>
      <c r="H464" s="351"/>
      <c r="I464" s="350"/>
    </row>
    <row r="465">
      <c r="A465" s="147">
        <v>35646.0</v>
      </c>
      <c r="C465" s="135" t="str">
        <f>HYPERLINK("http://phish.net/sideshows/guest-appearance/?d=1997-08-04","setlist")</f>
        <v>setlist</v>
      </c>
      <c r="D465" s="400" t="s">
        <v>3749</v>
      </c>
      <c r="E465" s="400" t="s">
        <v>885</v>
      </c>
      <c r="F465" s="148" t="s">
        <v>886</v>
      </c>
      <c r="I465" s="149" t="s">
        <v>3750</v>
      </c>
    </row>
    <row r="466">
      <c r="A466" s="381"/>
      <c r="B466" s="381"/>
      <c r="C466" s="366"/>
      <c r="D466" s="356" t="s">
        <v>4011</v>
      </c>
      <c r="E466" s="391"/>
      <c r="F466" s="381"/>
      <c r="G466" s="381"/>
      <c r="H466" s="358"/>
      <c r="I466" s="391"/>
    </row>
    <row r="467">
      <c r="A467" s="110">
        <v>41760.0</v>
      </c>
      <c r="B467" s="111"/>
      <c r="C467" s="135" t="str">
        <f>HYPERLINK("http://phish.net/sideshows/trey-anastasio-band/?d=2014-05-01", "setlist")</f>
        <v>setlist</v>
      </c>
      <c r="D467" s="183" t="s">
        <v>4012</v>
      </c>
      <c r="E467" s="183" t="s">
        <v>162</v>
      </c>
      <c r="F467" s="114" t="s">
        <v>129</v>
      </c>
      <c r="G467" s="114" t="s">
        <v>36</v>
      </c>
      <c r="H467" s="135" t="str">
        <f>HYPERLINK("http://www.mediafire.com/download/b4s2cfkh1ufkc94/2014-05-01_-_The_Iridium_-_New_York,_NY.rar","download link")</f>
        <v>download link</v>
      </c>
      <c r="I467" s="183" t="s">
        <v>4013</v>
      </c>
    </row>
    <row r="468">
      <c r="A468" s="130">
        <v>43475.0</v>
      </c>
      <c r="B468" s="131"/>
      <c r="C468" s="105" t="str">
        <f>HYPERLINK("http://phish.net/setlists/trey-anastasio-january-11-2019-leonard-nimoy-thalia-at-symphony-space-new-york-ny-usa.html", "setlist")</f>
        <v>setlist</v>
      </c>
      <c r="D468" s="140" t="s">
        <v>4046</v>
      </c>
      <c r="E468" s="140" t="s">
        <v>162</v>
      </c>
      <c r="F468" s="195" t="s">
        <v>129</v>
      </c>
      <c r="G468" s="195" t="s">
        <v>36</v>
      </c>
      <c r="H468" s="105" t="str">
        <f>HYPERLINK("http://www.mediafire.com/file/wd50miowczhdoey/2019-01-10_-_Leonard_Nimoy_Thalia_at_Symphony_Space_-_New_York%252C_NY.rar/file","download link")</f>
        <v>download link</v>
      </c>
      <c r="I468" s="140" t="s">
        <v>3699</v>
      </c>
    </row>
    <row r="469">
      <c r="A469" s="350"/>
      <c r="B469" s="351"/>
      <c r="C469" s="362"/>
      <c r="D469" s="356" t="s">
        <v>3894</v>
      </c>
      <c r="E469" s="350"/>
      <c r="F469" s="351"/>
      <c r="G469" s="351"/>
      <c r="H469" s="351"/>
      <c r="I469" s="350"/>
    </row>
    <row r="470">
      <c r="A470" s="110">
        <v>37984.0</v>
      </c>
      <c r="B470" s="111"/>
      <c r="C470" s="116" t="str">
        <f>HYPERLINK("http://phish.net/sideshows/guest-appearance/?showid=1333593227", "setlist")</f>
        <v>setlist</v>
      </c>
      <c r="D470" s="183" t="s">
        <v>3863</v>
      </c>
      <c r="E470" s="183" t="s">
        <v>1274</v>
      </c>
      <c r="F470" s="114" t="s">
        <v>1133</v>
      </c>
      <c r="G470" s="111"/>
      <c r="H470" s="359"/>
      <c r="I470" s="113" t="s">
        <v>2787</v>
      </c>
    </row>
    <row r="471">
      <c r="A471" s="350"/>
      <c r="B471" s="351"/>
      <c r="C471" s="362"/>
      <c r="D471" s="356" t="s">
        <v>3912</v>
      </c>
      <c r="E471" s="350"/>
      <c r="F471" s="351"/>
      <c r="G471" s="351"/>
      <c r="H471" s="351"/>
      <c r="I471" s="350"/>
    </row>
    <row r="472">
      <c r="A472" s="110">
        <v>38458.0</v>
      </c>
      <c r="B472" s="111"/>
      <c r="C472" s="116" t="str">
        <f>HYPERLINK("http://phish.net/sideshows/guest-appearance/?d=2005-04-16", "setlist")</f>
        <v>setlist</v>
      </c>
      <c r="D472" s="183" t="s">
        <v>54</v>
      </c>
      <c r="E472" s="183" t="s">
        <v>34</v>
      </c>
      <c r="F472" s="114" t="s">
        <v>35</v>
      </c>
      <c r="G472" s="111"/>
      <c r="H472" s="359"/>
      <c r="I472" s="113" t="s">
        <v>3774</v>
      </c>
    </row>
    <row r="473">
      <c r="A473" s="103">
        <v>38521.0</v>
      </c>
      <c r="B473" s="104"/>
      <c r="C473" s="105" t="str">
        <f>HYPERLINK("http://phish.net/sideshows/guest-appearance/?d=2005-06-18", "setlist")</f>
        <v>setlist</v>
      </c>
      <c r="D473" s="181" t="s">
        <v>54</v>
      </c>
      <c r="E473" s="181" t="s">
        <v>34</v>
      </c>
      <c r="F473" s="107" t="s">
        <v>35</v>
      </c>
      <c r="G473" s="104"/>
      <c r="H473" s="360"/>
      <c r="I473" s="106" t="s">
        <v>3774</v>
      </c>
    </row>
    <row r="474">
      <c r="A474" s="110">
        <v>38657.0</v>
      </c>
      <c r="B474" s="111"/>
      <c r="C474" s="135" t="str">
        <f>HYPERLINK("http://phish.net/sideshows/guest-appearance/?showid=1355716253", "setlist")</f>
        <v>setlist</v>
      </c>
      <c r="D474" s="183" t="s">
        <v>3210</v>
      </c>
      <c r="E474" s="183" t="s">
        <v>162</v>
      </c>
      <c r="F474" s="114" t="s">
        <v>129</v>
      </c>
      <c r="G474" s="111"/>
      <c r="H474" s="359"/>
      <c r="I474" s="113" t="s">
        <v>3774</v>
      </c>
    </row>
    <row r="475">
      <c r="A475" s="103">
        <v>38668.0</v>
      </c>
      <c r="B475" s="107" t="s">
        <v>32</v>
      </c>
      <c r="C475" s="105" t="str">
        <f>HYPERLINK("http://phish.net/sideshows/guest-appearance/?showid=1355716434", "setlist")</f>
        <v>setlist</v>
      </c>
      <c r="D475" s="181" t="s">
        <v>54</v>
      </c>
      <c r="E475" s="181" t="s">
        <v>34</v>
      </c>
      <c r="F475" s="107" t="s">
        <v>35</v>
      </c>
      <c r="G475" s="107" t="s">
        <v>36</v>
      </c>
      <c r="H475" s="105" t="str">
        <f>HYPERLINK("http://www.mediafire.com/?29pk3ot9uc9cf", "download link")</f>
        <v>download link</v>
      </c>
      <c r="I475" s="106" t="s">
        <v>3774</v>
      </c>
    </row>
    <row r="476">
      <c r="A476" s="110">
        <v>38759.0</v>
      </c>
      <c r="B476" s="114" t="s">
        <v>32</v>
      </c>
      <c r="C476" s="135" t="str">
        <f>HYPERLINK("http://phish.net/sideshows/guest-appearance/?showid=1355711291", "setlist")</f>
        <v>setlist</v>
      </c>
      <c r="D476" s="183" t="s">
        <v>54</v>
      </c>
      <c r="E476" s="183" t="s">
        <v>34</v>
      </c>
      <c r="F476" s="114" t="s">
        <v>35</v>
      </c>
      <c r="G476" s="114" t="s">
        <v>36</v>
      </c>
      <c r="H476" s="135" t="str">
        <f>HYPERLINK("http://www.mediafire.com/?tvybo8mtt5o80","download link")</f>
        <v>download link</v>
      </c>
      <c r="I476" s="113" t="s">
        <v>3774</v>
      </c>
    </row>
    <row r="477">
      <c r="A477" s="350"/>
      <c r="B477" s="351"/>
      <c r="C477" s="396"/>
      <c r="D477" s="356" t="s">
        <v>3837</v>
      </c>
      <c r="E477" s="350"/>
      <c r="F477" s="351"/>
      <c r="G477" s="351"/>
      <c r="H477" s="351"/>
      <c r="I477" s="350"/>
    </row>
    <row r="478">
      <c r="A478" s="147">
        <v>37400.0</v>
      </c>
      <c r="B478" s="148" t="s">
        <v>32</v>
      </c>
      <c r="C478" s="135" t="str">
        <f>HYPERLINK("http://phish.net/sideshows/guest-appearance/?showid=1328729428","setlist")</f>
        <v>setlist</v>
      </c>
      <c r="D478" s="400" t="s">
        <v>2481</v>
      </c>
      <c r="E478" s="400" t="s">
        <v>683</v>
      </c>
      <c r="F478" s="148" t="s">
        <v>679</v>
      </c>
      <c r="G478" s="148" t="s">
        <v>36</v>
      </c>
      <c r="H478" s="135" t="str">
        <f>HYPERLINK("http://www.mediafire.com/?oi6rey4sw3a11","download link")</f>
        <v>download link</v>
      </c>
      <c r="I478" s="149" t="s">
        <v>3661</v>
      </c>
    </row>
    <row r="479">
      <c r="A479" s="130">
        <v>37407.0</v>
      </c>
      <c r="B479" s="133" t="s">
        <v>32</v>
      </c>
      <c r="C479" s="105" t="str">
        <f>HYPERLINK("http://phish.net/sideshows/guest-appearance/?showid=1327198573","setlist")</f>
        <v>setlist</v>
      </c>
      <c r="D479" s="287" t="s">
        <v>1938</v>
      </c>
      <c r="E479" s="287" t="s">
        <v>1804</v>
      </c>
      <c r="F479" s="133" t="s">
        <v>1805</v>
      </c>
      <c r="G479" s="133" t="s">
        <v>36</v>
      </c>
      <c r="H479" s="105" t="str">
        <f>HYPERLINK("http://www.mediafire.com/?14odku5c804ee","download link")</f>
        <v>download link</v>
      </c>
      <c r="I479" s="132" t="s">
        <v>3661</v>
      </c>
    </row>
    <row r="480">
      <c r="A480" s="110">
        <v>37551.0</v>
      </c>
      <c r="B480" s="114" t="s">
        <v>32</v>
      </c>
      <c r="C480" s="135" t="str">
        <f>HYPERLINK("http://phish.net/sideshows/guest-appearance/?showid=1333510007", "setlist")</f>
        <v>setlist</v>
      </c>
      <c r="D480" s="183" t="s">
        <v>2817</v>
      </c>
      <c r="E480" s="183" t="s">
        <v>854</v>
      </c>
      <c r="F480" s="114" t="s">
        <v>35</v>
      </c>
      <c r="G480" s="114" t="s">
        <v>36</v>
      </c>
      <c r="H480" s="135" t="str">
        <f>HYPERLINK("http://www.mediafire.com/?pderh5dkt1vin","download link")</f>
        <v>download link</v>
      </c>
      <c r="I480" s="113" t="s">
        <v>3670</v>
      </c>
    </row>
    <row r="481">
      <c r="A481" s="350"/>
      <c r="B481" s="351"/>
      <c r="C481" s="396"/>
      <c r="D481" s="356" t="s">
        <v>3991</v>
      </c>
      <c r="E481" s="350"/>
      <c r="F481" s="351"/>
      <c r="G481" s="351"/>
      <c r="H481" s="351"/>
      <c r="I481" s="350"/>
    </row>
    <row r="482">
      <c r="A482" s="147">
        <v>40832.0</v>
      </c>
      <c r="C482" s="135" t="str">
        <f>HYPERLINK("http://phish.net/sideshows/guest-appearance/?d=2011-10-16","setlist")</f>
        <v>setlist</v>
      </c>
      <c r="D482" s="400" t="s">
        <v>2817</v>
      </c>
      <c r="E482" s="149" t="s">
        <v>2826</v>
      </c>
      <c r="F482" s="148" t="s">
        <v>35</v>
      </c>
      <c r="I482" s="149" t="s">
        <v>2998</v>
      </c>
    </row>
    <row r="483">
      <c r="A483" s="350"/>
      <c r="B483" s="351"/>
      <c r="C483" s="396"/>
      <c r="D483" s="356" t="s">
        <v>3849</v>
      </c>
      <c r="E483" s="350"/>
      <c r="F483" s="351"/>
      <c r="G483" s="351"/>
      <c r="H483" s="351"/>
      <c r="I483" s="350"/>
    </row>
    <row r="484">
      <c r="A484" s="147">
        <v>37492.0</v>
      </c>
      <c r="C484" s="135" t="str">
        <f>HYPERLINK("http://phish.net/sideshows/guest-appearance/?d=2002-08-24","setlist")</f>
        <v>setlist</v>
      </c>
      <c r="D484" s="400" t="s">
        <v>3850</v>
      </c>
      <c r="E484" s="400" t="s">
        <v>3851</v>
      </c>
      <c r="F484" s="148" t="s">
        <v>95</v>
      </c>
      <c r="I484" s="149" t="s">
        <v>2885</v>
      </c>
    </row>
    <row r="485">
      <c r="A485" s="350"/>
      <c r="B485" s="351"/>
      <c r="C485" s="396"/>
      <c r="D485" s="356" t="s">
        <v>3742</v>
      </c>
      <c r="E485" s="350"/>
      <c r="F485" s="351"/>
      <c r="G485" s="351"/>
      <c r="H485" s="351"/>
      <c r="I485" s="350"/>
    </row>
    <row r="486">
      <c r="A486" s="147">
        <v>35532.0</v>
      </c>
      <c r="C486" s="135" t="str">
        <f>HYPERLINK("http://phish.net/sideshows/guest-appearance/?d=1997-04-12","setlist")</f>
        <v>setlist</v>
      </c>
      <c r="D486" s="400" t="s">
        <v>3743</v>
      </c>
      <c r="E486" s="400" t="s">
        <v>311</v>
      </c>
      <c r="F486" s="148" t="s">
        <v>129</v>
      </c>
      <c r="I486" s="149" t="s">
        <v>3744</v>
      </c>
    </row>
    <row r="487">
      <c r="A487" s="350"/>
      <c r="B487" s="351"/>
      <c r="C487" s="396"/>
      <c r="D487" s="356" t="s">
        <v>3875</v>
      </c>
      <c r="E487" s="350"/>
      <c r="F487" s="351"/>
      <c r="G487" s="351"/>
      <c r="H487" s="351"/>
      <c r="I487" s="350"/>
    </row>
    <row r="488">
      <c r="A488" s="147">
        <v>37816.0</v>
      </c>
      <c r="C488" s="135" t="str">
        <f>HYPERLINK("http://phish.net/sideshows/guest-appearance/?d=2003-07-14","setlist")</f>
        <v>setlist</v>
      </c>
      <c r="D488" s="400" t="s">
        <v>3876</v>
      </c>
      <c r="E488" s="400" t="s">
        <v>3877</v>
      </c>
      <c r="F488" s="148" t="s">
        <v>3551</v>
      </c>
      <c r="I488" s="149" t="s">
        <v>2920</v>
      </c>
    </row>
    <row r="489">
      <c r="A489" s="130">
        <v>37818.0</v>
      </c>
      <c r="B489" s="131"/>
      <c r="C489" s="105" t="str">
        <f>HYPERLINK("http://phish.net/sideshows/guest-appearance/?d=2003-07-16","setlist")</f>
        <v>setlist</v>
      </c>
      <c r="D489" s="287" t="s">
        <v>3878</v>
      </c>
      <c r="E489" s="287" t="s">
        <v>3879</v>
      </c>
      <c r="F489" s="133" t="s">
        <v>3551</v>
      </c>
      <c r="G489" s="131"/>
      <c r="H489" s="406"/>
      <c r="I489" s="132" t="s">
        <v>3770</v>
      </c>
    </row>
    <row r="490">
      <c r="A490" s="350"/>
      <c r="B490" s="351"/>
      <c r="C490" s="396"/>
      <c r="D490" s="356" t="s">
        <v>3753</v>
      </c>
      <c r="E490" s="350"/>
      <c r="F490" s="351"/>
      <c r="G490" s="351"/>
      <c r="H490" s="351"/>
      <c r="I490" s="350"/>
    </row>
    <row r="491">
      <c r="A491" s="147">
        <v>35722.0</v>
      </c>
      <c r="C491" s="135" t="str">
        <f>HYPERLINK("http://phish.net/sideshows/guest-appearance/?showid=1327626328","setlist")</f>
        <v>setlist</v>
      </c>
      <c r="D491" s="400" t="s">
        <v>860</v>
      </c>
      <c r="E491" s="400" t="s">
        <v>34</v>
      </c>
      <c r="F491" s="148" t="s">
        <v>35</v>
      </c>
      <c r="I491" s="149" t="s">
        <v>3661</v>
      </c>
    </row>
    <row r="492">
      <c r="A492" s="350"/>
      <c r="B492" s="351"/>
      <c r="C492" s="396"/>
      <c r="D492" s="356" t="s">
        <v>3768</v>
      </c>
      <c r="E492" s="350"/>
      <c r="F492" s="351"/>
      <c r="G492" s="351"/>
      <c r="H492" s="351"/>
      <c r="I492" s="350"/>
    </row>
    <row r="493">
      <c r="A493" s="147">
        <v>36136.0</v>
      </c>
      <c r="C493" s="135" t="str">
        <f>HYPERLINK("http://phish.net/sideshows/guest-appearance/?d=1998-12-07","setlist")</f>
        <v>setlist</v>
      </c>
      <c r="D493" s="400" t="s">
        <v>2811</v>
      </c>
      <c r="E493" s="400" t="s">
        <v>34</v>
      </c>
      <c r="F493" s="148" t="s">
        <v>35</v>
      </c>
      <c r="G493" s="148" t="s">
        <v>36</v>
      </c>
      <c r="H493" s="135" t="str">
        <f>HYPERLINK("http://www.mediafire.com/?zixdmdrx1108c","download link")</f>
        <v>download link</v>
      </c>
      <c r="I493" s="149" t="s">
        <v>3720</v>
      </c>
    </row>
    <row r="494">
      <c r="A494" s="103">
        <v>36944.0</v>
      </c>
      <c r="B494" s="107" t="s">
        <v>32</v>
      </c>
      <c r="C494" s="105" t="str">
        <f>HYPERLINK("http://phish.net/sideshows/guest-appearance/?showid=13372196533", "setlist")</f>
        <v>setlist</v>
      </c>
      <c r="D494" s="181" t="s">
        <v>3543</v>
      </c>
      <c r="E494" s="181" t="s">
        <v>311</v>
      </c>
      <c r="F494" s="107" t="s">
        <v>129</v>
      </c>
      <c r="G494" s="107" t="s">
        <v>36</v>
      </c>
      <c r="H494" s="105" t="str">
        <f>HYPERLINK("http://www.mediafire.com/?22u3knszi2n2v", "download link")</f>
        <v>download link</v>
      </c>
      <c r="I494" s="106" t="s">
        <v>3671</v>
      </c>
    </row>
    <row r="495">
      <c r="A495" s="142">
        <v>37863.0</v>
      </c>
      <c r="B495" s="115" t="s">
        <v>32</v>
      </c>
      <c r="C495" s="116" t="str">
        <f>HYPERLINK("http://phish.net/sideshows/guest-appearance/?showid=1333682574", "setlist")</f>
        <v>setlist</v>
      </c>
      <c r="D495" s="272" t="s">
        <v>3882</v>
      </c>
      <c r="E495" s="272" t="s">
        <v>841</v>
      </c>
      <c r="F495" s="115" t="s">
        <v>129</v>
      </c>
      <c r="G495" s="115" t="s">
        <v>36</v>
      </c>
      <c r="H495" s="116" t="str">
        <f>HYPERLINK("http://www.mediafire.com/?fpmuflsfs3flx", "download link")</f>
        <v>download link</v>
      </c>
      <c r="I495" s="118" t="s">
        <v>2998</v>
      </c>
    </row>
    <row r="496">
      <c r="A496" s="380"/>
      <c r="B496" s="381"/>
      <c r="C496" s="366"/>
      <c r="D496" s="356" t="s">
        <v>3986</v>
      </c>
      <c r="E496" s="391"/>
      <c r="F496" s="381"/>
      <c r="G496" s="381"/>
      <c r="H496" s="358"/>
      <c r="I496" s="391"/>
    </row>
    <row r="497">
      <c r="A497" s="110">
        <v>40460.0</v>
      </c>
      <c r="B497" s="111"/>
      <c r="C497" s="135" t="str">
        <f>HYPERLINK("http://phish.net/sideshows/guest-appearance/?showid=1336442546", "setlist")</f>
        <v>setlist</v>
      </c>
      <c r="D497" s="183" t="s">
        <v>2406</v>
      </c>
      <c r="E497" s="113" t="s">
        <v>2407</v>
      </c>
      <c r="F497" s="114" t="s">
        <v>203</v>
      </c>
      <c r="G497" s="114" t="s">
        <v>36</v>
      </c>
      <c r="H497" s="116" t="str">
        <f>HYPERLINK("http://www.mediafire.com/?466fppcadslgq", "download link")</f>
        <v>download link</v>
      </c>
      <c r="I497" s="113" t="s">
        <v>3670</v>
      </c>
    </row>
    <row r="498">
      <c r="A498" s="350"/>
      <c r="B498" s="351"/>
      <c r="C498" s="396"/>
      <c r="D498" s="356" t="s">
        <v>3871</v>
      </c>
      <c r="E498" s="350"/>
      <c r="F498" s="351"/>
      <c r="G498" s="351"/>
      <c r="H498" s="351"/>
      <c r="I498" s="350"/>
    </row>
    <row r="499">
      <c r="A499" s="110">
        <v>37785.0</v>
      </c>
      <c r="B499" s="111"/>
      <c r="C499" s="116" t="str">
        <f>HYPERLINK("http://phish.net/sideshows/guest-appearance/?d=2003-06-13", "setlist")</f>
        <v>setlist</v>
      </c>
      <c r="D499" s="183" t="s">
        <v>2333</v>
      </c>
      <c r="E499" s="183" t="s">
        <v>2332</v>
      </c>
      <c r="F499" s="114" t="s">
        <v>650</v>
      </c>
      <c r="G499" s="114" t="s">
        <v>36</v>
      </c>
      <c r="H499" s="135" t="str">
        <f>HYPERLINK("http://www.mediafire.com/?06j91s41zq5ud","download link")</f>
        <v>download link</v>
      </c>
      <c r="I499" s="113" t="s">
        <v>2998</v>
      </c>
    </row>
    <row r="500">
      <c r="A500" s="130">
        <v>39652.0</v>
      </c>
      <c r="B500" s="260"/>
      <c r="C500" s="105" t="str">
        <f>HYPERLINK("http://phish.net/sideshows/guest-appearance/?d=2008-07-23","setlist")</f>
        <v>setlist</v>
      </c>
      <c r="D500" s="287" t="s">
        <v>2817</v>
      </c>
      <c r="E500" s="132" t="s">
        <v>2826</v>
      </c>
      <c r="F500" s="133" t="s">
        <v>35</v>
      </c>
      <c r="G500" s="133" t="s">
        <v>36</v>
      </c>
      <c r="H500" s="105" t="str">
        <f>HYPERLINK("http://www.mediafire.com/?rhav64pk8ex1v","download link")</f>
        <v>download link</v>
      </c>
      <c r="I500" s="132" t="s">
        <v>2998</v>
      </c>
    </row>
    <row r="501">
      <c r="A501" s="350"/>
      <c r="B501" s="351"/>
      <c r="C501" s="396"/>
      <c r="D501" s="356" t="s">
        <v>3965</v>
      </c>
      <c r="E501" s="350"/>
      <c r="F501" s="351"/>
      <c r="G501" s="351"/>
      <c r="H501" s="351"/>
      <c r="I501" s="350"/>
    </row>
    <row r="502">
      <c r="A502" s="147">
        <v>39555.0</v>
      </c>
      <c r="C502" s="135" t="str">
        <f>HYPERLINK("http://phish.net/sideshows/guest-appearance/?d=2008-04-17","setlist")</f>
        <v>setlist</v>
      </c>
      <c r="D502" s="400" t="s">
        <v>2817</v>
      </c>
      <c r="E502" s="149" t="s">
        <v>2826</v>
      </c>
      <c r="F502" s="148" t="s">
        <v>35</v>
      </c>
      <c r="I502" s="149" t="s">
        <v>2998</v>
      </c>
    </row>
    <row r="503">
      <c r="A503" s="350"/>
      <c r="B503" s="351"/>
      <c r="C503" s="396"/>
      <c r="D503" s="356" t="s">
        <v>3925</v>
      </c>
      <c r="E503" s="350"/>
      <c r="F503" s="351"/>
      <c r="G503" s="351"/>
      <c r="H503" s="351"/>
      <c r="I503" s="350"/>
    </row>
    <row r="504">
      <c r="A504" s="147">
        <v>38668.0</v>
      </c>
      <c r="B504" s="148" t="s">
        <v>32</v>
      </c>
      <c r="C504" s="135" t="str">
        <f>HYPERLINK("http://phish.net/sideshows/guest-appearance/?showid=1327869908","setlist")</f>
        <v>setlist</v>
      </c>
      <c r="D504" s="400" t="s">
        <v>2944</v>
      </c>
      <c r="E504" s="400" t="s">
        <v>363</v>
      </c>
      <c r="F504" s="148" t="s">
        <v>257</v>
      </c>
      <c r="G504" s="148">
        <v>128.0</v>
      </c>
      <c r="H504" s="135" t="str">
        <f>HYPERLINK("http://www.mediafire.com/?aqgv6p8aoo99b","download link")</f>
        <v>download link</v>
      </c>
      <c r="I504" s="149" t="s">
        <v>3661</v>
      </c>
    </row>
    <row r="505">
      <c r="A505" s="381"/>
      <c r="B505" s="381"/>
      <c r="C505" s="366"/>
      <c r="D505" s="383" t="s">
        <v>4042</v>
      </c>
      <c r="E505" s="391"/>
      <c r="F505" s="381"/>
      <c r="G505" s="381"/>
      <c r="H505" s="358"/>
      <c r="I505" s="391"/>
    </row>
    <row r="506">
      <c r="A506" s="110">
        <v>43022.0</v>
      </c>
      <c r="B506" s="111"/>
      <c r="C506" s="135" t="str">
        <f>HYPERLINK("http://phish.net/setlists/mike-gordon-july-27-2016-oak-ridge-farm-arrington-va-usa-2.html", "setlist")</f>
        <v>setlist</v>
      </c>
      <c r="D506" s="269" t="s">
        <v>1330</v>
      </c>
      <c r="E506" s="269" t="s">
        <v>162</v>
      </c>
      <c r="F506" s="139" t="s">
        <v>129</v>
      </c>
      <c r="G506" s="139" t="s">
        <v>36</v>
      </c>
      <c r="H506" s="135" t="str">
        <f>HYPERLINK("http://www.mediafire.com/file/9r6ubawsa5x08g0/2017-10-14_-_Beacon_Theatre_-_New_York%2C_NY.rar","download link")</f>
        <v>download link</v>
      </c>
      <c r="I506" s="269" t="s">
        <v>3670</v>
      </c>
    </row>
    <row r="507">
      <c r="A507" s="150">
        <v>43701.0</v>
      </c>
      <c r="B507" s="156"/>
      <c r="C507" s="116" t="str">
        <f>HYPERLINK("http://phish.net/sideshows/trey-anastasio-band/?d="&amp;RIGHT(TEXT(A446,"mm/dd/yyyy"),4)&amp;"-"&amp;LEFT(TEXT(A446,"mm/dd/yyyy"),2)&amp;"-"&amp;MID(TEXT(A446,"mm/dd/yyyy"),4,2), "setlist")</f>
        <v>setlist</v>
      </c>
      <c r="D507" s="152" t="s">
        <v>2626</v>
      </c>
      <c r="E507" s="152" t="s">
        <v>2627</v>
      </c>
      <c r="F507" s="196" t="s">
        <v>446</v>
      </c>
      <c r="G507" s="196" t="s">
        <v>36</v>
      </c>
      <c r="H507" s="116" t="str">
        <f>HYPERLINK("http://www.mediafire.com/file/9qb7n219g19o6nx/2019-08-24_-_Oak_Ridge_Farm_-_Arrington%252C_VA.rar/file", "download link")</f>
        <v>download link</v>
      </c>
      <c r="I507" s="152" t="s">
        <v>4047</v>
      </c>
    </row>
    <row r="508">
      <c r="A508" s="350"/>
      <c r="B508" s="351"/>
      <c r="C508" s="396"/>
      <c r="D508" s="356" t="s">
        <v>3824</v>
      </c>
      <c r="E508" s="350"/>
      <c r="F508" s="351"/>
      <c r="G508" s="351"/>
      <c r="H508" s="351"/>
      <c r="I508" s="350"/>
    </row>
    <row r="509">
      <c r="A509" s="147">
        <v>37162.0</v>
      </c>
      <c r="B509" s="148" t="s">
        <v>32</v>
      </c>
      <c r="C509" s="135" t="str">
        <f>HYPERLINK("http://phish.net/sideshows/guest-appearance/?d=2001-09-28","setlist")</f>
        <v>setlist</v>
      </c>
      <c r="D509" s="400" t="s">
        <v>2817</v>
      </c>
      <c r="E509" s="400" t="s">
        <v>854</v>
      </c>
      <c r="F509" s="148" t="s">
        <v>35</v>
      </c>
      <c r="G509" s="148" t="s">
        <v>36</v>
      </c>
      <c r="H509" s="135" t="str">
        <f>HYPERLINK("http://www.mediafire.com/?tjzqdkzebbtzv","download link")</f>
        <v>download link</v>
      </c>
      <c r="I509" s="149" t="s">
        <v>2852</v>
      </c>
    </row>
    <row r="510">
      <c r="A510" s="350"/>
      <c r="B510" s="351"/>
      <c r="C510" s="396"/>
      <c r="D510" s="356" t="s">
        <v>3883</v>
      </c>
      <c r="E510" s="350"/>
      <c r="F510" s="351"/>
      <c r="G510" s="351"/>
      <c r="H510" s="351"/>
      <c r="I510" s="350"/>
    </row>
    <row r="511">
      <c r="A511" s="147">
        <v>37890.0</v>
      </c>
      <c r="C511" s="135" t="str">
        <f>HYPERLINK("http://phish.net/sideshows/guest-appearance/?d=2003-09-26","setlist")</f>
        <v>setlist</v>
      </c>
      <c r="D511" s="400" t="s">
        <v>2817</v>
      </c>
      <c r="E511" s="400" t="s">
        <v>854</v>
      </c>
      <c r="F511" s="148" t="s">
        <v>35</v>
      </c>
      <c r="I511" s="149" t="s">
        <v>3661</v>
      </c>
    </row>
    <row r="512">
      <c r="A512" s="350"/>
      <c r="B512" s="351"/>
      <c r="C512" s="396"/>
      <c r="D512" s="356" t="s">
        <v>3778</v>
      </c>
      <c r="E512" s="350"/>
      <c r="F512" s="351"/>
      <c r="G512" s="351"/>
      <c r="H512" s="351"/>
      <c r="I512" s="350"/>
    </row>
    <row r="513">
      <c r="A513" s="147">
        <v>36300.0</v>
      </c>
      <c r="C513" s="135" t="str">
        <f>HYPERLINK("http://phish.net/sideshows/guest-appearance/?d=1999-05-20","setlist")</f>
        <v>setlist</v>
      </c>
      <c r="D513" s="400" t="s">
        <v>500</v>
      </c>
      <c r="E513" s="400" t="s">
        <v>488</v>
      </c>
      <c r="F513" s="148" t="s">
        <v>203</v>
      </c>
      <c r="I513" s="149" t="s">
        <v>3661</v>
      </c>
    </row>
    <row r="514">
      <c r="A514" s="350"/>
      <c r="B514" s="351"/>
      <c r="C514" s="396"/>
      <c r="D514" s="356" t="s">
        <v>3940</v>
      </c>
      <c r="E514" s="350"/>
      <c r="F514" s="351"/>
      <c r="G514" s="351"/>
      <c r="H514" s="351"/>
      <c r="I514" s="350"/>
    </row>
    <row r="515">
      <c r="A515" s="147">
        <v>39032.0</v>
      </c>
      <c r="C515" s="135" t="str">
        <f>HYPERLINK("http://phish.net/sideshows/guest-appearance/?d=2006-11-11","setlist")</f>
        <v>setlist</v>
      </c>
      <c r="D515" s="400" t="s">
        <v>54</v>
      </c>
      <c r="E515" s="149" t="s">
        <v>34</v>
      </c>
      <c r="F515" s="148" t="s">
        <v>35</v>
      </c>
      <c r="I515" s="149" t="s">
        <v>2998</v>
      </c>
    </row>
    <row r="516">
      <c r="A516" s="381"/>
      <c r="B516" s="381"/>
      <c r="C516" s="366"/>
      <c r="D516" s="383" t="s">
        <v>4038</v>
      </c>
      <c r="E516" s="391"/>
      <c r="F516" s="381"/>
      <c r="G516" s="381"/>
      <c r="H516" s="358"/>
      <c r="I516" s="391"/>
    </row>
    <row r="517">
      <c r="A517" s="110">
        <v>42581.0</v>
      </c>
      <c r="B517" s="111"/>
      <c r="C517" s="135" t="str">
        <f>HYPERLINK("http://phish.net/sideshows/page-mcconnell/?d=2016-07-30", "setlist")</f>
        <v>setlist</v>
      </c>
      <c r="D517" s="269" t="s">
        <v>3116</v>
      </c>
      <c r="E517" s="269" t="s">
        <v>34</v>
      </c>
      <c r="F517" s="139" t="s">
        <v>35</v>
      </c>
      <c r="G517" s="139"/>
      <c r="H517" s="270"/>
      <c r="I517" s="269" t="s">
        <v>2812</v>
      </c>
    </row>
    <row r="518">
      <c r="A518" s="350"/>
      <c r="B518" s="351"/>
      <c r="C518" s="396"/>
      <c r="D518" s="356" t="s">
        <v>3981</v>
      </c>
      <c r="E518" s="350"/>
      <c r="F518" s="351"/>
      <c r="G518" s="351"/>
      <c r="H518" s="351"/>
      <c r="I518" s="350"/>
    </row>
    <row r="519">
      <c r="A519" s="147">
        <v>40130.0</v>
      </c>
      <c r="C519" s="135" t="str">
        <f>HYPERLINK("http://phish.net/sideshows/guest-appearance/?d=2009-11-13","setlist")</f>
        <v>setlist</v>
      </c>
      <c r="D519" s="400" t="s">
        <v>2817</v>
      </c>
      <c r="E519" s="149" t="s">
        <v>2826</v>
      </c>
      <c r="F519" s="148" t="s">
        <v>35</v>
      </c>
      <c r="I519" s="149" t="s">
        <v>2998</v>
      </c>
    </row>
    <row r="520">
      <c r="A520" s="350"/>
      <c r="B520" s="351"/>
      <c r="C520" s="396"/>
      <c r="D520" s="356" t="s">
        <v>3941</v>
      </c>
      <c r="E520" s="350"/>
      <c r="F520" s="351"/>
      <c r="G520" s="351"/>
      <c r="H520" s="351"/>
      <c r="I520" s="350"/>
    </row>
    <row r="521">
      <c r="A521" s="147">
        <v>39056.0</v>
      </c>
      <c r="C521" s="135" t="str">
        <f>HYPERLINK("http://phish.net/sideshows/guest-appearance/?d=2006-12-05","setlist")</f>
        <v>setlist</v>
      </c>
      <c r="D521" s="400" t="s">
        <v>2817</v>
      </c>
      <c r="E521" s="149" t="s">
        <v>2826</v>
      </c>
      <c r="F521" s="148" t="s">
        <v>35</v>
      </c>
      <c r="I521" s="149" t="s">
        <v>2998</v>
      </c>
    </row>
    <row r="522">
      <c r="A522" s="350"/>
      <c r="B522" s="351"/>
      <c r="C522" s="396"/>
      <c r="D522" s="356" t="s">
        <v>3764</v>
      </c>
      <c r="E522" s="350"/>
      <c r="F522" s="351"/>
      <c r="G522" s="351"/>
      <c r="H522" s="351"/>
      <c r="I522" s="350"/>
    </row>
    <row r="523">
      <c r="A523" s="147">
        <v>36118.0</v>
      </c>
      <c r="C523" s="135" t="str">
        <f>HYPERLINK("http://phish.net/sideshows/guest-appearance/?showid=1327605745","setlist")</f>
        <v>setlist</v>
      </c>
      <c r="D523" s="400" t="s">
        <v>878</v>
      </c>
      <c r="E523" s="400" t="s">
        <v>879</v>
      </c>
      <c r="F523" s="148" t="s">
        <v>443</v>
      </c>
      <c r="I523" s="149" t="s">
        <v>3765</v>
      </c>
    </row>
    <row r="524">
      <c r="A524" s="350"/>
      <c r="B524" s="351"/>
      <c r="C524" s="396"/>
      <c r="D524" s="356" t="s">
        <v>4074</v>
      </c>
      <c r="E524" s="350"/>
      <c r="F524" s="351"/>
      <c r="G524" s="351"/>
      <c r="H524" s="351"/>
      <c r="I524" s="350"/>
    </row>
    <row r="525">
      <c r="A525" s="147">
        <v>38102.0</v>
      </c>
      <c r="C525" s="135" t="str">
        <f>HYPERLINK("http://phish.net/sideshows/guest-appearance/?showid=1328476924","setlist")</f>
        <v>setlist</v>
      </c>
      <c r="D525" s="400" t="s">
        <v>2817</v>
      </c>
      <c r="E525" s="400" t="s">
        <v>854</v>
      </c>
      <c r="F525" s="148" t="s">
        <v>35</v>
      </c>
      <c r="I525" s="149" t="s">
        <v>3781</v>
      </c>
    </row>
    <row r="526">
      <c r="A526" s="350"/>
      <c r="B526" s="351"/>
      <c r="C526" s="396"/>
      <c r="D526" s="356" t="s">
        <v>3988</v>
      </c>
      <c r="E526" s="350"/>
      <c r="F526" s="351"/>
      <c r="G526" s="351"/>
      <c r="H526" s="351"/>
      <c r="I526" s="350"/>
    </row>
    <row r="527">
      <c r="A527" s="147">
        <v>40799.0</v>
      </c>
      <c r="C527" s="135" t="str">
        <f>HYPERLINK("http://phish.net/sideshows/guest-appearance/?d=2011-09-13","setlist")</f>
        <v>setlist</v>
      </c>
      <c r="D527" s="400" t="s">
        <v>2817</v>
      </c>
      <c r="E527" s="149" t="s">
        <v>2826</v>
      </c>
      <c r="F527" s="148" t="s">
        <v>35</v>
      </c>
      <c r="I527" s="149" t="s">
        <v>2787</v>
      </c>
    </row>
    <row r="528">
      <c r="A528" s="103">
        <v>43078.0</v>
      </c>
      <c r="B528" s="104"/>
      <c r="C528" s="105" t="str">
        <f>HYPERLINK("http://phish.net/setlists/trey-anastasio-december-09-2017-us-cellular-center-asheville-nc-usa-2.html", "setlist")</f>
        <v>setlist</v>
      </c>
      <c r="D528" s="266" t="s">
        <v>3123</v>
      </c>
      <c r="E528" s="266" t="s">
        <v>2327</v>
      </c>
      <c r="F528" s="141" t="s">
        <v>443</v>
      </c>
      <c r="G528" s="141" t="s">
        <v>36</v>
      </c>
      <c r="H528" s="105" t="str">
        <f>HYPERLINK("http://www.mediafire.com/file/v85d9kkt002th9v/2017-12-09_-_U.S._Cellular_Arena_-_Asheville%2C_NC.rar","download link")</f>
        <v>download link</v>
      </c>
      <c r="I528" s="266" t="s">
        <v>3670</v>
      </c>
    </row>
    <row r="529">
      <c r="A529" s="350"/>
      <c r="B529" s="351"/>
      <c r="C529" s="362"/>
      <c r="D529" s="356" t="s">
        <v>3810</v>
      </c>
      <c r="E529" s="350"/>
      <c r="F529" s="351"/>
      <c r="G529" s="351"/>
      <c r="H529" s="351"/>
      <c r="I529" s="350"/>
    </row>
    <row r="530">
      <c r="A530" s="110">
        <v>36891.0</v>
      </c>
      <c r="B530" s="111"/>
      <c r="C530" s="135" t="str">
        <f>HYPERLINK("http://phish.net/sideshows/guest-appearance/?showid=1333329626", "setlist")</f>
        <v>setlist</v>
      </c>
      <c r="D530" s="183" t="s">
        <v>3796</v>
      </c>
      <c r="E530" s="183" t="s">
        <v>2909</v>
      </c>
      <c r="F530" s="114" t="s">
        <v>679</v>
      </c>
      <c r="G530" s="111"/>
      <c r="H530" s="359"/>
      <c r="I530" s="113" t="s">
        <v>2925</v>
      </c>
    </row>
    <row r="531">
      <c r="A531" s="353" t="s">
        <v>2467</v>
      </c>
      <c r="B531" s="351"/>
      <c r="C531" s="396"/>
      <c r="D531" s="356" t="s">
        <v>3685</v>
      </c>
      <c r="E531" s="350"/>
      <c r="F531" s="351"/>
      <c r="G531" s="351"/>
      <c r="H531" s="351"/>
      <c r="I531" s="350"/>
    </row>
    <row r="532">
      <c r="A532" s="147">
        <v>34284.0</v>
      </c>
      <c r="B532" s="148" t="s">
        <v>32</v>
      </c>
      <c r="C532" s="135" t="str">
        <f>HYPERLINK("http://phish.net/sideshows/guest-appearance/?d=1993-11-11","setlist")</f>
        <v>setlist</v>
      </c>
      <c r="D532" s="400" t="s">
        <v>3227</v>
      </c>
      <c r="E532" s="400" t="s">
        <v>911</v>
      </c>
      <c r="F532" s="148" t="s">
        <v>679</v>
      </c>
      <c r="G532" s="148" t="s">
        <v>36</v>
      </c>
      <c r="H532" s="135" t="str">
        <f>HYPERLINK("http://www.mediafire.com/?saxc6ncq2qfn8","download link")</f>
        <v>download link</v>
      </c>
      <c r="I532" s="149" t="s">
        <v>3686</v>
      </c>
    </row>
    <row r="533">
      <c r="A533" s="130">
        <v>34402.0</v>
      </c>
      <c r="B533" s="133" t="s">
        <v>32</v>
      </c>
      <c r="C533" s="105" t="str">
        <f>HYPERLINK("http://phish.net/sideshows/guest-appearance/?showid=1327680374","setlist")</f>
        <v>setlist</v>
      </c>
      <c r="D533" s="287" t="s">
        <v>3222</v>
      </c>
      <c r="E533" s="287" t="s">
        <v>34</v>
      </c>
      <c r="F533" s="133" t="s">
        <v>35</v>
      </c>
      <c r="G533" s="133" t="s">
        <v>36</v>
      </c>
      <c r="H533" s="105" t="str">
        <f>HYPERLINK("http://www.mediafire.com/?6r8p37bzdc8ss","download link")</f>
        <v>download link</v>
      </c>
      <c r="I533" s="132" t="s">
        <v>2885</v>
      </c>
    </row>
    <row r="534">
      <c r="A534" s="147">
        <v>37180.0</v>
      </c>
      <c r="C534" s="135" t="str">
        <f>HYPERLINK("http://phish.net/sideshows/guest-appearance/?showid=1327852685","setlist")</f>
        <v>setlist</v>
      </c>
      <c r="D534" s="400" t="s">
        <v>1306</v>
      </c>
      <c r="E534" s="400" t="s">
        <v>791</v>
      </c>
      <c r="F534" s="148" t="s">
        <v>701</v>
      </c>
      <c r="G534" s="148" t="s">
        <v>36</v>
      </c>
      <c r="H534" s="135" t="str">
        <f>HYPERLINK("http://www.mediafire.com/?68eq0nh37qz6a","download link")</f>
        <v>download link</v>
      </c>
      <c r="I534" s="149" t="s">
        <v>3671</v>
      </c>
    </row>
    <row r="535">
      <c r="A535" s="130">
        <v>37186.0</v>
      </c>
      <c r="B535" s="260"/>
      <c r="C535" s="105" t="str">
        <f>HYPERLINK("http://phish.net/sideshows/guest-appearance/?d=2001-10-22","setlist")</f>
        <v>setlist</v>
      </c>
      <c r="D535" s="287" t="s">
        <v>1913</v>
      </c>
      <c r="E535" s="287" t="s">
        <v>1160</v>
      </c>
      <c r="F535" s="133" t="s">
        <v>805</v>
      </c>
      <c r="G535" s="260"/>
      <c r="H535" s="260"/>
      <c r="I535" s="132" t="s">
        <v>3664</v>
      </c>
    </row>
    <row r="536">
      <c r="A536" s="147">
        <v>38655.0</v>
      </c>
      <c r="C536" s="135" t="str">
        <f>HYPERLINK("http://phish.net/sideshows/guest-appearance/?showid=1327865248","setlist")</f>
        <v>setlist</v>
      </c>
      <c r="D536" s="400" t="s">
        <v>2937</v>
      </c>
      <c r="E536" s="400" t="s">
        <v>1804</v>
      </c>
      <c r="F536" s="148" t="s">
        <v>1805</v>
      </c>
      <c r="G536" s="148" t="s">
        <v>36</v>
      </c>
      <c r="H536" s="135" t="str">
        <f>HYPERLINK("http://www.mediafire.com/?frhkaaiuu4ffl","download link")</f>
        <v>download link</v>
      </c>
      <c r="I536" s="149" t="s">
        <v>3671</v>
      </c>
    </row>
    <row r="537">
      <c r="A537" s="350"/>
      <c r="B537" s="351"/>
      <c r="C537" s="362"/>
      <c r="D537" s="356" t="s">
        <v>4075</v>
      </c>
      <c r="E537" s="350"/>
      <c r="F537" s="351"/>
      <c r="G537" s="351"/>
      <c r="H537" s="351"/>
      <c r="I537" s="350"/>
    </row>
    <row r="538">
      <c r="A538" s="110">
        <v>37901.0</v>
      </c>
      <c r="B538" s="111"/>
      <c r="C538" s="116" t="str">
        <f>HYPERLINK("http://phish.net/sideshows/guest-appearance/?showid=1333678095", "setlist")</f>
        <v>setlist</v>
      </c>
      <c r="D538" s="183" t="s">
        <v>3888</v>
      </c>
      <c r="E538" s="183" t="s">
        <v>488</v>
      </c>
      <c r="F538" s="114" t="s">
        <v>203</v>
      </c>
      <c r="G538" s="111"/>
      <c r="H538" s="359"/>
      <c r="I538" s="113" t="s">
        <v>2787</v>
      </c>
    </row>
    <row r="539">
      <c r="A539" s="103">
        <v>37902.0</v>
      </c>
      <c r="B539" s="104"/>
      <c r="C539" s="105" t="str">
        <f>HYPERLINK("http://phish.net/sideshows/guest-appearance/?showid=1333678312", "setlist")</f>
        <v>setlist</v>
      </c>
      <c r="D539" s="181" t="s">
        <v>3889</v>
      </c>
      <c r="E539" s="181" t="s">
        <v>488</v>
      </c>
      <c r="F539" s="107" t="s">
        <v>203</v>
      </c>
      <c r="G539" s="104"/>
      <c r="H539" s="360"/>
      <c r="I539" s="106" t="s">
        <v>2787</v>
      </c>
    </row>
    <row r="540">
      <c r="A540" s="350"/>
      <c r="B540" s="351"/>
      <c r="C540" s="396"/>
      <c r="D540" s="356" t="s">
        <v>3958</v>
      </c>
      <c r="E540" s="350"/>
      <c r="F540" s="351"/>
      <c r="G540" s="351"/>
      <c r="H540" s="351"/>
      <c r="I540" s="350"/>
    </row>
    <row r="541">
      <c r="A541" s="147">
        <v>39478.0</v>
      </c>
      <c r="B541" s="148" t="s">
        <v>32</v>
      </c>
      <c r="C541" s="135" t="str">
        <f>HYPERLINK("http://phish.net/sideshows/guest-appearance/?d=2008-01-31","setlist")</f>
        <v>setlist</v>
      </c>
      <c r="D541" s="400" t="s">
        <v>54</v>
      </c>
      <c r="E541" s="149" t="s">
        <v>34</v>
      </c>
      <c r="F541" s="148" t="s">
        <v>35</v>
      </c>
      <c r="G541" s="148" t="s">
        <v>36</v>
      </c>
      <c r="H541" s="135" t="str">
        <f>HYPERLINK("http://www.mediafire.com/?dj9m1srjj97vs","download link")</f>
        <v>download link</v>
      </c>
      <c r="I541" s="149" t="s">
        <v>2998</v>
      </c>
    </row>
    <row r="542">
      <c r="A542" s="350"/>
      <c r="B542" s="351"/>
      <c r="C542" s="396"/>
      <c r="D542" s="356" t="s">
        <v>3917</v>
      </c>
      <c r="E542" s="350"/>
      <c r="F542" s="351"/>
      <c r="G542" s="351"/>
      <c r="H542" s="351"/>
      <c r="I542" s="350"/>
    </row>
    <row r="543">
      <c r="A543" s="147">
        <v>38527.0</v>
      </c>
      <c r="C543" s="135" t="str">
        <f>HYPERLINK("http://phish.net/sideshows/guest-appearance/?showid=1327845049","setlist")</f>
        <v>setlist</v>
      </c>
      <c r="D543" s="400" t="s">
        <v>3246</v>
      </c>
      <c r="E543" s="400" t="s">
        <v>3247</v>
      </c>
      <c r="F543" s="148" t="s">
        <v>692</v>
      </c>
      <c r="G543" s="148" t="s">
        <v>36</v>
      </c>
      <c r="H543" s="135" t="str">
        <f>HYPERLINK("http://www.mediafire.com/?2dd3ugg72n1dm","download link")</f>
        <v>download link</v>
      </c>
      <c r="I543" s="149" t="s">
        <v>3718</v>
      </c>
    </row>
    <row r="544">
      <c r="A544" s="103">
        <v>39326.0</v>
      </c>
      <c r="B544" s="104"/>
      <c r="C544" s="105" t="str">
        <f>HYPERLINK("http://phish.net/sideshows/guest-appearance/?d=2007-09-01", "setlist")</f>
        <v>setlist</v>
      </c>
      <c r="D544" s="181" t="s">
        <v>897</v>
      </c>
      <c r="E544" s="181" t="s">
        <v>488</v>
      </c>
      <c r="F544" s="107" t="s">
        <v>203</v>
      </c>
      <c r="G544" s="107" t="s">
        <v>36</v>
      </c>
      <c r="H544" s="105" t="str">
        <f>HYPERLINK("http://www.mediafire.com/?3qdqhh59msc7p", "download link")</f>
        <v>download link</v>
      </c>
      <c r="I544" s="181" t="s">
        <v>3944</v>
      </c>
    </row>
    <row r="545">
      <c r="A545" s="142">
        <v>39327.0</v>
      </c>
      <c r="B545" s="144"/>
      <c r="C545" s="116" t="str">
        <f>HYPERLINK("http://phish.net/sideshows/guest-appearance/?d=2007-09-02", "setlist")</f>
        <v>setlist</v>
      </c>
      <c r="D545" s="272" t="s">
        <v>1297</v>
      </c>
      <c r="E545" s="272" t="s">
        <v>1298</v>
      </c>
      <c r="F545" s="115" t="s">
        <v>203</v>
      </c>
      <c r="G545" s="115" t="s">
        <v>36</v>
      </c>
      <c r="H545" s="116" t="str">
        <f>HYPERLINK("http://www.mediafire.com/?fct8faiocjc86", "download link")</f>
        <v>download link</v>
      </c>
      <c r="I545" s="272" t="s">
        <v>3945</v>
      </c>
    </row>
    <row r="546">
      <c r="A546" s="103">
        <v>39361.0</v>
      </c>
      <c r="B546" s="104"/>
      <c r="C546" s="105" t="str">
        <f>HYPERLINK("http://phish.net/sideshows/guest-appearance/?d=2007-10-06", "setlist")</f>
        <v>setlist</v>
      </c>
      <c r="D546" s="181" t="s">
        <v>3948</v>
      </c>
      <c r="E546" s="181" t="s">
        <v>479</v>
      </c>
      <c r="F546" s="107" t="s">
        <v>480</v>
      </c>
      <c r="G546" s="107" t="s">
        <v>36</v>
      </c>
      <c r="H546" s="105" t="str">
        <f>HYPERLINK("http://www.mediafire.com/?3v0e1fb7y48mj", "download link")</f>
        <v>download link</v>
      </c>
      <c r="I546" s="181" t="s">
        <v>3949</v>
      </c>
    </row>
    <row r="547">
      <c r="A547" s="142">
        <v>39498.0</v>
      </c>
      <c r="B547" s="144"/>
      <c r="C547" s="135" t="str">
        <f>HYPERLINK("http://phish.net/sideshows/guest-appearance/?d=2008-02-20", "setlist")</f>
        <v>setlist</v>
      </c>
      <c r="D547" s="272" t="s">
        <v>3039</v>
      </c>
      <c r="E547" s="272" t="s">
        <v>471</v>
      </c>
      <c r="F547" s="115" t="s">
        <v>472</v>
      </c>
      <c r="G547" s="115" t="s">
        <v>36</v>
      </c>
      <c r="H547" s="116" t="str">
        <f>HYPERLINK("http://www.mediafire.com/?i48a0o77jee9e", "download link")</f>
        <v>download link</v>
      </c>
      <c r="I547" s="272" t="s">
        <v>3963</v>
      </c>
    </row>
    <row r="548">
      <c r="A548" s="103">
        <v>39499.0</v>
      </c>
      <c r="B548" s="104"/>
      <c r="C548" s="105" t="str">
        <f>HYPERLINK("http://phish.net/sideshows/guest-appearance/?d=2008-02-21", "setlist")</f>
        <v>setlist</v>
      </c>
      <c r="D548" s="181" t="s">
        <v>3964</v>
      </c>
      <c r="E548" s="181" t="s">
        <v>2327</v>
      </c>
      <c r="F548" s="107" t="s">
        <v>443</v>
      </c>
      <c r="G548" s="107" t="s">
        <v>36</v>
      </c>
      <c r="H548" s="105" t="str">
        <f>HYPERLINK("http://www.mediafire.com/?5zd6ndmtkklky", "download link")</f>
        <v>download link</v>
      </c>
      <c r="I548" s="181" t="s">
        <v>3963</v>
      </c>
    </row>
    <row r="549">
      <c r="A549" s="142">
        <v>39556.0</v>
      </c>
      <c r="B549" s="144"/>
      <c r="C549" s="135" t="str">
        <f>HYPERLINK("http://phish.net/sideshows/guest-appearance/?d=2008-04-18", "setlist")</f>
        <v>setlist</v>
      </c>
      <c r="D549" s="272" t="s">
        <v>914</v>
      </c>
      <c r="E549" s="272" t="s">
        <v>683</v>
      </c>
      <c r="F549" s="115" t="s">
        <v>679</v>
      </c>
      <c r="G549" s="115" t="s">
        <v>36</v>
      </c>
      <c r="H549" s="116" t="str">
        <f>HYPERLINK("http://www.mediafire.com/?vesp5bv7x3m3m", "download link")</f>
        <v>download link</v>
      </c>
      <c r="I549" s="272" t="s">
        <v>3966</v>
      </c>
    </row>
    <row r="550">
      <c r="A550" s="103">
        <v>39633.0</v>
      </c>
      <c r="B550" s="104"/>
      <c r="C550" s="105" t="str">
        <f>HYPERLINK("http://phish.net/sideshows/guest-appearance/?showid=1335924960", "setlist")</f>
        <v>setlist</v>
      </c>
      <c r="D550" s="181" t="s">
        <v>3009</v>
      </c>
      <c r="E550" s="181" t="s">
        <v>3010</v>
      </c>
      <c r="F550" s="107" t="s">
        <v>712</v>
      </c>
      <c r="G550" s="107" t="s">
        <v>36</v>
      </c>
      <c r="H550" s="105" t="str">
        <f>HYPERLINK("http://www.mediafire.com/?pwm2xkfdk8qk6", "download link")</f>
        <v>download link</v>
      </c>
      <c r="I550" s="181" t="s">
        <v>3973</v>
      </c>
    </row>
    <row r="551">
      <c r="A551" s="110">
        <v>39731.0</v>
      </c>
      <c r="B551" s="111"/>
      <c r="C551" s="135" t="str">
        <f>HYPERLINK("http://phish.net/sideshows/guest-appearance/?d=2008-10-10", "setlist")</f>
        <v>setlist</v>
      </c>
      <c r="D551" s="183" t="s">
        <v>3976</v>
      </c>
      <c r="E551" s="183" t="s">
        <v>162</v>
      </c>
      <c r="F551" s="114" t="s">
        <v>129</v>
      </c>
      <c r="G551" s="114" t="s">
        <v>36</v>
      </c>
      <c r="H551" s="135" t="str">
        <f>HYPERLINK("http://www.mediafire.com/?vru2vobc0s7ob", "download link")</f>
        <v>download link</v>
      </c>
      <c r="I551" s="183" t="s">
        <v>3945</v>
      </c>
    </row>
    <row r="552">
      <c r="A552" s="103">
        <v>39732.0</v>
      </c>
      <c r="B552" s="104"/>
      <c r="C552" s="105" t="str">
        <f>HYPERLINK("http://phish.net/sideshows/guest-appearance/?showid=1335961341", "setlist")</f>
        <v>setlist</v>
      </c>
      <c r="D552" s="181" t="s">
        <v>2903</v>
      </c>
      <c r="E552" s="181" t="s">
        <v>871</v>
      </c>
      <c r="F552" s="107" t="s">
        <v>212</v>
      </c>
      <c r="G552" s="107" t="s">
        <v>36</v>
      </c>
      <c r="H552" s="105" t="str">
        <f>HYPERLINK("http://www.mediafire.com/?haw8td4un5oag", "download link")</f>
        <v>download link</v>
      </c>
      <c r="I552" s="181" t="s">
        <v>3977</v>
      </c>
    </row>
    <row r="553">
      <c r="A553" s="110">
        <v>40460.0</v>
      </c>
      <c r="B553" s="111"/>
      <c r="C553" s="135" t="str">
        <f>HYPERLINK("http://phish.net/sideshows/guest-appearance/?showid=1336441730", "setlist")</f>
        <v>setlist</v>
      </c>
      <c r="D553" s="183" t="s">
        <v>2406</v>
      </c>
      <c r="E553" s="113" t="s">
        <v>2407</v>
      </c>
      <c r="F553" s="114" t="s">
        <v>203</v>
      </c>
      <c r="G553" s="151" t="s">
        <v>36</v>
      </c>
      <c r="H553" s="116" t="str">
        <f>HYPERLINK("http://www.mediafire.com/?62cgeunu6jxe0", "download link")</f>
        <v>download link</v>
      </c>
      <c r="I553" s="113" t="s">
        <v>3973</v>
      </c>
    </row>
    <row r="554">
      <c r="A554" s="350"/>
      <c r="B554" s="351"/>
      <c r="C554" s="362"/>
      <c r="D554" s="356" t="s">
        <v>3829</v>
      </c>
      <c r="E554" s="350"/>
      <c r="F554" s="351"/>
      <c r="G554" s="351"/>
      <c r="H554" s="351"/>
      <c r="I554" s="350"/>
    </row>
    <row r="555">
      <c r="A555" s="110">
        <v>37247.0</v>
      </c>
      <c r="B555" s="111"/>
      <c r="C555" s="116" t="str">
        <f>HYPERLINK("http://phish.net/sideshows/guest-appearance/?d=2001-12-22", "setlist")</f>
        <v>setlist</v>
      </c>
      <c r="D555" s="183" t="s">
        <v>761</v>
      </c>
      <c r="E555" s="183" t="s">
        <v>437</v>
      </c>
      <c r="F555" s="114" t="s">
        <v>433</v>
      </c>
      <c r="G555" s="111"/>
      <c r="H555" s="359"/>
      <c r="I555" s="113" t="s">
        <v>3770</v>
      </c>
    </row>
    <row r="556">
      <c r="A556" s="350"/>
      <c r="B556" s="351"/>
      <c r="C556" s="396"/>
      <c r="D556" s="356" t="s">
        <v>3840</v>
      </c>
      <c r="E556" s="350"/>
      <c r="F556" s="351"/>
      <c r="G556" s="351"/>
      <c r="H556" s="351"/>
      <c r="I556" s="350"/>
    </row>
    <row r="557">
      <c r="A557" s="147">
        <v>37406.0</v>
      </c>
      <c r="C557" s="135" t="str">
        <f>HYPERLINK("http://phish.net/sideshows/guest-appearance/?d=2002-05-30","setlist")</f>
        <v>setlist</v>
      </c>
      <c r="D557" s="400" t="s">
        <v>3841</v>
      </c>
      <c r="E557" s="400" t="s">
        <v>162</v>
      </c>
      <c r="F557" s="148" t="s">
        <v>129</v>
      </c>
      <c r="I557" s="149" t="s">
        <v>3842</v>
      </c>
    </row>
    <row r="558">
      <c r="A558" s="130">
        <v>37407.0</v>
      </c>
      <c r="B558" s="260"/>
      <c r="C558" s="105" t="str">
        <f>HYPERLINK("http://phish.net/sideshows/guest-appearance/?showid=1327211402","setlist")</f>
        <v>setlist</v>
      </c>
      <c r="D558" s="287" t="s">
        <v>3841</v>
      </c>
      <c r="E558" s="287" t="s">
        <v>162</v>
      </c>
      <c r="F558" s="133" t="s">
        <v>129</v>
      </c>
      <c r="G558" s="260"/>
      <c r="H558" s="260"/>
      <c r="I558" s="132" t="s">
        <v>2925</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54.0"/>
    <col customWidth="1" min="5" max="5" width="5.0"/>
    <col customWidth="1" min="6" max="6" width="13.38"/>
    <col customWidth="1" min="7" max="7" width="79.13"/>
  </cols>
  <sheetData>
    <row r="1">
      <c r="A1" s="77"/>
      <c r="B1" s="78"/>
      <c r="C1" s="237"/>
      <c r="D1" s="237"/>
      <c r="E1" s="78"/>
      <c r="F1" s="293"/>
      <c r="G1" s="237"/>
    </row>
    <row r="2">
      <c r="A2" s="83" t="s">
        <v>22</v>
      </c>
      <c r="B2" s="60" t="s">
        <v>23</v>
      </c>
      <c r="C2" s="60" t="s">
        <v>24</v>
      </c>
      <c r="D2" s="254" t="s">
        <v>25</v>
      </c>
      <c r="E2" s="254" t="s">
        <v>28</v>
      </c>
      <c r="F2" s="60" t="s">
        <v>29</v>
      </c>
      <c r="G2" s="85" t="s">
        <v>31</v>
      </c>
    </row>
    <row r="3">
      <c r="A3" s="86"/>
      <c r="B3" s="87"/>
      <c r="C3" s="3"/>
      <c r="D3" s="3"/>
      <c r="E3" s="87"/>
      <c r="F3" s="88"/>
      <c r="G3" s="3"/>
    </row>
    <row r="4">
      <c r="A4" s="407"/>
      <c r="B4" s="408"/>
      <c r="C4" s="409"/>
      <c r="D4" s="254" t="s">
        <v>4076</v>
      </c>
      <c r="E4" s="65"/>
      <c r="F4" s="94"/>
      <c r="G4" s="268"/>
    </row>
    <row r="5">
      <c r="A5" s="125">
        <v>35292.0</v>
      </c>
      <c r="B5" s="127" t="s">
        <v>32</v>
      </c>
      <c r="C5" s="98" t="str">
        <f>HYPERLINK("https://docs.google.com/spreadsheets/d/1zrRoEr3nEQd0z3bPEwUNqiwTsyR1uZb5j4ibHjEhS_c/pubhtml", "setlist")</f>
        <v>setlist</v>
      </c>
      <c r="D5" s="179" t="s">
        <v>4077</v>
      </c>
      <c r="E5" s="127" t="s">
        <v>36</v>
      </c>
      <c r="F5" s="98" t="str">
        <f>HYPERLINK("http://www.mediafire.com/download/7323zpixbvsxele/From_the_Archives,_Vol._01,_part_1_-_The_Clifford_Ball_(8.15.1996).rar", "download link")</f>
        <v>download link</v>
      </c>
      <c r="G5" s="265"/>
    </row>
    <row r="6">
      <c r="A6" s="103">
        <v>35292.0</v>
      </c>
      <c r="B6" s="107" t="s">
        <v>32</v>
      </c>
      <c r="C6" s="105" t="str">
        <f>HYPERLINK("https://docs.google.com/spreadsheets/d/11RDlX5N3Id5QJAwmcOzf9d30t8eN5Ht7XG3-3B8Tt0I/pubhtml", "setlist")</f>
        <v>setlist</v>
      </c>
      <c r="D6" s="181" t="s">
        <v>4078</v>
      </c>
      <c r="E6" s="107" t="s">
        <v>36</v>
      </c>
      <c r="F6" s="105" t="str">
        <f>HYPERLINK("http://www.mediafire.com/download/g74nbmgh0hdlpoj/From_the_Archives,_Vol._01,_part_2_-_The_Clifford_Ball_(8.15.1996).rar", "download link")</f>
        <v>download link</v>
      </c>
      <c r="G6" s="260"/>
    </row>
    <row r="7">
      <c r="A7" s="142">
        <v>35657.0</v>
      </c>
      <c r="B7" s="115" t="s">
        <v>32</v>
      </c>
      <c r="C7" s="116" t="str">
        <f>HYPERLINK("https://docs.google.com/spreadsheets/d/1-9xHN-EeN2MEhRSN21RsO5_OUEdvOgpiuAlPMQ9RNGQ/pubhtml", "setlist")</f>
        <v>setlist</v>
      </c>
      <c r="D7" s="272" t="s">
        <v>4079</v>
      </c>
      <c r="E7" s="115" t="s">
        <v>36</v>
      </c>
      <c r="F7" s="116" t="str">
        <f>HYPERLINK("http://www.mediafire.com/download/qpc1suaxio2yonj/From_the_Archives,_Vol._02,_part_1_-_The_Great_Went_(8.15.1997).rar", "download link")</f>
        <v>download link</v>
      </c>
      <c r="G7" s="273"/>
    </row>
    <row r="8">
      <c r="A8" s="103">
        <v>35658.0</v>
      </c>
      <c r="B8" s="107" t="s">
        <v>32</v>
      </c>
      <c r="C8" s="105" t="str">
        <f>HYPERLINK("https://docs.google.com/spreadsheets/d/1HZZXLUeIf_REA9PrJrZARNS0UqZIogTjccrpEAzkMHk/pubhtml", "setlist")</f>
        <v>setlist</v>
      </c>
      <c r="D8" s="181" t="s">
        <v>4080</v>
      </c>
      <c r="E8" s="107" t="s">
        <v>36</v>
      </c>
      <c r="F8" s="105" t="str">
        <f>HYPERLINK("http://www.mediafire.com/download/5hyadiup11sihsa/From_the_Archives,_Vol._02,_part_2_-_The_Great_Went_(8.16.1997).rar", "download link")</f>
        <v>download link</v>
      </c>
      <c r="G8" s="260"/>
    </row>
    <row r="9">
      <c r="A9" s="142">
        <v>36021.0</v>
      </c>
      <c r="B9" s="115" t="s">
        <v>32</v>
      </c>
      <c r="C9" s="116" t="str">
        <f>HYPERLINK("https://docs.google.com/spreadsheets/d/1ykLOwfSKCUjd5l1dOatrFa2giACfcv7tNndGmp1AKYI/pubhtml", "setlist")</f>
        <v>setlist</v>
      </c>
      <c r="D9" s="272" t="s">
        <v>4081</v>
      </c>
      <c r="E9" s="115" t="s">
        <v>36</v>
      </c>
      <c r="F9" s="116" t="str">
        <f>HYPERLINK("http://www.mediafire.com/download/949nay57j513w8h/From_the_Archives,_Vol._03,_part_1_-_Lemonwheel_(8.14.1998).rar", "download link")</f>
        <v>download link</v>
      </c>
      <c r="G9" s="273"/>
    </row>
    <row r="10">
      <c r="A10" s="103">
        <v>36022.0</v>
      </c>
      <c r="B10" s="107" t="s">
        <v>32</v>
      </c>
      <c r="C10" s="105" t="str">
        <f>HYPERLINK("https://docs.google.com/spreadsheets/d/1Jeyl0QqAKAS6XvZ4nm4GNLEvQn5sQYk94vi5azZvmug/pubhtml", "setlist")</f>
        <v>setlist</v>
      </c>
      <c r="D10" s="181" t="s">
        <v>4082</v>
      </c>
      <c r="E10" s="107" t="s">
        <v>36</v>
      </c>
      <c r="F10" s="105" t="str">
        <f>HYPERLINK("http://www.mediafire.com/download/4uosam9q5opunfo/From_the_Archives,_Vol._03,_part_2_-_Lemonwheel_(8.15.1998).rar", "download link")</f>
        <v>download link</v>
      </c>
      <c r="G10" s="260"/>
    </row>
    <row r="11">
      <c r="A11" s="142">
        <v>36523.0</v>
      </c>
      <c r="B11" s="115" t="s">
        <v>32</v>
      </c>
      <c r="C11" s="116" t="str">
        <f>HYPERLINK("https://docs.google.com/spreadsheets/d/1BQ3GeJ_1YWcrd4_puYGXPX53xtlxo_Omn7YOS0D-qn4/pubhtml", "setlist")</f>
        <v>setlist</v>
      </c>
      <c r="D11" s="272" t="s">
        <v>4083</v>
      </c>
      <c r="E11" s="115" t="s">
        <v>36</v>
      </c>
      <c r="F11" s="116" t="str">
        <f>HYPERLINK("http://www.mediafire.com/download/9xcfiebqlw7z4ju/From_the_Archives,_Vol._04,_part_1_-_Big_Cypress_(12.29.1999).rar", "download link")</f>
        <v>download link</v>
      </c>
      <c r="G11" s="273"/>
    </row>
    <row r="12">
      <c r="A12" s="103">
        <v>36525.0</v>
      </c>
      <c r="B12" s="107" t="s">
        <v>32</v>
      </c>
      <c r="C12" s="105" t="str">
        <f>HYPERLINK("https://docs.google.com/spreadsheets/d/1GvK1whu4p-6vcLV7cLMQlcx6w2Rqo69a7rxZcNtNkb4/pubhtml", "setlist")</f>
        <v>setlist</v>
      </c>
      <c r="D12" s="181" t="s">
        <v>4084</v>
      </c>
      <c r="E12" s="107" t="s">
        <v>36</v>
      </c>
      <c r="F12" s="105" t="str">
        <f>HYPERLINK("http://www.mediafire.com/download/nco6ok3kuykomoi/From_the_Archives,_Vol._04,_part_2_-_Big_Cypress_(12.31.1999).rar", "download link")</f>
        <v>download link</v>
      </c>
      <c r="G12" s="260"/>
    </row>
    <row r="13">
      <c r="A13" s="142">
        <v>37835.0</v>
      </c>
      <c r="B13" s="115" t="s">
        <v>32</v>
      </c>
      <c r="C13" s="116" t="str">
        <f>HYPERLINK("https://docs.google.com/spreadsheets/d/1OvhnZpEfg2m6AYTXN3aI12yq68GzidnHFTuULlfeSZ8/pubhtml", "setlist")</f>
        <v>setlist</v>
      </c>
      <c r="D13" s="272" t="s">
        <v>4085</v>
      </c>
      <c r="E13" s="115" t="s">
        <v>36</v>
      </c>
      <c r="F13" s="116" t="str">
        <f>HYPERLINK("http://www.mediafire.com/download/1tuuhev5mll3iad/From_the_Archives,_Vol._05,_part_1_-_IT_(8.2.2003).rar", "download link")</f>
        <v>download link</v>
      </c>
      <c r="G13" s="273"/>
    </row>
    <row r="14">
      <c r="A14" s="103">
        <v>37835.0</v>
      </c>
      <c r="B14" s="107" t="s">
        <v>32</v>
      </c>
      <c r="C14" s="105" t="str">
        <f>HYPERLINK("https://docs.google.com/spreadsheets/d/10j1pUMjrfLwZs2M4l1CZFrty4izSV8nljKx3Hd_eE60/pubhtml", "setlist")</f>
        <v>setlist</v>
      </c>
      <c r="D14" s="181" t="s">
        <v>4086</v>
      </c>
      <c r="E14" s="107" t="s">
        <v>36</v>
      </c>
      <c r="F14" s="105" t="str">
        <f>HYPERLINK("http://www.mediafire.com/download/5doz2xohjpj4367/From_the_Archives,_Vol._05,_part_2_-_IT_(8.2.2003).rar", "download link")</f>
        <v>download link</v>
      </c>
      <c r="G14" s="260"/>
    </row>
    <row r="15">
      <c r="A15" s="142">
        <v>38212.0</v>
      </c>
      <c r="B15" s="115" t="s">
        <v>32</v>
      </c>
      <c r="C15" s="116" t="str">
        <f>HYPERLINK("https://docs.google.com/spreadsheets/d/1e5qyiX6vZnP76tJnRP0ZV825R_BvtKNwxbmox6xX0FA/pubhtml", "setlist")</f>
        <v>setlist</v>
      </c>
      <c r="D15" s="272" t="s">
        <v>4087</v>
      </c>
      <c r="E15" s="115" t="s">
        <v>36</v>
      </c>
      <c r="F15" s="116" t="str">
        <f>HYPERLINK("http://www.mediafire.com/download/dbsdsawabqn3hgy/From_the_Archives,_Vol._06,_part_1_-_Coventry_(8.13.2004).rar", "download link")</f>
        <v>download link</v>
      </c>
      <c r="G15" s="273"/>
    </row>
    <row r="16">
      <c r="A16" s="103">
        <v>38213.0</v>
      </c>
      <c r="B16" s="107" t="s">
        <v>32</v>
      </c>
      <c r="C16" s="105" t="str">
        <f>HYPERLINK("https://docs.google.com/spreadsheets/d/1MNXBS6oedLYiB1a92RdgCmr6b4oUgo0UsJo-A1R3FbE/pubhtml", "setlist")</f>
        <v>setlist</v>
      </c>
      <c r="D16" s="181" t="s">
        <v>4088</v>
      </c>
      <c r="E16" s="107" t="s">
        <v>36</v>
      </c>
      <c r="F16" s="105" t="str">
        <f>HYPERLINK("http://www.mediafire.com/download/hskz9xx5d32egsd/From_the_Archives,_Vol._06,_part_2_-_Coventry_(8.14.2004).rar", "download link")</f>
        <v>download link</v>
      </c>
      <c r="G16" s="260"/>
    </row>
    <row r="17">
      <c r="A17" s="142">
        <v>38214.0</v>
      </c>
      <c r="B17" s="115" t="s">
        <v>32</v>
      </c>
      <c r="C17" s="116" t="str">
        <f>HYPERLINK("https://docs.google.com/spreadsheets/d/1QeT-SlEq3Kvo28WcuP5WK0Waq206xwSxTkHmvgJ9C0o/pubhtml", "setlist")</f>
        <v>setlist</v>
      </c>
      <c r="D17" s="272" t="s">
        <v>4089</v>
      </c>
      <c r="E17" s="115" t="s">
        <v>36</v>
      </c>
      <c r="F17" s="116" t="str">
        <f>HYPERLINK("http://www.mediafire.com/download/pj7nhgyh9aw4ra8/From_the_Archives,_Vol._06,_part_3_-_Coventry_(8.15.2004).rar", "download link")</f>
        <v>download link</v>
      </c>
      <c r="G17" s="273"/>
    </row>
    <row r="18">
      <c r="A18" s="103">
        <v>38807.0</v>
      </c>
      <c r="B18" s="104"/>
      <c r="C18" s="105" t="str">
        <f>HYPERLINK("https://docs.google.com/spreadsheets/d/11KNVg0AzjYUH5eNGM7LMimEsjIKGzHlMfP1FSOmfWhY/pubhtml", "setlist")</f>
        <v>setlist</v>
      </c>
      <c r="D18" s="181" t="s">
        <v>4090</v>
      </c>
      <c r="E18" s="104"/>
      <c r="F18" s="108"/>
      <c r="G18" s="260"/>
    </row>
    <row r="19">
      <c r="A19" s="142">
        <v>38822.0</v>
      </c>
      <c r="B19" s="144"/>
      <c r="C19" s="116" t="str">
        <f>HYPERLINK("https://docs.google.com/spreadsheets/d/17zLwi64ODELERfjmE893oVLcpDBJseQZfR8aJdIW5x0/pubhtml", "setlist")</f>
        <v>setlist</v>
      </c>
      <c r="D19" s="272" t="s">
        <v>4091</v>
      </c>
      <c r="E19" s="144"/>
      <c r="F19" s="145"/>
      <c r="G19" s="273"/>
    </row>
    <row r="20">
      <c r="A20" s="103">
        <v>38823.0</v>
      </c>
      <c r="B20" s="104"/>
      <c r="C20" s="105" t="str">
        <f>HYPERLINK("https://docs.google.com/spreadsheets/d/17Oc39bgzd05gsYetZzP4vW07VcCUXKVwl3kldsliqqw/pubhtml", "setlist")</f>
        <v>setlist</v>
      </c>
      <c r="D20" s="181" t="s">
        <v>4092</v>
      </c>
      <c r="E20" s="104"/>
      <c r="F20" s="108"/>
      <c r="G20" s="260"/>
    </row>
    <row r="21">
      <c r="A21" s="142">
        <v>38824.0</v>
      </c>
      <c r="B21" s="144"/>
      <c r="C21" s="116" t="str">
        <f>HYPERLINK("https://docs.google.com/spreadsheets/d/13R74ubRJmIKSt8hwLT2FK2FTNm1NSXLo7TPe9U9-62k/pubhtml", "setlist")</f>
        <v>setlist</v>
      </c>
      <c r="D21" s="272" t="s">
        <v>4093</v>
      </c>
      <c r="E21" s="144"/>
      <c r="F21" s="145"/>
      <c r="G21" s="273"/>
    </row>
    <row r="22">
      <c r="A22" s="103">
        <v>39436.0</v>
      </c>
      <c r="B22" s="107" t="s">
        <v>32</v>
      </c>
      <c r="C22" s="105" t="str">
        <f>HYPERLINK("https://docs.google.com/spreadsheets/d/1U7Qb_lSr-VhL_FtrIftrgVopdo-UZZ6HQPn0Bwa9hZ0/pubhtml", "setlist")</f>
        <v>setlist</v>
      </c>
      <c r="D22" s="181" t="s">
        <v>4094</v>
      </c>
      <c r="E22" s="107">
        <v>128.0</v>
      </c>
      <c r="F22" s="105" t="str">
        <f>HYPERLINK("http://www.mediafire.com/download/iz9w4lztnzo77dy/From_the_Archives,_Vol._11_-_LivePhish.com_5th_Anniversary_(12.20.2007).rar", "download link")</f>
        <v>download link</v>
      </c>
      <c r="G22" s="410"/>
    </row>
    <row r="23">
      <c r="A23" s="142">
        <v>39680.0</v>
      </c>
      <c r="B23" s="115" t="s">
        <v>32</v>
      </c>
      <c r="C23" s="116" t="str">
        <f>HYPERLINK("https://docs.google.com/spreadsheets/d/1VR6QqjBBogoLp4qjOhov_XuicFB-r3BvvCm6ft6IypY/pubhtml", "setlist")</f>
        <v>setlist</v>
      </c>
      <c r="D23" s="272" t="s">
        <v>4095</v>
      </c>
      <c r="E23" s="115">
        <v>128.0</v>
      </c>
      <c r="F23" s="116" t="str">
        <f>HYPERLINK("http://www.mediafire.com/download/9rocqmbb6mhy1qc/From_the_Archives,_Vol._12_-_Walnut_Creek_Release_(8.20.2008).rar", "download link")</f>
        <v>download link</v>
      </c>
      <c r="G23" s="273"/>
    </row>
    <row r="24">
      <c r="A24" s="103">
        <v>39976.0</v>
      </c>
      <c r="B24" s="107" t="s">
        <v>32</v>
      </c>
      <c r="C24" s="105" t="str">
        <f>HYPERLINK("https://docs.google.com/spreadsheets/d/1R2Ru_YZWL0H5S4oYr3IQYzl6XNzLLXfDIwL4UgotFbg/pubhtml", "setlist")</f>
        <v>setlist</v>
      </c>
      <c r="D24" s="181" t="s">
        <v>4096</v>
      </c>
      <c r="E24" s="107" t="s">
        <v>36</v>
      </c>
      <c r="F24" s="105" t="str">
        <f>HYPERLINK("http://www.mediafire.com/download/qigt8r8nf5h5tr3/From_the_Archives,_Vol._13,_part_1_-_Bonnaroo_(6.12.2009).rar", "download link")</f>
        <v>download link</v>
      </c>
      <c r="G24" s="260"/>
    </row>
    <row r="25">
      <c r="A25" s="142">
        <v>39978.0</v>
      </c>
      <c r="B25" s="115" t="s">
        <v>32</v>
      </c>
      <c r="C25" s="116" t="str">
        <f>HYPERLINK("https://docs.google.com/spreadsheets/d/1haYnK0hO4-7syixvs911jJznFeQMpQxtUCLPZy4zh6E/pubhtml", "setlist")</f>
        <v>setlist</v>
      </c>
      <c r="D25" s="272" t="s">
        <v>4097</v>
      </c>
      <c r="E25" s="115" t="s">
        <v>36</v>
      </c>
      <c r="F25" s="116" t="str">
        <f>HYPERLINK("http://www.mediafire.com/download/fajc1onhef11vur/From_the_Archives,_Vol._13,_part_2_-_Bonnaroo_(6.14.2009).rar", "download link")</f>
        <v>download link</v>
      </c>
      <c r="G25" s="273"/>
    </row>
    <row r="26">
      <c r="A26" s="103">
        <v>40115.0</v>
      </c>
      <c r="B26" s="107" t="s">
        <v>32</v>
      </c>
      <c r="C26" s="105" t="str">
        <f>HYPERLINK("https://docs.google.com/spreadsheets/d/12VNT7DaT1XXE-Ly7WPLwCcHmhgJ-ha7QcjCfE2Ahnlw/pubhtml", "setlist")</f>
        <v>setlist</v>
      </c>
      <c r="D26" s="181" t="s">
        <v>4098</v>
      </c>
      <c r="E26" s="107">
        <v>160.0</v>
      </c>
      <c r="F26" s="105" t="str">
        <f>HYPERLINK("http://www.mediafire.com/download/vpxyay70b0orojh/From_the_Archives,_Vol._14,_part_1_-_Festival_8_(10.29.2009).rar", "download link")</f>
        <v>download link</v>
      </c>
      <c r="G26" s="181" t="s">
        <v>4099</v>
      </c>
    </row>
    <row r="27">
      <c r="A27" s="142">
        <v>40116.0</v>
      </c>
      <c r="B27" s="115" t="s">
        <v>32</v>
      </c>
      <c r="C27" s="116" t="str">
        <f>HYPERLINK("https://docs.google.com/spreadsheets/d/1I2eg5_H40vbyjq5ijjC3li8E-IQAVK1HDDQ_dKk0ge8/pubhtml", "setlist")</f>
        <v>setlist</v>
      </c>
      <c r="D27" s="272" t="s">
        <v>4100</v>
      </c>
      <c r="E27" s="115">
        <v>320.0</v>
      </c>
      <c r="F27" s="116" t="str">
        <f>HYPERLINK("http://www.mediafire.com/download/rb7z7o2uhm097h7/From_the_Archives,_Vol._14,_part_2_-_Festival_8_(10.30.2009).rar", "download link")</f>
        <v>download link</v>
      </c>
      <c r="G27" s="273"/>
    </row>
    <row r="28">
      <c r="A28" s="103">
        <v>40118.0</v>
      </c>
      <c r="B28" s="107" t="s">
        <v>32</v>
      </c>
      <c r="C28" s="105" t="str">
        <f>HYPERLINK("https://docs.google.com/spreadsheets/d/1XShTnfI-tFdO0c1laSTmi6GExOctfoqt5vvmGnMEk_o/pubhtml", "setlist")</f>
        <v>setlist</v>
      </c>
      <c r="D28" s="181" t="s">
        <v>4101</v>
      </c>
      <c r="E28" s="107">
        <v>320.0</v>
      </c>
      <c r="F28" s="105" t="str">
        <f>HYPERLINK("http://www.mediafire.com/download/nbthixkcga3s10b/From_the_Archives,_Vol._14,_part_3_-_Festival_8_(11.1.2009).rar", "download link")</f>
        <v>download link</v>
      </c>
      <c r="G28" s="260"/>
    </row>
    <row r="29">
      <c r="A29" s="142">
        <v>40725.0</v>
      </c>
      <c r="B29" s="115" t="s">
        <v>32</v>
      </c>
      <c r="C29" s="116" t="str">
        <f>HYPERLINK("https://docs.google.com/spreadsheets/d/1cED9PnOzBxbVqSJHG1zUikZuvg0vHt8oYwHdt10nZfQ/pubhtml", "setlist")</f>
        <v>setlist</v>
      </c>
      <c r="D29" s="272" t="s">
        <v>4102</v>
      </c>
      <c r="E29" s="115">
        <v>128.0</v>
      </c>
      <c r="F29" s="116" t="str">
        <f>HYPERLINK("http://www.mediafire.com/download/bduk10h3wm7f8o2/From_the_Archives,_Vol._15,_part_1_-_Super_Ball_IX_(7.1.2011).rar", "download link")</f>
        <v>download link</v>
      </c>
      <c r="G29" s="273"/>
    </row>
    <row r="30">
      <c r="A30" s="103">
        <v>40725.0</v>
      </c>
      <c r="B30" s="107" t="s">
        <v>32</v>
      </c>
      <c r="C30" s="105" t="str">
        <f>HYPERLINK("https://docs.google.com/spreadsheets/d/1fcb3H6WYxDRDvYPSvRhHwdj7lfphScRP5DhPFgT4c8w/pubhtml", "setlist")</f>
        <v>setlist</v>
      </c>
      <c r="D30" s="181" t="s">
        <v>4103</v>
      </c>
      <c r="E30" s="107">
        <v>128.0</v>
      </c>
      <c r="F30" s="105" t="str">
        <f>HYPERLINK("http://www.mediafire.com/download/n8qmnpjtnser1pa/From_the_Archives,_Vol._15,_part_2_-_Super_Ball_IX_(7.1.2011).rar", "download link")</f>
        <v>download link</v>
      </c>
      <c r="G30" s="260"/>
    </row>
    <row r="31">
      <c r="A31" s="142">
        <v>40727.0</v>
      </c>
      <c r="B31" s="115" t="s">
        <v>32</v>
      </c>
      <c r="C31" s="116" t="str">
        <f>HYPERLINK("https://docs.google.com/spreadsheets/d/1C3MyW7UTl2zaLcI-2wOJPUjH9UGoYa_L2LmI0DwhDPc/pubhtml", "setlist")</f>
        <v>setlist</v>
      </c>
      <c r="D31" s="272" t="s">
        <v>4104</v>
      </c>
      <c r="E31" s="115">
        <v>128.0</v>
      </c>
      <c r="F31" s="116" t="str">
        <f>HYPERLINK("http://www.mediafire.com/download/jaj9fxdt4azyofi/From_the_Archives,_Vol._15,_part_3_-_Super_Ball_IX_(7.3.2011).rar", "download link")</f>
        <v>download link</v>
      </c>
      <c r="G31" s="273"/>
    </row>
    <row r="32">
      <c r="A32" s="103">
        <v>41096.0</v>
      </c>
      <c r="B32" s="107" t="s">
        <v>32</v>
      </c>
      <c r="C32" s="105" t="str">
        <f>HYPERLINK("https://docs.google.com/spreadsheets/d/103EwdCsAHlhn5bzEu2w7cI427JmGRNew-slOzNRprxE/pubhtml", "setlist")</f>
        <v>setlist</v>
      </c>
      <c r="D32" s="181" t="s">
        <v>4105</v>
      </c>
      <c r="E32" s="107" t="s">
        <v>36</v>
      </c>
      <c r="F32" s="105" t="str">
        <f>HYPERLINK("http://www.mediafire.com/download/hyju1k2yus0zzml/From_the_Archives,_Vol._16,_part_1_-_Saratoga_Performing_Arts_Center_(7.6.2012).rar", "download link")</f>
        <v>download link</v>
      </c>
      <c r="G32" s="260"/>
    </row>
    <row r="33">
      <c r="A33" s="142">
        <v>41097.0</v>
      </c>
      <c r="B33" s="115" t="s">
        <v>32</v>
      </c>
      <c r="C33" s="116" t="str">
        <f>HYPERLINK("https://docs.google.com/spreadsheets/d/1wCldk78Cqx9OkJ-fS-uzY_IZ9izUoPVQsuenvW8M6h4/pubhtml", "setlist")</f>
        <v>setlist</v>
      </c>
      <c r="D33" s="272" t="s">
        <v>4106</v>
      </c>
      <c r="E33" s="115" t="s">
        <v>36</v>
      </c>
      <c r="F33" s="116" t="str">
        <f>HYPERLINK("http://www.mediafire.com/download/m453aa31082uni3/From_the_Archives,_Vol._16,_part_2_-_Saratoga_Performing_Arts_Center_(7.7.2012).rar", "download link")</f>
        <v>download link</v>
      </c>
      <c r="G33" s="273"/>
    </row>
    <row r="34">
      <c r="A34" s="103">
        <v>42236.0</v>
      </c>
      <c r="B34" s="141" t="s">
        <v>32</v>
      </c>
      <c r="C34" s="411"/>
      <c r="D34" s="266" t="s">
        <v>4107</v>
      </c>
      <c r="E34" s="141">
        <v>128.0</v>
      </c>
      <c r="F34" s="105" t="str">
        <f>HYPERLINK("http://www.mediafire.com/download/jccrc0jl6j3ajf4/From_the_Archives%2C_Vol._17%2C_part_1_-_Magnaball_%288.20.2015%29.rar", "download link")</f>
        <v>download link</v>
      </c>
      <c r="G34" s="260"/>
    </row>
    <row r="35">
      <c r="A35" s="142">
        <v>42237.0</v>
      </c>
      <c r="B35" s="165" t="s">
        <v>32</v>
      </c>
      <c r="C35" s="412"/>
      <c r="D35" s="413" t="s">
        <v>4108</v>
      </c>
      <c r="E35" s="165">
        <v>320.0</v>
      </c>
      <c r="F35" s="116" t="str">
        <f>HYPERLINK("http://www.mediafire.com/download/oyv79bpldk9sx2c/From_the_Archives%2C_Vol._17%2C_part_2_-_Magnaball_%288.21.2015%29.rar", "download link")</f>
        <v>download link</v>
      </c>
      <c r="G35" s="273"/>
    </row>
    <row r="36">
      <c r="A36" s="103">
        <v>42239.0</v>
      </c>
      <c r="B36" s="141" t="s">
        <v>32</v>
      </c>
      <c r="C36" s="411"/>
      <c r="D36" s="414" t="s">
        <v>4109</v>
      </c>
      <c r="E36" s="141">
        <v>320.0</v>
      </c>
      <c r="F36" s="105" t="str">
        <f>HYPERLINK("http://www.mediafire.com/download/sl31itw8nynd6nl/From_the_Archives%2C_Vol._17%2C_part_3_-_Magnaball_%288.23.2015%29.rar", "download link")</f>
        <v>download link</v>
      </c>
      <c r="G36" s="260"/>
    </row>
    <row r="37">
      <c r="A37" s="142">
        <v>43328.0</v>
      </c>
      <c r="B37" s="165" t="s">
        <v>32</v>
      </c>
      <c r="C37" s="412"/>
      <c r="D37" s="413" t="s">
        <v>4110</v>
      </c>
      <c r="E37" s="165">
        <v>256.0</v>
      </c>
      <c r="F37" s="116" t="str">
        <f>HYPERLINK("http://www.mediafire.com/file/4uzc4y2aczehciy/From_the_Archives%252C_Vol._18_-_Curveball_%25288.16.2018%2529.rar/file", "download link")</f>
        <v>download link</v>
      </c>
      <c r="G37" s="273"/>
    </row>
    <row r="38">
      <c r="A38" s="407"/>
      <c r="B38" s="408"/>
      <c r="C38" s="409"/>
      <c r="D38" s="254" t="s">
        <v>4111</v>
      </c>
      <c r="E38" s="65"/>
      <c r="F38" s="94"/>
      <c r="G38" s="268"/>
    </row>
    <row r="39">
      <c r="A39" s="110">
        <v>36256.0</v>
      </c>
      <c r="B39" s="114" t="s">
        <v>32</v>
      </c>
      <c r="C39" s="392" t="s">
        <v>40</v>
      </c>
      <c r="D39" s="272" t="s">
        <v>4112</v>
      </c>
      <c r="E39" s="115" t="s">
        <v>36</v>
      </c>
      <c r="F39" s="116" t="str">
        <f>HYPERLINK("http://www.mediafire.com/download/kffn8yzj106nixf/Phish_Archives_-_Various_Live_for_Phil_Lesh_(4.6.1999).rar", "download link")</f>
        <v>download link</v>
      </c>
      <c r="G39" s="271" t="s">
        <v>4113</v>
      </c>
    </row>
    <row r="40">
      <c r="A40" s="103">
        <v>39938.0</v>
      </c>
      <c r="B40" s="107" t="s">
        <v>32</v>
      </c>
      <c r="C40" s="415" t="s">
        <v>40</v>
      </c>
      <c r="D40" s="181" t="s">
        <v>4114</v>
      </c>
      <c r="E40" s="107">
        <v>256.0</v>
      </c>
      <c r="F40" s="105" t="str">
        <f>HYPERLINK("http://www.mediafire.com/download/2z5apvn78624vq0/Bonnaroo_365_(5.5.2009).rar", "download link")</f>
        <v>download link</v>
      </c>
      <c r="G40" s="181" t="s">
        <v>4115</v>
      </c>
    </row>
    <row r="41">
      <c r="A41" s="202">
        <v>40309.0</v>
      </c>
      <c r="B41" s="205" t="s">
        <v>32</v>
      </c>
      <c r="C41" s="416" t="s">
        <v>40</v>
      </c>
      <c r="D41" s="257" t="s">
        <v>4116</v>
      </c>
      <c r="E41" s="205">
        <v>256.0</v>
      </c>
      <c r="F41" s="166" t="str">
        <f>HYPERLINK("http://www.mediafire.com/download/e49uy3j7kufub6b/Past_Summer_Compilation_(5.11.2010).rar", "download link")</f>
        <v>download link</v>
      </c>
      <c r="G41" s="257" t="s">
        <v>4117</v>
      </c>
    </row>
    <row r="42">
      <c r="A42" s="407"/>
      <c r="B42" s="408"/>
      <c r="C42" s="409"/>
      <c r="D42" s="254" t="s">
        <v>4118</v>
      </c>
      <c r="E42" s="65"/>
      <c r="F42" s="65"/>
      <c r="G42" s="268"/>
    </row>
    <row r="43">
      <c r="A43" s="125">
        <v>41087.0</v>
      </c>
      <c r="B43" s="126"/>
      <c r="C43" s="98" t="str">
        <f>HYPERLINK("http://www.glidemagazine.com/hiddentrack/faux-the-archives-a-phish-compilation/", "setlist")</f>
        <v>setlist</v>
      </c>
      <c r="D43" s="179" t="s">
        <v>4119</v>
      </c>
      <c r="E43" s="127" t="s">
        <v>36</v>
      </c>
      <c r="F43" s="98" t="str">
        <f>HYPERLINK("http://www.mediafire.com/download/suje3kcsz4q2x4p/Faux_the_Archives,_Vol._01_(6.27.2012).rar", "download link")</f>
        <v>download link</v>
      </c>
      <c r="G43" s="179" t="s">
        <v>4120</v>
      </c>
    </row>
    <row r="44">
      <c r="A44" s="103">
        <v>41159.0</v>
      </c>
      <c r="B44" s="104"/>
      <c r="C44" s="105" t="str">
        <f>HYPERLINK("http://www.glidemagazine.com/hiddentrack/faux-the-archives-vol-2-a-phish-compilation/", "setlist")</f>
        <v>setlist</v>
      </c>
      <c r="D44" s="181" t="s">
        <v>4121</v>
      </c>
      <c r="E44" s="107" t="s">
        <v>36</v>
      </c>
      <c r="F44" s="105" t="str">
        <f>HYPERLINK("http://www.mediafire.com/download/b3l36yoc39iv4r2/Faux_the_Archives,_Vol._02_(9.7.2012).rar", "download link")</f>
        <v>download link</v>
      </c>
      <c r="G44" s="181" t="s">
        <v>4122</v>
      </c>
    </row>
    <row r="45">
      <c r="A45" s="110">
        <v>41264.0</v>
      </c>
      <c r="B45" s="111"/>
      <c r="C45" s="135" t="str">
        <f>HYPERLINK("http://www.glidemagazine.com/hiddentrack/faux-the-archives-vol-3-a-phish-compilation/", "setlist")</f>
        <v>setlist</v>
      </c>
      <c r="D45" s="183" t="s">
        <v>4123</v>
      </c>
      <c r="E45" s="114" t="s">
        <v>36</v>
      </c>
      <c r="F45" s="135" t="str">
        <f>HYPERLINK("http://www.mediafire.com/download/ldk8hofk0m5e5im/Faux_the_Archives,_Vol._03_(12.21.2013).rar", "download link")</f>
        <v>download link</v>
      </c>
      <c r="G45" s="183" t="s">
        <v>4124</v>
      </c>
    </row>
    <row r="46">
      <c r="A46" s="186">
        <v>41365.0</v>
      </c>
      <c r="B46" s="187"/>
      <c r="C46" s="123" t="str">
        <f>HYPERLINK("http://www.glidemagazine.com/hiddentrack/faux-the-archives-vol-4-a-phish-compilation/", "setlist")</f>
        <v>setlist</v>
      </c>
      <c r="D46" s="274" t="s">
        <v>4125</v>
      </c>
      <c r="E46" s="120" t="s">
        <v>36</v>
      </c>
      <c r="F46" s="123" t="str">
        <f>HYPERLINK("http://www.mediafire.com/download/6ai68amuixk4dic/Faux_the_Archives,_Vol._04_(4.1.2013).rar", "download link")</f>
        <v>download link</v>
      </c>
      <c r="G46" s="274" t="s">
        <v>4126</v>
      </c>
    </row>
    <row r="47">
      <c r="A47" s="407"/>
      <c r="B47" s="408"/>
      <c r="C47" s="409"/>
      <c r="D47" s="254" t="s">
        <v>2222</v>
      </c>
      <c r="E47" s="65"/>
      <c r="F47" s="94"/>
      <c r="G47" s="268"/>
    </row>
    <row r="48">
      <c r="A48" s="417">
        <v>1987.0</v>
      </c>
      <c r="B48" s="127" t="s">
        <v>32</v>
      </c>
      <c r="C48" s="98" t="str">
        <f>HYPERLINK("http://phish.net/discography/the-man-who-stepped-into-yesterday", "setlist")</f>
        <v>setlist</v>
      </c>
      <c r="D48" s="179" t="s">
        <v>4127</v>
      </c>
      <c r="E48" s="127" t="s">
        <v>36</v>
      </c>
      <c r="F48" s="98" t="str">
        <f>HYPERLINK("http://www.mediafire.com/download/yh2g3jndoze/[1987]_The_Man_Who_Stepped_Into_Yesterday.rar", "download link")</f>
        <v>download link</v>
      </c>
      <c r="G48" s="179" t="s">
        <v>4128</v>
      </c>
    </row>
    <row r="49">
      <c r="A49" s="103">
        <v>40101.0</v>
      </c>
      <c r="B49" s="107" t="s">
        <v>32</v>
      </c>
      <c r="C49" s="415" t="s">
        <v>40</v>
      </c>
      <c r="D49" s="181" t="s">
        <v>4129</v>
      </c>
      <c r="E49" s="107">
        <v>192.0</v>
      </c>
      <c r="F49" s="105" t="str">
        <f>HYPERLINK("http://www.mediafire.com/download/zpxc5a5aqdi7z99/Phish_-_Festivalography_I_(10.15.2009).rar", "download link")</f>
        <v>download link</v>
      </c>
      <c r="G49" s="181" t="s">
        <v>4130</v>
      </c>
    </row>
    <row r="50">
      <c r="A50" s="142">
        <v>40102.0</v>
      </c>
      <c r="B50" s="115" t="s">
        <v>32</v>
      </c>
      <c r="C50" s="418" t="s">
        <v>40</v>
      </c>
      <c r="D50" s="272" t="s">
        <v>4131</v>
      </c>
      <c r="E50" s="115">
        <v>192.0</v>
      </c>
      <c r="F50" s="116" t="str">
        <f>HYPERLINK("http://www.mediafire.com/download/7ksccwda3dxa70h/Phish_-_Festivalography_II_(10.16.2009).rar", "download link")</f>
        <v>download link</v>
      </c>
      <c r="G50" s="272" t="s">
        <v>4132</v>
      </c>
    </row>
    <row r="51">
      <c r="A51" s="103">
        <v>40109.0</v>
      </c>
      <c r="B51" s="107" t="s">
        <v>32</v>
      </c>
      <c r="C51" s="415" t="s">
        <v>40</v>
      </c>
      <c r="D51" s="181" t="s">
        <v>4133</v>
      </c>
      <c r="E51" s="107">
        <v>192.0</v>
      </c>
      <c r="F51" s="105" t="str">
        <f>HYPERLINK("http://www.mediafire.com/download/pnin6bko1abcue0/Phish_-_Festivalography_III_(10.23.2009).rar", "download link")</f>
        <v>download link</v>
      </c>
      <c r="G51" s="181" t="s">
        <v>4134</v>
      </c>
    </row>
    <row r="52">
      <c r="A52" s="142">
        <v>40113.0</v>
      </c>
      <c r="B52" s="115" t="s">
        <v>32</v>
      </c>
      <c r="C52" s="418" t="s">
        <v>40</v>
      </c>
      <c r="D52" s="272" t="s">
        <v>4135</v>
      </c>
      <c r="E52" s="115">
        <v>192.0</v>
      </c>
      <c r="F52" s="116" t="str">
        <f>HYPERLINK("http://www.mediafire.com/download/ea3luljuucpoe1v/Phish_-_Festivalography_IV_(10.27.2009).rar", "download link")</f>
        <v>download link</v>
      </c>
      <c r="G52" s="272" t="s">
        <v>4136</v>
      </c>
    </row>
    <row r="53">
      <c r="A53" s="154" t="s">
        <v>88</v>
      </c>
      <c r="B53" s="104"/>
      <c r="C53" s="105" t="str">
        <f>HYPERLINK("http://lawnmemo.com/", "setlist")</f>
        <v>setlist</v>
      </c>
      <c r="D53" s="181" t="s">
        <v>4137</v>
      </c>
      <c r="E53" s="107" t="s">
        <v>36</v>
      </c>
      <c r="F53" s="105" t="str">
        <f>HYPERLINK("http://www.mediafire.com/the-daily-ghost", "download link")</f>
        <v>download link</v>
      </c>
      <c r="G53" s="181" t="s">
        <v>4138</v>
      </c>
    </row>
    <row r="54">
      <c r="A54" s="419">
        <v>43315.0</v>
      </c>
      <c r="B54" s="165" t="s">
        <v>32</v>
      </c>
      <c r="C54" s="418" t="s">
        <v>40</v>
      </c>
      <c r="D54" s="271" t="s">
        <v>4139</v>
      </c>
      <c r="E54" s="165">
        <v>192.0</v>
      </c>
      <c r="F54" s="116" t="str">
        <f>HYPERLINK("http://www.mediafire.com/file/gbwti4tim95nykl/Sirius_XM_-_Ask_Trey_%25288.3.2018%2529.rar/file", "download link")</f>
        <v>download link</v>
      </c>
      <c r="G54" s="271" t="s">
        <v>4140</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0"/>
    <col customWidth="1" min="2" max="2" width="4.38"/>
    <col customWidth="1" min="3" max="3" width="8.38"/>
    <col customWidth="1" min="4" max="4" width="42.75"/>
    <col customWidth="1" min="5" max="5" width="15.63"/>
    <col customWidth="1" min="6" max="6" width="5.13"/>
    <col customWidth="1" min="7" max="7" width="4.38"/>
    <col customWidth="1" min="8" max="8" width="13.38"/>
    <col customWidth="1" min="9" max="9" width="12.63"/>
    <col customWidth="1" min="10" max="10" width="37.63"/>
    <col customWidth="1" min="11" max="11" width="64.5"/>
  </cols>
  <sheetData>
    <row r="1">
      <c r="A1" s="77"/>
      <c r="B1" s="78"/>
      <c r="C1" s="111"/>
      <c r="D1" s="237"/>
      <c r="E1" s="237"/>
      <c r="F1" s="78"/>
      <c r="G1" s="78"/>
      <c r="H1" s="78"/>
      <c r="I1" s="420"/>
      <c r="J1" s="237"/>
      <c r="K1" s="237"/>
    </row>
    <row r="2">
      <c r="A2" s="83" t="s">
        <v>22</v>
      </c>
      <c r="B2" s="60" t="s">
        <v>23</v>
      </c>
      <c r="C2" s="60" t="s">
        <v>24</v>
      </c>
      <c r="D2" s="254" t="s">
        <v>25</v>
      </c>
      <c r="E2" s="254" t="s">
        <v>26</v>
      </c>
      <c r="F2" s="60" t="s">
        <v>27</v>
      </c>
      <c r="G2" s="60" t="s">
        <v>28</v>
      </c>
      <c r="H2" s="60" t="s">
        <v>29</v>
      </c>
      <c r="I2" s="421" t="s">
        <v>4141</v>
      </c>
      <c r="J2" s="264" t="s">
        <v>4142</v>
      </c>
      <c r="K2" s="264" t="s">
        <v>31</v>
      </c>
    </row>
    <row r="3">
      <c r="A3" s="324"/>
      <c r="B3" s="126"/>
      <c r="C3" s="111"/>
      <c r="D3" s="3"/>
      <c r="E3" s="3"/>
      <c r="F3" s="87"/>
      <c r="G3" s="87"/>
      <c r="H3" s="87"/>
      <c r="I3" s="422"/>
      <c r="J3" s="3"/>
      <c r="K3" s="3"/>
    </row>
    <row r="4">
      <c r="A4" s="407"/>
      <c r="B4" s="408"/>
      <c r="C4" s="408"/>
      <c r="D4" s="83" t="s">
        <v>4143</v>
      </c>
      <c r="E4" s="1"/>
      <c r="F4" s="408"/>
      <c r="G4" s="408"/>
      <c r="H4" s="408"/>
      <c r="I4" s="423"/>
      <c r="J4" s="1"/>
      <c r="K4" s="1"/>
    </row>
    <row r="5">
      <c r="A5" s="142">
        <v>32287.0</v>
      </c>
      <c r="B5" s="115" t="s">
        <v>32</v>
      </c>
      <c r="C5" s="116" t="str">
        <f t="shared" ref="C5:C6" si="1">HYPERLINK("http://www.phish.net/setlists/?d="&amp;RIGHT(TEXT(A5,"mm/dd/yyyy"),4)&amp;"-"&amp;LEFT(TEXT(A5,"mm/dd/yyyy"),2)&amp;"-"&amp;MID(TEXT(A5,"mm/dd/yyyy"),4,2), "setlist")</f>
        <v>setlist</v>
      </c>
      <c r="D5" s="118" t="s">
        <v>54</v>
      </c>
      <c r="E5" s="118" t="s">
        <v>34</v>
      </c>
      <c r="F5" s="115" t="s">
        <v>35</v>
      </c>
      <c r="G5" s="115" t="s">
        <v>36</v>
      </c>
      <c r="H5" s="116" t="str">
        <f>HYPERLINK("http://www.mediafire.com/download/dokchkhop4dtn7j/1988-05-24_-_Nectar%27s_-_Burlington%2C_VT_%28KF_Remaster%29.rar", "download link")</f>
        <v>download link</v>
      </c>
      <c r="I5" s="165" t="s">
        <v>4144</v>
      </c>
      <c r="J5" s="117" t="s">
        <v>122</v>
      </c>
      <c r="K5" s="146"/>
    </row>
    <row r="6">
      <c r="A6" s="142">
        <v>32656.0</v>
      </c>
      <c r="B6" s="115" t="s">
        <v>32</v>
      </c>
      <c r="C6" s="116" t="str">
        <f t="shared" si="1"/>
        <v>setlist</v>
      </c>
      <c r="D6" s="118" t="s">
        <v>4145</v>
      </c>
      <c r="E6" s="118" t="s">
        <v>128</v>
      </c>
      <c r="F6" s="115" t="s">
        <v>129</v>
      </c>
      <c r="G6" s="115" t="s">
        <v>36</v>
      </c>
      <c r="H6" s="116" t="str">
        <f>HYPERLINK("http://www.mediafire.com/download/c43oei93du7c6ub/1989-05-28_-_Ian_McLean%27s_Party%2C_Connie_Condon%27s_Farm_-_Hebron%2C_NY_%28KF_Remaster%29.rar", "download link")</f>
        <v>download link</v>
      </c>
      <c r="I6" s="165" t="s">
        <v>4144</v>
      </c>
      <c r="J6" s="117" t="s">
        <v>327</v>
      </c>
      <c r="K6" s="146"/>
    </row>
    <row r="7">
      <c r="A7" s="407"/>
      <c r="B7" s="408"/>
      <c r="C7" s="408"/>
      <c r="D7" s="83">
        <v>1990.0</v>
      </c>
      <c r="E7" s="1"/>
      <c r="F7" s="408"/>
      <c r="G7" s="408"/>
      <c r="H7" s="408"/>
      <c r="I7" s="423"/>
      <c r="J7" s="1"/>
      <c r="K7" s="1"/>
    </row>
    <row r="8">
      <c r="A8" s="142">
        <v>32985.0</v>
      </c>
      <c r="B8" s="115" t="s">
        <v>32</v>
      </c>
      <c r="C8" s="116" t="str">
        <f t="shared" ref="C8:C9" si="2">HYPERLINK("http://www.phish.net/setlists/?d="&amp;RIGHT(TEXT(A8,"mm/dd/yyyy"),4)&amp;"-"&amp;LEFT(TEXT(A8,"mm/dd/yyyy"),2)&amp;"-"&amp;MID(TEXT(A8,"mm/dd/yyyy"),4,2), "setlist")</f>
        <v>setlist</v>
      </c>
      <c r="D8" s="118" t="s">
        <v>505</v>
      </c>
      <c r="E8" s="118" t="s">
        <v>506</v>
      </c>
      <c r="F8" s="115" t="s">
        <v>203</v>
      </c>
      <c r="G8" s="115" t="s">
        <v>36</v>
      </c>
      <c r="H8" s="116" t="str">
        <f>HYPERLINK("http://www.mediafire.com/download/mjqczhv45kvnhvn/1990-04-22_-_Cutler_Quad%2C_Colorado_College_-_Colorado_Springs%2C_CO_%28KF_Remaster%29.rar", "download link")</f>
        <v>download link</v>
      </c>
      <c r="I8" s="165" t="s">
        <v>4144</v>
      </c>
      <c r="J8" s="117" t="s">
        <v>23</v>
      </c>
      <c r="K8" s="146"/>
    </row>
    <row r="9">
      <c r="A9" s="110">
        <v>33158.0</v>
      </c>
      <c r="B9" s="111"/>
      <c r="C9" s="135" t="str">
        <f t="shared" si="2"/>
        <v>setlist</v>
      </c>
      <c r="D9" s="183" t="s">
        <v>441</v>
      </c>
      <c r="E9" s="183" t="s">
        <v>442</v>
      </c>
      <c r="F9" s="114" t="s">
        <v>443</v>
      </c>
      <c r="G9" s="139" t="s">
        <v>36</v>
      </c>
      <c r="H9" s="116" t="str">
        <f>HYPERLINK("http://www.mediafire.com/download/mob1rgbrrr9ybfa/1990-10-12_-_Cat%27s_Cradle_-_Chapel_Hill%2C_NC_%28KP_Remaster%29.rar", "download link")</f>
        <v>download link</v>
      </c>
      <c r="I9" s="424" t="s">
        <v>4146</v>
      </c>
      <c r="J9" s="291" t="s">
        <v>580</v>
      </c>
      <c r="K9" s="292"/>
    </row>
    <row r="10">
      <c r="A10" s="407"/>
      <c r="B10" s="408"/>
      <c r="C10" s="408"/>
      <c r="D10" s="83">
        <v>1991.0</v>
      </c>
      <c r="E10" s="1"/>
      <c r="F10" s="408"/>
      <c r="G10" s="408"/>
      <c r="H10" s="408"/>
      <c r="I10" s="423"/>
      <c r="J10" s="1"/>
      <c r="K10" s="1"/>
    </row>
    <row r="11">
      <c r="A11" s="142">
        <v>33331.0</v>
      </c>
      <c r="B11" s="144"/>
      <c r="C11" s="116" t="str">
        <f t="shared" ref="C11:C15" si="3">HYPERLINK("http://www.phish.net/setlists/?d="&amp;RIGHT(TEXT(A11,"mm/dd/yyyy"),4)&amp;"-"&amp;LEFT(TEXT(A11,"mm/dd/yyyy"),2)&amp;"-"&amp;MID(TEXT(A11,"mm/dd/yyyy"),4,2), "setlist")</f>
        <v>setlist</v>
      </c>
      <c r="D11" s="153" t="s">
        <v>690</v>
      </c>
      <c r="E11" s="153" t="s">
        <v>691</v>
      </c>
      <c r="F11" s="151" t="s">
        <v>692</v>
      </c>
      <c r="G11" s="196" t="s">
        <v>36</v>
      </c>
      <c r="H11" s="116" t="str">
        <f>HYPERLINK("http://www.mediafire.com/download/2y4f6nmii3tcbzg/1991-04-03_-_Britt_Ballroom%2C_Southern_Oregon_State_College_-_Ashland%2C_OR_%28CM_Remaster%29.rar", "download link")</f>
        <v>download link</v>
      </c>
      <c r="I11" s="165" t="s">
        <v>4147</v>
      </c>
      <c r="J11" s="117" t="s">
        <v>693</v>
      </c>
      <c r="K11" s="144"/>
    </row>
    <row r="12">
      <c r="A12" s="142">
        <v>33439.0</v>
      </c>
      <c r="B12" s="144"/>
      <c r="C12" s="116" t="str">
        <f t="shared" si="3"/>
        <v>setlist</v>
      </c>
      <c r="D12" s="118" t="s">
        <v>753</v>
      </c>
      <c r="E12" s="118" t="s">
        <v>754</v>
      </c>
      <c r="F12" s="115" t="s">
        <v>129</v>
      </c>
      <c r="G12" s="115" t="s">
        <v>36</v>
      </c>
      <c r="H12" s="116" t="str">
        <f>HYPERLINK("http://www.mediafire.com/download/2kytmptqgltl21l/1991-07-20_-_Arrowhead_Ranch_-_Parksville%2C_NY_%28KF_Remaster%29.rar", "download link")</f>
        <v>download link</v>
      </c>
      <c r="I12" s="165" t="s">
        <v>4144</v>
      </c>
      <c r="J12" s="117" t="s">
        <v>755</v>
      </c>
      <c r="K12" s="144"/>
    </row>
    <row r="13">
      <c r="A13" s="142">
        <v>33440.0</v>
      </c>
      <c r="B13" s="115" t="s">
        <v>32</v>
      </c>
      <c r="C13" s="116" t="str">
        <f t="shared" si="3"/>
        <v>setlist</v>
      </c>
      <c r="D13" s="118" t="s">
        <v>753</v>
      </c>
      <c r="E13" s="118" t="s">
        <v>754</v>
      </c>
      <c r="F13" s="115" t="s">
        <v>129</v>
      </c>
      <c r="G13" s="115" t="s">
        <v>36</v>
      </c>
      <c r="H13" s="116" t="str">
        <f>HYPERLINK("http://www.mediafire.com/download/pqe5luvnd8b3sl9/1991-07-21_-_Arrowhead_Ranch_-_Parksville%2C_NY_%28KF_Remaster%29.rar", "download link")</f>
        <v>download link</v>
      </c>
      <c r="I13" s="165" t="s">
        <v>4144</v>
      </c>
      <c r="J13" s="117" t="s">
        <v>23</v>
      </c>
      <c r="K13" s="144"/>
    </row>
    <row r="14">
      <c r="A14" s="142">
        <v>33444.0</v>
      </c>
      <c r="B14" s="115"/>
      <c r="C14" s="116" t="str">
        <f t="shared" si="3"/>
        <v>setlist</v>
      </c>
      <c r="D14" s="118" t="s">
        <v>441</v>
      </c>
      <c r="E14" s="118" t="s">
        <v>545</v>
      </c>
      <c r="F14" s="115" t="s">
        <v>443</v>
      </c>
      <c r="G14" s="115" t="s">
        <v>36</v>
      </c>
      <c r="H14" s="116" t="str">
        <f>HYPERLINK("http://www.mediafire.com/download/xjovg2xsjjo22zr/1991-07-25_-_Cat%27s_Cradle_-_Chapel_Hill%2C_NC_%28CM_Remaster%29.rar", "download link")</f>
        <v>download link</v>
      </c>
      <c r="I14" s="165" t="s">
        <v>4147</v>
      </c>
      <c r="J14" s="117" t="s">
        <v>4148</v>
      </c>
      <c r="K14" s="144"/>
    </row>
    <row r="15">
      <c r="A15" s="142">
        <v>33445.0</v>
      </c>
      <c r="B15" s="115"/>
      <c r="C15" s="116" t="str">
        <f t="shared" si="3"/>
        <v>setlist</v>
      </c>
      <c r="D15" s="117" t="s">
        <v>431</v>
      </c>
      <c r="E15" s="118" t="s">
        <v>432</v>
      </c>
      <c r="F15" s="115" t="s">
        <v>433</v>
      </c>
      <c r="G15" s="115" t="s">
        <v>36</v>
      </c>
      <c r="H15" s="116" t="str">
        <f>HYPERLINK("http://www.mediafire.com/download/1j4pumoqyzmfa37/1991-07-26_-_The_Georgia_Theatre_-_Atlanta%2C_GA_%28CM_Remaster%29.rar", "download link")</f>
        <v>download link</v>
      </c>
      <c r="I15" s="165" t="s">
        <v>4147</v>
      </c>
      <c r="J15" s="117" t="s">
        <v>4149</v>
      </c>
      <c r="K15" s="144"/>
    </row>
    <row r="16">
      <c r="A16" s="407"/>
      <c r="B16" s="408"/>
      <c r="C16" s="408"/>
      <c r="D16" s="83">
        <v>1992.0</v>
      </c>
      <c r="E16" s="1"/>
      <c r="F16" s="408"/>
      <c r="G16" s="408"/>
      <c r="H16" s="408"/>
      <c r="I16" s="423"/>
      <c r="J16" s="1"/>
      <c r="K16" s="1"/>
    </row>
    <row r="17">
      <c r="A17" s="150">
        <v>33683.0</v>
      </c>
      <c r="B17" s="115" t="s">
        <v>32</v>
      </c>
      <c r="C17" s="116" t="str">
        <f t="shared" ref="C17:C24" si="4">HYPERLINK("http://www.phish.net/setlists/?d="&amp;RIGHT(TEXT(A17,"mm/dd/yyyy"),4)&amp;"-"&amp;LEFT(TEXT(A17,"mm/dd/yyyy"),2)&amp;"-"&amp;MID(TEXT(A17,"mm/dd/yyyy"),4,2), "setlist")</f>
        <v>setlist</v>
      </c>
      <c r="D17" s="153" t="s">
        <v>868</v>
      </c>
      <c r="E17" s="153" t="s">
        <v>227</v>
      </c>
      <c r="F17" s="151" t="s">
        <v>129</v>
      </c>
      <c r="G17" s="151" t="s">
        <v>36</v>
      </c>
      <c r="H17" s="116" t="str">
        <f>HYPERLINK("http://www.mediafire.com/download/ibbty5rlyikryaa/1992-03-20_-_Broome_County_Forum_-_Binghamton%2C_NY_%28KF_Remaster%29.rar", "download link")</f>
        <v>download link</v>
      </c>
      <c r="I17" s="165" t="s">
        <v>4144</v>
      </c>
      <c r="J17" s="117" t="s">
        <v>869</v>
      </c>
      <c r="K17" s="146"/>
    </row>
    <row r="18">
      <c r="A18" s="147">
        <v>33928.0</v>
      </c>
      <c r="B18" s="114"/>
      <c r="C18" s="135" t="str">
        <f t="shared" si="4"/>
        <v>setlist</v>
      </c>
      <c r="D18" s="149" t="s">
        <v>866</v>
      </c>
      <c r="E18" s="149" t="s">
        <v>309</v>
      </c>
      <c r="F18" s="148" t="s">
        <v>129</v>
      </c>
      <c r="G18" s="148" t="s">
        <v>36</v>
      </c>
      <c r="H18" s="116" t="str">
        <f>HYPERLINK("http://www.mediafire.com/download/57q44qepf9c0sku/1992-11-20_-_Palace_Theatre_-_Albany%2C_NY_%28dd_Remaster%29.rar", "download link")</f>
        <v>download link</v>
      </c>
      <c r="I18" s="165" t="s">
        <v>4150</v>
      </c>
      <c r="J18" s="117" t="s">
        <v>4151</v>
      </c>
      <c r="K18" s="146"/>
    </row>
    <row r="19">
      <c r="A19" s="150">
        <v>33935.0</v>
      </c>
      <c r="B19" s="250"/>
      <c r="C19" s="116" t="str">
        <f t="shared" si="4"/>
        <v>setlist</v>
      </c>
      <c r="D19" s="153" t="s">
        <v>570</v>
      </c>
      <c r="E19" s="153" t="s">
        <v>571</v>
      </c>
      <c r="F19" s="151" t="s">
        <v>129</v>
      </c>
      <c r="G19" s="151" t="s">
        <v>36</v>
      </c>
      <c r="H19" s="116" t="str">
        <f>HYPERLINK("http://www.mediafire.com/download/jr9gqzckulqy5g8/1992-11-27_-_The_Capitol_Theatre_-_Port_Chester%2C_NY_%28dd_Remaster%29.rar", "download link")</f>
        <v>download link</v>
      </c>
      <c r="I19" s="165" t="s">
        <v>4150</v>
      </c>
      <c r="J19" s="117" t="s">
        <v>4152</v>
      </c>
      <c r="K19" s="117" t="s">
        <v>4153</v>
      </c>
    </row>
    <row r="20">
      <c r="A20" s="147">
        <v>33936.0</v>
      </c>
      <c r="B20" s="111"/>
      <c r="C20" s="135" t="str">
        <f t="shared" si="4"/>
        <v>setlist</v>
      </c>
      <c r="D20" s="149" t="s">
        <v>570</v>
      </c>
      <c r="E20" s="149" t="s">
        <v>571</v>
      </c>
      <c r="F20" s="148" t="s">
        <v>129</v>
      </c>
      <c r="G20" s="148" t="s">
        <v>36</v>
      </c>
      <c r="H20" s="116" t="str">
        <f>HYPERLINK("http://www.mediafire.com/download/fpsbj9z23a6gps6/1992-11-28_-_The_Capitol_Theatre_-_Port_Chester%2C_NY_%28dd_Remaster%29.rar", "download link")</f>
        <v>download link</v>
      </c>
      <c r="I20" s="165" t="s">
        <v>4150</v>
      </c>
      <c r="J20" s="117" t="s">
        <v>4154</v>
      </c>
      <c r="K20" s="117" t="s">
        <v>4155</v>
      </c>
    </row>
    <row r="21">
      <c r="A21" s="147">
        <v>33941.0</v>
      </c>
      <c r="B21" s="111"/>
      <c r="C21" s="135" t="str">
        <f t="shared" si="4"/>
        <v>setlist</v>
      </c>
      <c r="D21" s="149" t="s">
        <v>942</v>
      </c>
      <c r="E21" s="149" t="s">
        <v>943</v>
      </c>
      <c r="F21" s="148" t="s">
        <v>472</v>
      </c>
      <c r="G21" s="148" t="s">
        <v>36</v>
      </c>
      <c r="H21" s="116" t="str">
        <f>HYPERLINK("http://www.mediafire.com/download/c315kbbh22d6d1p/1992-12-03_-_Bogart%27s_-_Cincinnati%2C_OH_%28dd_Remaster%29.rar", "download link")</f>
        <v>download link</v>
      </c>
      <c r="I21" s="165" t="s">
        <v>4150</v>
      </c>
      <c r="J21" s="117" t="s">
        <v>4156</v>
      </c>
      <c r="K21" s="146"/>
    </row>
    <row r="22">
      <c r="A22" s="150">
        <v>33944.0</v>
      </c>
      <c r="B22" s="144"/>
      <c r="C22" s="116" t="str">
        <f t="shared" si="4"/>
        <v>setlist</v>
      </c>
      <c r="D22" s="153" t="s">
        <v>1080</v>
      </c>
      <c r="E22" s="153" t="s">
        <v>479</v>
      </c>
      <c r="F22" s="151" t="s">
        <v>480</v>
      </c>
      <c r="G22" s="151" t="s">
        <v>36</v>
      </c>
      <c r="H22" s="116" t="str">
        <f>HYPERLINK("http://www.mediafire.com/download/t1w11c478bz814x/1992-12-06_-_The_Vic_Theatre_-_Chicago%2C_IL_%28dd_Remaster%29.rar", "download link")</f>
        <v>download link</v>
      </c>
      <c r="I22" s="165" t="s">
        <v>4150</v>
      </c>
      <c r="J22" s="117" t="s">
        <v>4157</v>
      </c>
      <c r="K22" s="146"/>
    </row>
    <row r="23">
      <c r="A23" s="150">
        <v>33967.0</v>
      </c>
      <c r="B23" s="115"/>
      <c r="C23" s="116" t="str">
        <f t="shared" si="4"/>
        <v>setlist</v>
      </c>
      <c r="D23" s="153" t="s">
        <v>866</v>
      </c>
      <c r="E23" s="153" t="s">
        <v>459</v>
      </c>
      <c r="F23" s="151" t="s">
        <v>171</v>
      </c>
      <c r="G23" s="151" t="s">
        <v>36</v>
      </c>
      <c r="H23" s="116" t="str">
        <f>HYPERLINK("http://www.mediafire.com/download/i9pl8ujq45gld8u/1992-12-29_-_Palace_Theatre_-_New_Haven%2C_CT_%28dd_Remaster%29.rar", "download link")</f>
        <v>download link</v>
      </c>
      <c r="I23" s="165" t="s">
        <v>4150</v>
      </c>
      <c r="J23" s="117" t="s">
        <v>4158</v>
      </c>
      <c r="K23" s="146"/>
    </row>
    <row r="24">
      <c r="A24" s="147">
        <v>33968.0</v>
      </c>
      <c r="B24" s="114"/>
      <c r="C24" s="135" t="str">
        <f t="shared" si="4"/>
        <v>setlist</v>
      </c>
      <c r="D24" s="149" t="s">
        <v>1098</v>
      </c>
      <c r="E24" s="149" t="s">
        <v>1099</v>
      </c>
      <c r="F24" s="148" t="s">
        <v>95</v>
      </c>
      <c r="G24" s="148" t="s">
        <v>36</v>
      </c>
      <c r="H24" s="116" t="str">
        <f>HYPERLINK("http://www.mediafire.com/download/wvnh84816pru94f/1992-12-30_-_Symphony_Hall_-_Springfield%2C_MA_%28dd_Remaster%29.rar", "download link")</f>
        <v>download link</v>
      </c>
      <c r="I24" s="165" t="s">
        <v>4150</v>
      </c>
      <c r="J24" s="117" t="s">
        <v>4159</v>
      </c>
      <c r="K24" s="146"/>
    </row>
    <row r="25">
      <c r="A25" s="407"/>
      <c r="B25" s="408"/>
      <c r="C25" s="408"/>
      <c r="D25" s="83">
        <v>1993.0</v>
      </c>
      <c r="E25" s="1"/>
      <c r="F25" s="408"/>
      <c r="G25" s="408"/>
      <c r="H25" s="408"/>
      <c r="I25" s="423"/>
      <c r="J25" s="1"/>
      <c r="K25" s="1"/>
    </row>
    <row r="26">
      <c r="A26" s="142">
        <v>34049.0</v>
      </c>
      <c r="B26" s="144"/>
      <c r="C26" s="116" t="str">
        <f t="shared" ref="C26:C51" si="5">HYPERLINK("http://www.phish.net/setlists/?d="&amp;RIGHT(TEXT(A26,"mm/dd/yyyy"),4)&amp;"-"&amp;LEFT(TEXT(A26,"mm/dd/yyyy"),2)&amp;"-"&amp;MID(TEXT(A26,"mm/dd/yyyy"),4,2), "setlist")</f>
        <v>setlist</v>
      </c>
      <c r="D26" s="118" t="s">
        <v>1167</v>
      </c>
      <c r="E26" s="118" t="s">
        <v>1168</v>
      </c>
      <c r="F26" s="115" t="s">
        <v>679</v>
      </c>
      <c r="G26" s="115" t="s">
        <v>36</v>
      </c>
      <c r="H26" s="116" t="str">
        <f>HYPERLINK("http://www.mediafire.com/download/v9p77d1hd50thst/1993-03-21_-_Ventura_Theatre_-_Ventura%2C_CA_%28KF_Remaster%29.rar", "download link")</f>
        <v>download link</v>
      </c>
      <c r="I26" s="165" t="s">
        <v>4144</v>
      </c>
      <c r="J26" s="117" t="s">
        <v>1269</v>
      </c>
      <c r="K26" s="146"/>
    </row>
    <row r="27">
      <c r="A27" s="142">
        <v>34052.0</v>
      </c>
      <c r="B27" s="144"/>
      <c r="C27" s="116" t="str">
        <f t="shared" si="5"/>
        <v>setlist</v>
      </c>
      <c r="D27" s="118" t="s">
        <v>1172</v>
      </c>
      <c r="E27" s="118" t="s">
        <v>1173</v>
      </c>
      <c r="F27" s="115" t="s">
        <v>679</v>
      </c>
      <c r="G27" s="165" t="s">
        <v>36</v>
      </c>
      <c r="H27" s="116" t="str">
        <f>HYPERLINK("http://www.mediafire.com/download/tfw2vvvfcvka1nk/1993-03-24_-_Luther_Burbank_Center_for_the_Arts_-_Santa_Rosa%2C_CA_%28KP_Remaster%29.rar", "download link")</f>
        <v>download link</v>
      </c>
      <c r="I27" s="425" t="s">
        <v>4146</v>
      </c>
      <c r="J27" s="311" t="s">
        <v>1174</v>
      </c>
      <c r="K27" s="313"/>
    </row>
    <row r="28">
      <c r="A28" s="142">
        <v>34056.0</v>
      </c>
      <c r="B28" s="165" t="s">
        <v>32</v>
      </c>
      <c r="C28" s="116" t="str">
        <f t="shared" si="5"/>
        <v>setlist</v>
      </c>
      <c r="D28" s="118" t="s">
        <v>1179</v>
      </c>
      <c r="E28" s="118" t="s">
        <v>689</v>
      </c>
      <c r="F28" s="115" t="s">
        <v>679</v>
      </c>
      <c r="G28" s="115" t="s">
        <v>36</v>
      </c>
      <c r="H28" s="116" t="str">
        <f>HYPERLINK("http://www.mediafire.com/download/hxl04zugi2lea6m/1993-03-28_-_East_Gym%2C_Humboldt_State_University_-_Arcata%2C_CA_%28dd_Remaster%29.rar", "download link")</f>
        <v>download link</v>
      </c>
      <c r="I28" s="165" t="s">
        <v>4150</v>
      </c>
      <c r="J28" s="117" t="s">
        <v>4160</v>
      </c>
      <c r="K28" s="117" t="s">
        <v>4161</v>
      </c>
    </row>
    <row r="29">
      <c r="A29" s="142">
        <v>34058.0</v>
      </c>
      <c r="B29" s="144"/>
      <c r="C29" s="116" t="str">
        <f t="shared" si="5"/>
        <v>setlist</v>
      </c>
      <c r="D29" s="118" t="s">
        <v>925</v>
      </c>
      <c r="E29" s="118" t="s">
        <v>695</v>
      </c>
      <c r="F29" s="115" t="s">
        <v>692</v>
      </c>
      <c r="G29" s="115" t="s">
        <v>36</v>
      </c>
      <c r="H29" s="116" t="str">
        <f>HYPERLINK("http://www.mediafire.com/download/y85od4d2k95w99a/1993-03-30_-_Hilton_Ballroom_-_Eugene%2C_OR_%28dd_Remaster%29.rar", "download link")</f>
        <v>download link</v>
      </c>
      <c r="I29" s="165" t="s">
        <v>4150</v>
      </c>
      <c r="J29" s="117" t="s">
        <v>1192</v>
      </c>
      <c r="K29" s="146"/>
    </row>
    <row r="30">
      <c r="A30" s="142">
        <v>34059.0</v>
      </c>
      <c r="B30" s="144"/>
      <c r="C30" s="116" t="str">
        <f t="shared" si="5"/>
        <v>setlist</v>
      </c>
      <c r="D30" s="113" t="s">
        <v>794</v>
      </c>
      <c r="E30" s="113" t="s">
        <v>279</v>
      </c>
      <c r="F30" s="114" t="s">
        <v>692</v>
      </c>
      <c r="G30" s="114" t="s">
        <v>36</v>
      </c>
      <c r="H30" s="116" t="str">
        <f>HYPERLINK("http://www.mediafire.com/download/t0g2wjf399ak91v/1993-03-31_-_Roseland_Theater_-_Portland%2C_OR_%28CM_Remaster%29.rar", "download link")</f>
        <v>download link</v>
      </c>
      <c r="I30" s="165" t="s">
        <v>4147</v>
      </c>
      <c r="J30" s="117" t="s">
        <v>4162</v>
      </c>
      <c r="K30" s="146"/>
    </row>
    <row r="31">
      <c r="A31" s="142">
        <v>34073.0</v>
      </c>
      <c r="B31" s="144"/>
      <c r="C31" s="116" t="str">
        <f t="shared" si="5"/>
        <v>setlist</v>
      </c>
      <c r="D31" s="118" t="s">
        <v>1206</v>
      </c>
      <c r="E31" s="118" t="s">
        <v>885</v>
      </c>
      <c r="F31" s="115" t="s">
        <v>886</v>
      </c>
      <c r="G31" s="115" t="s">
        <v>36</v>
      </c>
      <c r="H31" s="116" t="str">
        <f>HYPERLINK("http://www.mediafire.com/download/4aav1qarwj1cl42/1993-04-14_-_American_Theater_-_St._Louis%2C_MO_%28KF_Remaster%29.rar", "download link")</f>
        <v>download link</v>
      </c>
      <c r="I31" s="165" t="s">
        <v>4144</v>
      </c>
      <c r="J31" s="117" t="s">
        <v>4163</v>
      </c>
      <c r="K31" s="146"/>
    </row>
    <row r="32">
      <c r="A32" s="150">
        <v>34086.0</v>
      </c>
      <c r="B32" s="227"/>
      <c r="C32" s="116" t="str">
        <f t="shared" si="5"/>
        <v>setlist</v>
      </c>
      <c r="D32" s="153" t="s">
        <v>1222</v>
      </c>
      <c r="E32" s="153" t="s">
        <v>1090</v>
      </c>
      <c r="F32" s="151" t="s">
        <v>1091</v>
      </c>
      <c r="G32" s="115" t="s">
        <v>36</v>
      </c>
      <c r="H32" s="116" t="str">
        <f>HYPERLINK("http://www.mediafire.com/download/3zmbu078bipz7or/1993-04-27_-_Concert_Hall_-_Toronto%2C_Ontario%2C_Canada_%28KF_Remaster%29.rar", "download link")</f>
        <v>download link</v>
      </c>
      <c r="I32" s="165" t="s">
        <v>4144</v>
      </c>
      <c r="J32" s="117" t="s">
        <v>1223</v>
      </c>
      <c r="K32" s="118" t="s">
        <v>111</v>
      </c>
    </row>
    <row r="33">
      <c r="A33" s="142">
        <v>34088.0</v>
      </c>
      <c r="B33" s="144"/>
      <c r="C33" s="116" t="str">
        <f t="shared" si="5"/>
        <v>setlist</v>
      </c>
      <c r="D33" s="118" t="s">
        <v>1093</v>
      </c>
      <c r="E33" s="118" t="s">
        <v>337</v>
      </c>
      <c r="F33" s="115" t="s">
        <v>338</v>
      </c>
      <c r="G33" s="115" t="s">
        <v>36</v>
      </c>
      <c r="H33" s="116" t="str">
        <f>HYPERLINK("http://www.mediafire.com/download/4x2xx22pe6b0xqi/1993-04-29_-_Le_Spectrum_-_Montreal%2C_Quebec%2C_Canada_%28KF_Remaster%29.rar", "download link")</f>
        <v>download link</v>
      </c>
      <c r="I33" s="165" t="s">
        <v>4144</v>
      </c>
      <c r="J33" s="117" t="s">
        <v>1224</v>
      </c>
      <c r="K33" s="117" t="s">
        <v>4164</v>
      </c>
    </row>
    <row r="34">
      <c r="A34" s="142">
        <v>34095.0</v>
      </c>
      <c r="B34" s="165" t="s">
        <v>32</v>
      </c>
      <c r="C34" s="116" t="str">
        <f t="shared" si="5"/>
        <v>setlist</v>
      </c>
      <c r="D34" s="118" t="s">
        <v>866</v>
      </c>
      <c r="E34" s="118" t="s">
        <v>309</v>
      </c>
      <c r="F34" s="115" t="s">
        <v>129</v>
      </c>
      <c r="G34" s="115" t="s">
        <v>36</v>
      </c>
      <c r="H34" s="116" t="str">
        <f>HYPERLINK("http://www.mediafire.com/download/o5oe13kir9c6o6m/1993-05-06_-_Palace_Theatre_-_Albany%2C_NY_%28dd_Remaster%29.rar", "download link")</f>
        <v>download link</v>
      </c>
      <c r="I34" s="165" t="s">
        <v>4150</v>
      </c>
      <c r="J34" s="117" t="s">
        <v>4165</v>
      </c>
      <c r="K34" s="117" t="s">
        <v>4153</v>
      </c>
    </row>
    <row r="35">
      <c r="A35" s="142">
        <v>34096.0</v>
      </c>
      <c r="B35" s="144"/>
      <c r="C35" s="116" t="str">
        <f t="shared" si="5"/>
        <v>setlist</v>
      </c>
      <c r="D35" s="118" t="s">
        <v>1235</v>
      </c>
      <c r="E35" s="118" t="s">
        <v>1236</v>
      </c>
      <c r="F35" s="115" t="s">
        <v>257</v>
      </c>
      <c r="G35" s="115" t="s">
        <v>36</v>
      </c>
      <c r="H35" s="116" t="str">
        <f>HYPERLINK("http://www.mediafire.com/download/6ya91h51u1ebje6/1993-05-07_-_Bangor_Auditorium_-_Bangor%2C_ME_%28KF_Remaster%29.rar", "download link")</f>
        <v>download link</v>
      </c>
      <c r="I35" s="165" t="s">
        <v>4144</v>
      </c>
      <c r="J35" s="117" t="s">
        <v>1237</v>
      </c>
      <c r="K35" s="146"/>
    </row>
    <row r="36">
      <c r="A36" s="142">
        <v>34097.0</v>
      </c>
      <c r="B36" s="144"/>
      <c r="C36" s="116" t="str">
        <f t="shared" si="5"/>
        <v>setlist</v>
      </c>
      <c r="D36" s="118" t="s">
        <v>461</v>
      </c>
      <c r="E36" s="118" t="s">
        <v>225</v>
      </c>
      <c r="F36" s="115" t="s">
        <v>182</v>
      </c>
      <c r="G36" s="115" t="s">
        <v>36</v>
      </c>
      <c r="H36" s="116" t="str">
        <f>HYPERLINK("http://www.mediafire.com/download/fhkglhyt29wszvd/1993-05-08_-_Field_House%2C_University_of_New_Hampshire_-_Durham%2C_NH_%28KF_Remaster%29.rar", "download link")</f>
        <v>download link</v>
      </c>
      <c r="I36" s="165" t="s">
        <v>4144</v>
      </c>
      <c r="J36" s="117" t="s">
        <v>1238</v>
      </c>
      <c r="K36" s="118" t="s">
        <v>4166</v>
      </c>
    </row>
    <row r="37">
      <c r="A37" s="110">
        <v>34183.0</v>
      </c>
      <c r="B37" s="111"/>
      <c r="C37" s="135" t="str">
        <f t="shared" si="5"/>
        <v>setlist</v>
      </c>
      <c r="D37" s="113" t="s">
        <v>1140</v>
      </c>
      <c r="E37" s="113" t="s">
        <v>1141</v>
      </c>
      <c r="F37" s="114" t="s">
        <v>1133</v>
      </c>
      <c r="G37" s="114" t="s">
        <v>36</v>
      </c>
      <c r="H37" s="116" t="str">
        <f>HYPERLINK("http://www.mediafire.com/download/m3sveje5iebi22l/1993-08-02_-_Ritz_Theatre_-_Tampa%2C_FL_%28dd_Remaster%29.rar", "download link")</f>
        <v>download link</v>
      </c>
      <c r="I37" s="165" t="s">
        <v>4150</v>
      </c>
      <c r="J37" s="117" t="s">
        <v>4167</v>
      </c>
      <c r="K37" s="118"/>
    </row>
    <row r="38">
      <c r="A38" s="110">
        <v>34187.0</v>
      </c>
      <c r="B38" s="114"/>
      <c r="C38" s="135" t="str">
        <f t="shared" si="5"/>
        <v>setlist</v>
      </c>
      <c r="D38" s="113" t="s">
        <v>1276</v>
      </c>
      <c r="E38" s="113" t="s">
        <v>943</v>
      </c>
      <c r="F38" s="114" t="s">
        <v>472</v>
      </c>
      <c r="G38" s="114" t="s">
        <v>36</v>
      </c>
      <c r="H38" s="116" t="str">
        <f>HYPERLINK("http://www.mediafire.com/download/rcq0ah7eb13z8qa/1993-08-06_-_Cincinnati_Zoo_Peacock_Pavilion_-_Cincinnati%2C_OH_%28dd_Remaster%29.rar", "download link")</f>
        <v>download link</v>
      </c>
      <c r="I38" s="165" t="s">
        <v>4150</v>
      </c>
      <c r="J38" s="117" t="s">
        <v>4168</v>
      </c>
      <c r="K38" s="118"/>
    </row>
    <row r="39">
      <c r="A39" s="142">
        <v>34188.0</v>
      </c>
      <c r="B39" s="144"/>
      <c r="C39" s="116" t="str">
        <f t="shared" si="5"/>
        <v>setlist</v>
      </c>
      <c r="D39" s="118" t="s">
        <v>1278</v>
      </c>
      <c r="E39" s="118" t="s">
        <v>1279</v>
      </c>
      <c r="F39" s="115" t="s">
        <v>129</v>
      </c>
      <c r="G39" s="115" t="s">
        <v>36</v>
      </c>
      <c r="H39" s="116" t="str">
        <f>HYPERLINK("http://www.mediafire.com/download/hidv4smbrgaxpyd/1993-08-07_-_Darien_Lake_Performing_Arts_Center_-_Darien_Center%2C_NY_%28KF_Remaster%29.rar", "download link")</f>
        <v>download link</v>
      </c>
      <c r="I39" s="165" t="s">
        <v>4144</v>
      </c>
      <c r="J39" s="117" t="s">
        <v>4169</v>
      </c>
      <c r="K39" s="118" t="s">
        <v>4170</v>
      </c>
    </row>
    <row r="40">
      <c r="A40" s="142">
        <v>34190.0</v>
      </c>
      <c r="B40" s="144"/>
      <c r="C40" s="116" t="str">
        <f t="shared" si="5"/>
        <v>setlist</v>
      </c>
      <c r="D40" s="118" t="s">
        <v>1222</v>
      </c>
      <c r="E40" s="118" t="s">
        <v>1090</v>
      </c>
      <c r="F40" s="115" t="s">
        <v>1091</v>
      </c>
      <c r="G40" s="115" t="s">
        <v>36</v>
      </c>
      <c r="H40" s="116" t="str">
        <f>HYPERLINK("http://www.mediafire.com/download/7afb372r7dm1q8p/1993-08-09_-_Concert_Hall_-_Toronto%2C_Ontario%2C_Canada_%28dd_Remaster%29.rar", "download link")</f>
        <v>download link</v>
      </c>
      <c r="I40" s="165" t="s">
        <v>4150</v>
      </c>
      <c r="J40" s="117" t="s">
        <v>4171</v>
      </c>
      <c r="K40" s="118"/>
    </row>
    <row r="41">
      <c r="A41" s="142">
        <v>34192.0</v>
      </c>
      <c r="B41" s="144"/>
      <c r="C41" s="116" t="str">
        <f t="shared" si="5"/>
        <v>setlist</v>
      </c>
      <c r="D41" s="118" t="s">
        <v>1284</v>
      </c>
      <c r="E41" s="118" t="s">
        <v>1285</v>
      </c>
      <c r="F41" s="115" t="s">
        <v>712</v>
      </c>
      <c r="G41" s="115" t="s">
        <v>36</v>
      </c>
      <c r="H41" s="116" t="str">
        <f>HYPERLINK("http://www.mediafire.com/download/juandnm50btk5if/1993-08-11_-_Eastbrook_Theatre_-_Grand_Rapids%2C_MI_%28KF_Remaster%29.rar", "download link")</f>
        <v>download link</v>
      </c>
      <c r="I41" s="165" t="s">
        <v>4144</v>
      </c>
      <c r="J41" s="117" t="s">
        <v>1286</v>
      </c>
      <c r="K41" s="118" t="s">
        <v>4172</v>
      </c>
    </row>
    <row r="42">
      <c r="A42" s="110">
        <v>34192.0</v>
      </c>
      <c r="B42" s="111"/>
      <c r="C42" s="135" t="str">
        <f t="shared" si="5"/>
        <v>setlist</v>
      </c>
      <c r="D42" s="113" t="s">
        <v>1284</v>
      </c>
      <c r="E42" s="113" t="s">
        <v>1285</v>
      </c>
      <c r="F42" s="114" t="s">
        <v>712</v>
      </c>
      <c r="G42" s="114" t="s">
        <v>36</v>
      </c>
      <c r="H42" s="116" t="str">
        <f>HYPERLINK("http://www.mediafire.com/download/9zzurd6dlyy0ljx/1993-08-11_-_Eastbrook_Theatre_-_Grand_Rapids%2C_MI_%28dd_Remaster%29.rar", "download link")</f>
        <v>download link</v>
      </c>
      <c r="I42" s="165" t="s">
        <v>4150</v>
      </c>
      <c r="J42" s="117" t="s">
        <v>4173</v>
      </c>
      <c r="K42" s="118"/>
    </row>
    <row r="43">
      <c r="A43" s="142">
        <v>34193.0</v>
      </c>
      <c r="B43" s="144"/>
      <c r="C43" s="116" t="str">
        <f t="shared" si="5"/>
        <v>setlist</v>
      </c>
      <c r="D43" s="118" t="s">
        <v>1020</v>
      </c>
      <c r="E43" s="118" t="s">
        <v>1021</v>
      </c>
      <c r="F43" s="115" t="s">
        <v>712</v>
      </c>
      <c r="G43" s="115" t="s">
        <v>36</v>
      </c>
      <c r="H43" s="116" t="str">
        <f>HYPERLINK("http://www.mediafire.com/download/rk24oplctdaz59h/1993-08-12_-_Meadow_Brook_Music_Festival_-_Rochester_Hills%2C_MI_%28KF_Remaster%29.rar", "download link")</f>
        <v>download link</v>
      </c>
      <c r="I43" s="165" t="s">
        <v>4144</v>
      </c>
      <c r="J43" s="117" t="s">
        <v>1287</v>
      </c>
      <c r="K43" s="118" t="s">
        <v>4174</v>
      </c>
    </row>
    <row r="44">
      <c r="A44" s="142">
        <v>34193.0</v>
      </c>
      <c r="B44" s="144"/>
      <c r="C44" s="116" t="str">
        <f t="shared" si="5"/>
        <v>setlist</v>
      </c>
      <c r="D44" s="118" t="s">
        <v>1020</v>
      </c>
      <c r="E44" s="118" t="s">
        <v>1021</v>
      </c>
      <c r="F44" s="115" t="s">
        <v>712</v>
      </c>
      <c r="G44" s="115" t="s">
        <v>36</v>
      </c>
      <c r="H44" s="116" t="str">
        <f>HYPERLINK("http://www.mediafire.com/download/3dko04xbg7xey0h/1993-08-12_-_Meadow_Brook_Music_Festival_-_Rochester_Hills%2C_MI_%28dd_Remaster%29.rar", "download link")</f>
        <v>download link</v>
      </c>
      <c r="I44" s="165" t="s">
        <v>4150</v>
      </c>
      <c r="J44" s="117" t="s">
        <v>1214</v>
      </c>
      <c r="K44" s="118"/>
    </row>
    <row r="45">
      <c r="A45" s="142">
        <v>34196.0</v>
      </c>
      <c r="B45" s="144"/>
      <c r="C45" s="116" t="str">
        <f t="shared" si="5"/>
        <v>setlist</v>
      </c>
      <c r="D45" s="118" t="s">
        <v>1208</v>
      </c>
      <c r="E45" s="118" t="s">
        <v>1209</v>
      </c>
      <c r="F45" s="115" t="s">
        <v>1210</v>
      </c>
      <c r="G45" s="115" t="s">
        <v>36</v>
      </c>
      <c r="H45" s="116" t="str">
        <f>HYPERLINK("http://www.mediafire.com/download/ywdk8obd41sxp92/1993-08-15_-_The_Macauley_Theater_-_Louisville%2C_KY_%28KF_Remaster%29.rar", "download link")</f>
        <v>download link</v>
      </c>
      <c r="I45" s="165" t="s">
        <v>4144</v>
      </c>
      <c r="J45" s="117" t="s">
        <v>1294</v>
      </c>
      <c r="K45" s="118" t="s">
        <v>4175</v>
      </c>
    </row>
    <row r="46">
      <c r="A46" s="142">
        <v>34197.0</v>
      </c>
      <c r="B46" s="144"/>
      <c r="C46" s="116" t="str">
        <f t="shared" si="5"/>
        <v>setlist</v>
      </c>
      <c r="D46" s="118" t="s">
        <v>1206</v>
      </c>
      <c r="E46" s="118" t="s">
        <v>885</v>
      </c>
      <c r="F46" s="115" t="s">
        <v>886</v>
      </c>
      <c r="G46" s="115" t="s">
        <v>36</v>
      </c>
      <c r="H46" s="116" t="str">
        <f>HYPERLINK("http://www.mediafire.com/download/619bujb1221szac/1993-08-16_-_American_Theater_-_St._Louis%2C_MO_%28KF_Remaster%29.rar", "download link")</f>
        <v>download link</v>
      </c>
      <c r="I46" s="165" t="s">
        <v>4144</v>
      </c>
      <c r="J46" s="117" t="s">
        <v>1295</v>
      </c>
      <c r="K46" s="118" t="s">
        <v>4176</v>
      </c>
    </row>
    <row r="47">
      <c r="A47" s="142">
        <v>34198.0</v>
      </c>
      <c r="B47" s="144"/>
      <c r="C47" s="116" t="str">
        <f t="shared" si="5"/>
        <v>setlist</v>
      </c>
      <c r="D47" s="118" t="s">
        <v>1203</v>
      </c>
      <c r="E47" s="118" t="s">
        <v>1204</v>
      </c>
      <c r="F47" s="115" t="s">
        <v>892</v>
      </c>
      <c r="G47" s="115" t="s">
        <v>36</v>
      </c>
      <c r="H47" s="116" t="str">
        <f>HYPERLINK("http://www.mediafire.com/download/95b2vpra4g58844/1993-08-17_-_Memorial_Hall_-_Kansas_City%2C_MO_%28KF_Remaster%29.rar", "download link")</f>
        <v>download link</v>
      </c>
      <c r="I47" s="165" t="s">
        <v>4144</v>
      </c>
      <c r="J47" s="117" t="s">
        <v>1296</v>
      </c>
      <c r="K47" s="118" t="s">
        <v>4177</v>
      </c>
    </row>
    <row r="48">
      <c r="A48" s="142">
        <v>34207.0</v>
      </c>
      <c r="B48" s="144"/>
      <c r="C48" s="116" t="str">
        <f t="shared" si="5"/>
        <v>setlist</v>
      </c>
      <c r="D48" s="118" t="s">
        <v>1308</v>
      </c>
      <c r="E48" s="118" t="s">
        <v>279</v>
      </c>
      <c r="F48" s="115" t="s">
        <v>692</v>
      </c>
      <c r="G48" s="115" t="s">
        <v>36</v>
      </c>
      <c r="H48" s="116" t="str">
        <f>HYPERLINK("http://www.mediafire.com/download/4qn836vyk7vdqeq/1993-08-26_-_Arlene_Schnitzer_Concert_Hall_-_Portland%2C_OR_%28dd_Remaster%29.rar", "download link")</f>
        <v>download link</v>
      </c>
      <c r="I48" s="165" t="s">
        <v>4150</v>
      </c>
      <c r="J48" s="117" t="s">
        <v>4178</v>
      </c>
      <c r="K48" s="146"/>
    </row>
    <row r="49">
      <c r="A49" s="142">
        <v>34209.0</v>
      </c>
      <c r="B49" s="165" t="s">
        <v>32</v>
      </c>
      <c r="C49" s="116" t="str">
        <f t="shared" si="5"/>
        <v>setlist</v>
      </c>
      <c r="D49" s="117" t="s">
        <v>1309</v>
      </c>
      <c r="E49" s="117" t="s">
        <v>686</v>
      </c>
      <c r="F49" s="165" t="s">
        <v>679</v>
      </c>
      <c r="G49" s="165" t="s">
        <v>36</v>
      </c>
      <c r="H49" s="116" t="str">
        <f>HYPERLINK("http://www.mediafire.com/download/8r2mtos566hz2m9/1993-08-28_-_William_Randolph_Hearst_Greek_Theatre_-_Berkeley%2C_CA_%28KF_Remaster%29.rar", "download link")</f>
        <v>download link</v>
      </c>
      <c r="I49" s="165" t="s">
        <v>4144</v>
      </c>
      <c r="J49" s="117" t="s">
        <v>205</v>
      </c>
      <c r="K49" s="146"/>
    </row>
    <row r="50">
      <c r="A50" s="110">
        <v>34333.0</v>
      </c>
      <c r="B50" s="114"/>
      <c r="C50" s="135" t="str">
        <f t="shared" si="5"/>
        <v>setlist</v>
      </c>
      <c r="D50" s="113" t="s">
        <v>988</v>
      </c>
      <c r="E50" s="113" t="s">
        <v>279</v>
      </c>
      <c r="F50" s="114" t="s">
        <v>257</v>
      </c>
      <c r="G50" s="114" t="s">
        <v>36</v>
      </c>
      <c r="H50" s="116" t="str">
        <f>HYPERLINK("http://www.mediafire.com/download/zmlypgsg1582d6v/1993-12-30_-_Cumberland_County_Civic_Center_-_Portland%2C_ME_%28dd_Remaster%29.rar", "download link")</f>
        <v>download link</v>
      </c>
      <c r="I50" s="165" t="s">
        <v>4150</v>
      </c>
      <c r="J50" s="117" t="s">
        <v>4179</v>
      </c>
      <c r="K50" s="146"/>
    </row>
    <row r="51">
      <c r="A51" s="142">
        <v>34334.0</v>
      </c>
      <c r="B51" s="115" t="s">
        <v>32</v>
      </c>
      <c r="C51" s="116" t="str">
        <f t="shared" si="5"/>
        <v>setlist</v>
      </c>
      <c r="D51" s="118" t="s">
        <v>1315</v>
      </c>
      <c r="E51" s="118" t="s">
        <v>417</v>
      </c>
      <c r="F51" s="115" t="s">
        <v>95</v>
      </c>
      <c r="G51" s="115" t="s">
        <v>36</v>
      </c>
      <c r="H51" s="116" t="str">
        <f>HYPERLINK("http://www.mediafire.com/download/t4mgasknlslawg7/1993-12-31_-_Worcester_Centrum_Centre_-_Worcester%2C_MA_%28KF_Remaster%29.rar", "download link")</f>
        <v>download link</v>
      </c>
      <c r="I51" s="165" t="s">
        <v>4144</v>
      </c>
      <c r="J51" s="117" t="s">
        <v>1316</v>
      </c>
      <c r="K51" s="146"/>
    </row>
    <row r="52">
      <c r="A52" s="407"/>
      <c r="B52" s="408"/>
      <c r="C52" s="408"/>
      <c r="D52" s="83">
        <v>1994.0</v>
      </c>
      <c r="E52" s="1"/>
      <c r="F52" s="408"/>
      <c r="G52" s="408"/>
      <c r="H52" s="408"/>
      <c r="I52" s="423"/>
      <c r="J52" s="1"/>
      <c r="K52" s="1"/>
    </row>
    <row r="53">
      <c r="A53" s="142">
        <v>34432.0</v>
      </c>
      <c r="B53" s="144"/>
      <c r="C53" s="116" t="str">
        <f t="shared" ref="C53:C55" si="6">HYPERLINK("http://www.phish.net/setlists/?d="&amp;RIGHT(TEXT(A53,"mm/dd/yyyy"),4)&amp;"-"&amp;LEFT(TEXT(A53,"mm/dd/yyyy"),2)&amp;"-"&amp;MID(TEXT(A53,"mm/dd/yyyy"),4,2), "setlist")</f>
        <v>setlist</v>
      </c>
      <c r="D53" s="118" t="s">
        <v>1321</v>
      </c>
      <c r="E53" s="118" t="s">
        <v>1322</v>
      </c>
      <c r="F53" s="115" t="s">
        <v>212</v>
      </c>
      <c r="G53" s="115" t="s">
        <v>36</v>
      </c>
      <c r="H53" s="116" t="str">
        <f>HYPERLINK("http://www.mediafire.com/download/41dra3g26cl5kxw/1994-04-08_-_Recreation_Hall%2C_Penn_State_University_-_State_College%2C_PA_%28KF_Remaster%29.rar", "download link")</f>
        <v>download link</v>
      </c>
      <c r="I53" s="165" t="s">
        <v>4144</v>
      </c>
      <c r="J53" s="117" t="s">
        <v>1323</v>
      </c>
      <c r="K53" s="146"/>
    </row>
    <row r="54">
      <c r="A54" s="110">
        <v>34433.0</v>
      </c>
      <c r="B54" s="114"/>
      <c r="C54" s="135" t="str">
        <f t="shared" si="6"/>
        <v>setlist</v>
      </c>
      <c r="D54" s="113" t="s">
        <v>1324</v>
      </c>
      <c r="E54" s="113" t="s">
        <v>227</v>
      </c>
      <c r="F54" s="114" t="s">
        <v>129</v>
      </c>
      <c r="G54" s="114" t="s">
        <v>36</v>
      </c>
      <c r="H54" s="116" t="str">
        <f>HYPERLINK("http://www.mediafire.com/download/yojj232ux1kokqa/1994-04-09_-_Broome_County_Arena_-_Binghamton%2C_NY_%28dd_Remaster%29.rar", "download link")</f>
        <v>download link</v>
      </c>
      <c r="I54" s="165" t="s">
        <v>4150</v>
      </c>
      <c r="J54" s="117" t="s">
        <v>4180</v>
      </c>
      <c r="K54" s="117" t="s">
        <v>4153</v>
      </c>
    </row>
    <row r="55">
      <c r="A55" s="142">
        <v>34439.0</v>
      </c>
      <c r="B55" s="144"/>
      <c r="C55" s="116" t="str">
        <f t="shared" si="6"/>
        <v>setlist</v>
      </c>
      <c r="D55" s="118" t="s">
        <v>1330</v>
      </c>
      <c r="E55" s="118" t="s">
        <v>162</v>
      </c>
      <c r="F55" s="115" t="s">
        <v>129</v>
      </c>
      <c r="G55" s="115" t="s">
        <v>36</v>
      </c>
      <c r="H55" s="116" t="str">
        <f>HYPERLINK("http://www.mediafire.com/download/aew5wqbbau6tn3c/1994-04-15_-_Beacon_Theatre_-_New_York%2C_NY_%28KF_Remaster%29.rar", "download link")</f>
        <v>download link</v>
      </c>
      <c r="I55" s="165" t="s">
        <v>4144</v>
      </c>
      <c r="J55" s="117" t="s">
        <v>4181</v>
      </c>
      <c r="K55" s="146"/>
    </row>
    <row r="56">
      <c r="A56" s="142">
        <v>34447.0</v>
      </c>
      <c r="B56" s="144"/>
      <c r="C56" s="116" t="str">
        <f>HYPERLINK("http://phish.net/setlists/?d="&amp;RIGHT(TEXT(A56,"mm/dd/yyyy"),4)&amp;"-"&amp;LEFT(TEXT(A56,"mm/dd/yyyy"),2)&amp;"-"&amp;MID(TEXT(A56,"mm/dd/yyyy"),4,2), "setlist")</f>
        <v>setlist</v>
      </c>
      <c r="D56" s="272" t="s">
        <v>897</v>
      </c>
      <c r="E56" s="272" t="s">
        <v>437</v>
      </c>
      <c r="F56" s="115" t="s">
        <v>433</v>
      </c>
      <c r="G56" s="165" t="s">
        <v>36</v>
      </c>
      <c r="H56" s="116" t="str">
        <f>HYPERLINK("http://www.mediafire.com/download/15d4mn9kdxt18dn/1994-04-23_-_The_Fox_Theatre_-_Atlanta%2C_GA_%28KP_Remaster%29.rar", "download link")</f>
        <v>download link</v>
      </c>
      <c r="I56" s="425" t="s">
        <v>4146</v>
      </c>
      <c r="J56" s="311" t="s">
        <v>1346</v>
      </c>
      <c r="K56" s="313"/>
    </row>
    <row r="57">
      <c r="A57" s="142">
        <v>34457.0</v>
      </c>
      <c r="B57" s="115"/>
      <c r="C57" s="116" t="str">
        <f t="shared" ref="C57:C74" si="7">HYPERLINK("http://www.phish.net/setlists/?d="&amp;RIGHT(TEXT(A57,"mm/dd/yyyy"),4)&amp;"-"&amp;LEFT(TEXT(A57,"mm/dd/yyyy"),2)&amp;"-"&amp;MID(TEXT(A57,"mm/dd/yyyy"),4,2), "setlist")</f>
        <v>setlist</v>
      </c>
      <c r="D57" s="118" t="s">
        <v>1362</v>
      </c>
      <c r="E57" s="118" t="s">
        <v>1268</v>
      </c>
      <c r="F57" s="115" t="s">
        <v>650</v>
      </c>
      <c r="G57" s="115" t="s">
        <v>36</v>
      </c>
      <c r="H57" s="116" t="str">
        <f>HYPERLINK("http://www.mediafire.com/download/8q541rphs3hu9ir/1994-05-03_-_Starwood_Amphitheater_-_Antioch%2C_TN_%28dd_Remaster%29.rar", "download link")</f>
        <v>download link</v>
      </c>
      <c r="I57" s="165" t="s">
        <v>4150</v>
      </c>
      <c r="J57" s="117" t="s">
        <v>4182</v>
      </c>
      <c r="K57" s="117"/>
    </row>
    <row r="58">
      <c r="A58" s="110">
        <v>34482.0</v>
      </c>
      <c r="B58" s="114"/>
      <c r="C58" s="135" t="str">
        <f t="shared" si="7"/>
        <v>setlist</v>
      </c>
      <c r="D58" s="113" t="s">
        <v>1239</v>
      </c>
      <c r="E58" s="113" t="s">
        <v>1240</v>
      </c>
      <c r="F58" s="114" t="s">
        <v>679</v>
      </c>
      <c r="G58" s="114" t="s">
        <v>36</v>
      </c>
      <c r="H58" s="116" t="str">
        <f>HYPERLINK("http://www.mediafire.com/download/zd72a8u2c2f91ss/1994-05-28_-_Laguna_Seca_Raceway_-_Monterey%2C_CA_%28dd_Remaster%29.rar", "download link")</f>
        <v>download link</v>
      </c>
      <c r="I58" s="165" t="s">
        <v>4150</v>
      </c>
      <c r="J58" s="117" t="s">
        <v>4183</v>
      </c>
      <c r="K58" s="117" t="s">
        <v>4153</v>
      </c>
    </row>
    <row r="59">
      <c r="A59" s="142">
        <v>34496.0</v>
      </c>
      <c r="B59" s="165" t="s">
        <v>32</v>
      </c>
      <c r="C59" s="116" t="str">
        <f t="shared" si="7"/>
        <v>setlist</v>
      </c>
      <c r="D59" s="113" t="s">
        <v>1297</v>
      </c>
      <c r="E59" s="113" t="s">
        <v>1298</v>
      </c>
      <c r="F59" s="114" t="s">
        <v>203</v>
      </c>
      <c r="G59" s="114" t="s">
        <v>36</v>
      </c>
      <c r="H59" s="116" t="str">
        <f>HYPERLINK("http://www.mediafire.com/download/8ckvb78g3bk233f/1994-06-11_-_Red_Rocks_Amphitheatre_-_Morrison%2C_CO_%28CM_Remaster%29.rar", "download link")</f>
        <v>download link</v>
      </c>
      <c r="I59" s="165" t="s">
        <v>4147</v>
      </c>
      <c r="J59" s="117" t="s">
        <v>1316</v>
      </c>
      <c r="K59" s="146"/>
    </row>
    <row r="60">
      <c r="A60" s="142">
        <v>34498.0</v>
      </c>
      <c r="B60" s="144"/>
      <c r="C60" s="116" t="str">
        <f t="shared" si="7"/>
        <v>setlist</v>
      </c>
      <c r="D60" s="118" t="s">
        <v>1203</v>
      </c>
      <c r="E60" s="118" t="s">
        <v>1204</v>
      </c>
      <c r="F60" s="115" t="s">
        <v>886</v>
      </c>
      <c r="G60" s="115" t="s">
        <v>36</v>
      </c>
      <c r="H60" s="116" t="str">
        <f>HYPERLINK("http://www.mediafire.com/download/wdds29vc8kk4x4d/1994-06-13_-_Memorial_Hall_-_Kansas_City%2C_MO_%28KF_Remaster%29.rar", "download link")</f>
        <v>download link</v>
      </c>
      <c r="I60" s="165" t="s">
        <v>4144</v>
      </c>
      <c r="J60" s="117" t="s">
        <v>1405</v>
      </c>
      <c r="K60" s="146"/>
    </row>
    <row r="61">
      <c r="A61" s="142">
        <v>34498.0</v>
      </c>
      <c r="B61" s="144"/>
      <c r="C61" s="116" t="str">
        <f t="shared" si="7"/>
        <v>setlist</v>
      </c>
      <c r="D61" s="118" t="s">
        <v>1203</v>
      </c>
      <c r="E61" s="118" t="s">
        <v>1204</v>
      </c>
      <c r="F61" s="115" t="s">
        <v>886</v>
      </c>
      <c r="G61" s="115" t="s">
        <v>36</v>
      </c>
      <c r="H61" s="116" t="str">
        <f>HYPERLINK("http://www.mediafire.com/download/otd87a07isg16mf/1994-06-13_-_Memorial_Hall_-_Kansas_City%2C_MO_%28dd_Remaster%29.rar", "download link")</f>
        <v>download link</v>
      </c>
      <c r="I61" s="165" t="s">
        <v>4150</v>
      </c>
      <c r="J61" s="117" t="s">
        <v>4184</v>
      </c>
      <c r="K61" s="118"/>
    </row>
    <row r="62">
      <c r="A62" s="142">
        <v>34499.0</v>
      </c>
      <c r="B62" s="115" t="s">
        <v>32</v>
      </c>
      <c r="C62" s="116" t="str">
        <f t="shared" si="7"/>
        <v>setlist</v>
      </c>
      <c r="D62" s="118" t="s">
        <v>1406</v>
      </c>
      <c r="E62" s="118" t="s">
        <v>1407</v>
      </c>
      <c r="F62" s="115" t="s">
        <v>1201</v>
      </c>
      <c r="G62" s="115" t="s">
        <v>36</v>
      </c>
      <c r="H62" s="116" t="str">
        <f>HYPERLINK("http://www.mediafire.com/download/qvuaa74set85g11/1994-06-14_-_Civic_Center_-_Des_Moines%2C_IA_%28KF_Remaster%29.rar", "download link")</f>
        <v>download link</v>
      </c>
      <c r="I62" s="165" t="s">
        <v>4144</v>
      </c>
      <c r="J62" s="117" t="s">
        <v>1408</v>
      </c>
      <c r="K62" s="118"/>
    </row>
    <row r="63">
      <c r="A63" s="142">
        <v>34502.0</v>
      </c>
      <c r="B63" s="115" t="s">
        <v>32</v>
      </c>
      <c r="C63" s="116" t="str">
        <f t="shared" si="7"/>
        <v>setlist</v>
      </c>
      <c r="D63" s="118" t="s">
        <v>1410</v>
      </c>
      <c r="E63" s="118" t="s">
        <v>936</v>
      </c>
      <c r="F63" s="115" t="s">
        <v>483</v>
      </c>
      <c r="G63" s="115" t="s">
        <v>36</v>
      </c>
      <c r="H63" s="116" t="str">
        <f>HYPERLINK("http://www.mediafire.com/download/1oih6aimae29p6y/1994-06-17_-_Eagles_Ballroom_-_Milwaukee%2C_WI_%28KF_Remaster%29.rar", "download link")</f>
        <v>download link</v>
      </c>
      <c r="I63" s="165" t="s">
        <v>4144</v>
      </c>
      <c r="J63" s="117" t="s">
        <v>1411</v>
      </c>
      <c r="K63" s="118"/>
    </row>
    <row r="64">
      <c r="A64" s="142">
        <v>34516.0</v>
      </c>
      <c r="B64" s="144"/>
      <c r="C64" s="116" t="str">
        <f t="shared" si="7"/>
        <v>setlist</v>
      </c>
      <c r="D64" s="118" t="s">
        <v>1001</v>
      </c>
      <c r="E64" s="118" t="s">
        <v>871</v>
      </c>
      <c r="F64" s="115" t="s">
        <v>212</v>
      </c>
      <c r="G64" s="115" t="s">
        <v>36</v>
      </c>
      <c r="H64" s="116" t="str">
        <f>HYPERLINK("http://www.mediafire.com/download/tbblcgaqgcpj4gp/1994-07-01_-_The_Mann_Center_for_the_Performing_Arts_-_Philadelphia%2C_PA_%28KF_Remaster%29.rar", "download link")</f>
        <v>download link</v>
      </c>
      <c r="I64" s="165" t="s">
        <v>4144</v>
      </c>
      <c r="J64" s="117" t="s">
        <v>1331</v>
      </c>
      <c r="K64" s="146"/>
    </row>
    <row r="65">
      <c r="A65" s="142">
        <v>34520.0</v>
      </c>
      <c r="B65" s="144"/>
      <c r="C65" s="116" t="str">
        <f t="shared" si="7"/>
        <v>setlist</v>
      </c>
      <c r="D65" s="118" t="s">
        <v>1433</v>
      </c>
      <c r="E65" s="118" t="s">
        <v>1434</v>
      </c>
      <c r="F65" s="115" t="s">
        <v>1091</v>
      </c>
      <c r="G65" s="115" t="s">
        <v>36</v>
      </c>
      <c r="H65" s="116" t="str">
        <f>HYPERLINK("http://www.mediafire.com/download/zr50y8pp6sra9ml/1994-07-05_-_Congress_Center_-_Ottawa%2C_Ontario%2C_Canada_%28dd_Remaster%29.rar", "download link")</f>
        <v>download link</v>
      </c>
      <c r="I65" s="165" t="s">
        <v>4150</v>
      </c>
      <c r="J65" s="117" t="s">
        <v>4185</v>
      </c>
      <c r="K65" s="118"/>
    </row>
    <row r="66">
      <c r="A66" s="142">
        <v>34523.0</v>
      </c>
      <c r="B66" s="115" t="s">
        <v>32</v>
      </c>
      <c r="C66" s="116" t="str">
        <f t="shared" si="7"/>
        <v>setlist</v>
      </c>
      <c r="D66" s="118" t="s">
        <v>1003</v>
      </c>
      <c r="E66" s="118" t="s">
        <v>1004</v>
      </c>
      <c r="F66" s="115" t="s">
        <v>95</v>
      </c>
      <c r="G66" s="115" t="s">
        <v>36</v>
      </c>
      <c r="H66" s="116" t="str">
        <f>HYPERLINK("http://www.mediafire.com/download/mll53694smu5280/1994-07-08_-_Great_Woods_Center_for_the_Performing_Arts_-_Mansfield%2C_MA_%28KF_Remaster%29.rar", "download link")</f>
        <v>download link</v>
      </c>
      <c r="I66" s="165" t="s">
        <v>4144</v>
      </c>
      <c r="J66" s="117" t="s">
        <v>4186</v>
      </c>
      <c r="K66" s="118"/>
    </row>
    <row r="67">
      <c r="A67" s="142">
        <v>34524.0</v>
      </c>
      <c r="B67" s="144"/>
      <c r="C67" s="116" t="str">
        <f t="shared" si="7"/>
        <v>setlist</v>
      </c>
      <c r="D67" s="118" t="s">
        <v>1003</v>
      </c>
      <c r="E67" s="118" t="s">
        <v>1004</v>
      </c>
      <c r="F67" s="115" t="s">
        <v>95</v>
      </c>
      <c r="G67" s="115" t="s">
        <v>36</v>
      </c>
      <c r="H67" s="116" t="str">
        <f>HYPERLINK("http://www.mediafire.com/download/109yt16rxsjr8jc/1994-07-09_-_Great_Woods_Center_for_the_Performing_Arts_-_Mansfield%2C_MA_%28KF_Remaster%29.rar", "download link")</f>
        <v>download link</v>
      </c>
      <c r="I67" s="165" t="s">
        <v>4144</v>
      </c>
      <c r="J67" s="117" t="s">
        <v>1313</v>
      </c>
      <c r="K67" s="117" t="s">
        <v>4187</v>
      </c>
    </row>
    <row r="68">
      <c r="A68" s="142">
        <v>34524.0</v>
      </c>
      <c r="B68" s="144"/>
      <c r="C68" s="116" t="str">
        <f t="shared" si="7"/>
        <v>setlist</v>
      </c>
      <c r="D68" s="118" t="s">
        <v>1003</v>
      </c>
      <c r="E68" s="118" t="s">
        <v>1004</v>
      </c>
      <c r="F68" s="115" t="s">
        <v>95</v>
      </c>
      <c r="G68" s="115" t="s">
        <v>36</v>
      </c>
      <c r="H68" s="116" t="str">
        <f>HYPERLINK("http://www.mediafire.com/download/yt4chlf8gx9ep6l/1994-07-09_-_Great_Woods_Center_for_the_Performing_Arts_-_Mansfield%2C_MA_%28dd_Remaster%29.rar", "download link")</f>
        <v>download link</v>
      </c>
      <c r="I68" s="165" t="s">
        <v>4150</v>
      </c>
      <c r="J68" s="117" t="s">
        <v>1331</v>
      </c>
      <c r="K68" s="118"/>
    </row>
    <row r="69">
      <c r="A69" s="142">
        <v>34528.0</v>
      </c>
      <c r="B69" s="115" t="s">
        <v>32</v>
      </c>
      <c r="C69" s="116" t="str">
        <f t="shared" si="7"/>
        <v>setlist</v>
      </c>
      <c r="D69" s="118" t="s">
        <v>1013</v>
      </c>
      <c r="E69" s="118" t="s">
        <v>1014</v>
      </c>
      <c r="F69" s="115" t="s">
        <v>129</v>
      </c>
      <c r="G69" s="115" t="s">
        <v>36</v>
      </c>
      <c r="H69" s="116" t="str">
        <f>HYPERLINK("http://www.mediafire.com/download/1ea9vl2xepu2kkr/1994-07-13_-_Big_Birch_Concert_Pavilion_-_Patterson%2C_NY_%28KF_Remaster%29.rar", "download link")</f>
        <v>download link</v>
      </c>
      <c r="I69" s="165" t="s">
        <v>4144</v>
      </c>
      <c r="J69" s="117" t="s">
        <v>1441</v>
      </c>
      <c r="K69" s="118" t="s">
        <v>4188</v>
      </c>
    </row>
    <row r="70">
      <c r="A70" s="142">
        <v>34530.0</v>
      </c>
      <c r="B70" s="144"/>
      <c r="C70" s="116" t="str">
        <f t="shared" si="7"/>
        <v>setlist</v>
      </c>
      <c r="D70" s="118" t="s">
        <v>993</v>
      </c>
      <c r="E70" s="118" t="s">
        <v>994</v>
      </c>
      <c r="F70" s="115" t="s">
        <v>129</v>
      </c>
      <c r="G70" s="115" t="s">
        <v>36</v>
      </c>
      <c r="H70" s="116" t="str">
        <f>HYPERLINK("http://www.mediafire.com/download/xe0nwky4t8o6kvy/1994-07-15_-_Jones_Beach_Amphitheater_-_Wantagh%2C_NY_%28KF_Remaster%29.rar", "download link")</f>
        <v>download link</v>
      </c>
      <c r="I70" s="165" t="s">
        <v>4144</v>
      </c>
      <c r="J70" s="117" t="s">
        <v>1313</v>
      </c>
      <c r="K70" s="146"/>
    </row>
    <row r="71">
      <c r="A71" s="142">
        <v>34531.0</v>
      </c>
      <c r="B71" s="115"/>
      <c r="C71" s="116" t="str">
        <f t="shared" si="7"/>
        <v>setlist</v>
      </c>
      <c r="D71" s="118" t="s">
        <v>1444</v>
      </c>
      <c r="E71" s="118" t="s">
        <v>1445</v>
      </c>
      <c r="F71" s="115" t="s">
        <v>35</v>
      </c>
      <c r="G71" s="115" t="s">
        <v>36</v>
      </c>
      <c r="H71" s="116" t="str">
        <f>HYPERLINK("http://www.mediafire.com/download/bkktdbas5whrac7/1994-07-16_-_Summer_Stage_at_Sugarbush_-_North_Fayston%2C_VT_%28CM_Remaster%29.rar", "download link")</f>
        <v>download link</v>
      </c>
      <c r="I71" s="165" t="s">
        <v>4147</v>
      </c>
      <c r="J71" s="117" t="s">
        <v>1465</v>
      </c>
      <c r="K71" s="117"/>
    </row>
    <row r="72">
      <c r="A72" s="142">
        <v>34640.0</v>
      </c>
      <c r="B72" s="115" t="s">
        <v>32</v>
      </c>
      <c r="C72" s="116" t="str">
        <f t="shared" si="7"/>
        <v>setlist</v>
      </c>
      <c r="D72" s="118" t="s">
        <v>1235</v>
      </c>
      <c r="E72" s="118" t="s">
        <v>1236</v>
      </c>
      <c r="F72" s="115" t="s">
        <v>257</v>
      </c>
      <c r="G72" s="115" t="s">
        <v>36</v>
      </c>
      <c r="H72" s="116" t="str">
        <f>HYPERLINK("http://www.mediafire.com/download/4dd191j8w5ynbg6/1994-11-02_-_Bangor_Auditorium_-_Bangor%2C_ME_%28KF_Remaster%29.rar", "download link")</f>
        <v>download link</v>
      </c>
      <c r="I72" s="165" t="s">
        <v>4144</v>
      </c>
      <c r="J72" s="117" t="s">
        <v>1491</v>
      </c>
      <c r="K72" s="117" t="s">
        <v>4189</v>
      </c>
    </row>
    <row r="73">
      <c r="A73" s="110">
        <v>34656.0</v>
      </c>
      <c r="B73" s="111"/>
      <c r="C73" s="135" t="str">
        <f t="shared" si="7"/>
        <v>setlist</v>
      </c>
      <c r="D73" s="113" t="s">
        <v>1508</v>
      </c>
      <c r="E73" s="113" t="s">
        <v>941</v>
      </c>
      <c r="F73" s="114" t="s">
        <v>712</v>
      </c>
      <c r="G73" s="114" t="s">
        <v>36</v>
      </c>
      <c r="H73" s="116" t="str">
        <f>HYPERLINK("http://www.mediafire.com/download/j5lxxx848r63pi5/1994-11-18_-_MSU_Auditorium%2C_Michigan_State_University_-_East_Lansing%2C_MI_%28dd_Remaster%29.rar", "download link")</f>
        <v>download link</v>
      </c>
      <c r="I73" s="165" t="s">
        <v>4150</v>
      </c>
      <c r="J73" s="117" t="s">
        <v>1509</v>
      </c>
      <c r="K73" s="117"/>
    </row>
    <row r="74">
      <c r="A74" s="142">
        <v>34677.0</v>
      </c>
      <c r="B74" s="144"/>
      <c r="C74" s="116" t="str">
        <f t="shared" si="7"/>
        <v>setlist</v>
      </c>
      <c r="D74" s="118" t="s">
        <v>1542</v>
      </c>
      <c r="E74" s="118" t="s">
        <v>1543</v>
      </c>
      <c r="F74" s="115" t="s">
        <v>805</v>
      </c>
      <c r="G74" s="115" t="s">
        <v>36</v>
      </c>
      <c r="H74" s="116" t="str">
        <f>HYPERLINK("http://www.mediafire.com/download/gil7s88ee9l8h96/1994-12-09_-_Mesa_Amphitheatre_-_Mesa%2C_AZ_%28KP_Remaster%29.rar", "download link")</f>
        <v>download link</v>
      </c>
      <c r="I74" s="165" t="s">
        <v>4146</v>
      </c>
      <c r="J74" s="117" t="s">
        <v>1589</v>
      </c>
      <c r="K74" s="117"/>
    </row>
    <row r="75">
      <c r="A75" s="407"/>
      <c r="B75" s="408"/>
      <c r="C75" s="408"/>
      <c r="D75" s="83">
        <v>1995.0</v>
      </c>
      <c r="E75" s="1"/>
      <c r="F75" s="408"/>
      <c r="G75" s="408"/>
      <c r="H75" s="408"/>
      <c r="I75" s="423"/>
      <c r="J75" s="1"/>
      <c r="K75" s="1"/>
    </row>
    <row r="76">
      <c r="A76" s="142">
        <v>34835.0</v>
      </c>
      <c r="B76" s="144"/>
      <c r="C76" s="116" t="str">
        <f t="shared" ref="C76:C95" si="8">HYPERLINK("http://www.phish.net/setlists/?d="&amp;RIGHT(TEXT(A76,"mm/dd/yyyy"),4)&amp;"-"&amp;LEFT(TEXT(A76,"mm/dd/yyyy"),2)&amp;"-"&amp;MID(TEXT(A76,"mm/dd/yyyy"),4,2), "setlist")</f>
        <v>setlist</v>
      </c>
      <c r="D76" s="118" t="s">
        <v>1558</v>
      </c>
      <c r="E76" s="118" t="s">
        <v>1559</v>
      </c>
      <c r="F76" s="115" t="s">
        <v>95</v>
      </c>
      <c r="G76" s="115" t="s">
        <v>36</v>
      </c>
      <c r="H76" s="116" t="str">
        <f>HYPERLINK("http://www.mediafire.com/download/4rrzlj1i07gnft9/1995-05-16_-_Lowell_Memorial_Auditorium_-_Lowell%2C_MA_%28KF_Remaster%29.rar", "download link")</f>
        <v>download link</v>
      </c>
      <c r="I76" s="165" t="s">
        <v>4144</v>
      </c>
      <c r="J76" s="117" t="s">
        <v>1560</v>
      </c>
      <c r="K76" s="118" t="s">
        <v>4190</v>
      </c>
    </row>
    <row r="77">
      <c r="A77" s="142">
        <v>34857.0</v>
      </c>
      <c r="B77" s="144"/>
      <c r="C77" s="116" t="str">
        <f t="shared" si="8"/>
        <v>setlist</v>
      </c>
      <c r="D77" s="118" t="s">
        <v>1561</v>
      </c>
      <c r="E77" s="118" t="s">
        <v>1562</v>
      </c>
      <c r="F77" s="115" t="s">
        <v>1563</v>
      </c>
      <c r="G77" s="115" t="s">
        <v>36</v>
      </c>
      <c r="H77" s="116" t="str">
        <f>HYPERLINK("http://www.mediafire.com/download/d1bm8wc9lc5cwcx/1995-06-07_-_Boise_State_University_Pavilion_-_Boise%2C_ID_%28KF_Remaster%29.rar", "download link")</f>
        <v>download link</v>
      </c>
      <c r="I77" s="165" t="s">
        <v>4144</v>
      </c>
      <c r="J77" s="117" t="s">
        <v>1564</v>
      </c>
      <c r="K77" s="146"/>
    </row>
    <row r="78">
      <c r="A78" s="142">
        <v>34859.0</v>
      </c>
      <c r="B78" s="144"/>
      <c r="C78" s="116" t="str">
        <f t="shared" si="8"/>
        <v>setlist</v>
      </c>
      <c r="D78" s="118" t="s">
        <v>1297</v>
      </c>
      <c r="E78" s="118" t="s">
        <v>1298</v>
      </c>
      <c r="F78" s="115" t="s">
        <v>203</v>
      </c>
      <c r="G78" s="115" t="s">
        <v>36</v>
      </c>
      <c r="H78" s="116" t="str">
        <f>HYPERLINK("http://www.mediafire.com/download/wmy74jszc5imbxu/1995-06-09_-_Red_Rocks_Amphitheatre_-_Morrison%2C_CO_%28dd_Remaster%29.rar", "download link")</f>
        <v>download link</v>
      </c>
      <c r="I78" s="165" t="s">
        <v>4150</v>
      </c>
      <c r="J78" s="117" t="s">
        <v>4191</v>
      </c>
      <c r="K78" s="146"/>
    </row>
    <row r="79">
      <c r="A79" s="142">
        <v>34860.0</v>
      </c>
      <c r="B79" s="144"/>
      <c r="C79" s="116" t="str">
        <f t="shared" si="8"/>
        <v>setlist</v>
      </c>
      <c r="D79" s="118" t="s">
        <v>1297</v>
      </c>
      <c r="E79" s="118" t="s">
        <v>1298</v>
      </c>
      <c r="F79" s="115" t="s">
        <v>203</v>
      </c>
      <c r="G79" s="115" t="s">
        <v>36</v>
      </c>
      <c r="H79" s="116" t="str">
        <f>HYPERLINK("http://www.mediafire.com/download/gbv6mtuvqc48al3/1995-06-10_-_Red_Rocks_Amphitheatre_-_Morrison%2C_CO_%28dd_Remaster%29.rar", "download link")</f>
        <v>download link</v>
      </c>
      <c r="I79" s="165" t="s">
        <v>4150</v>
      </c>
      <c r="J79" s="117" t="s">
        <v>4192</v>
      </c>
      <c r="K79" s="146"/>
    </row>
    <row r="80">
      <c r="A80" s="142">
        <v>34874.0</v>
      </c>
      <c r="B80" s="144"/>
      <c r="C80" s="116" t="str">
        <f t="shared" si="8"/>
        <v>setlist</v>
      </c>
      <c r="D80" s="118" t="s">
        <v>1001</v>
      </c>
      <c r="E80" s="118" t="s">
        <v>871</v>
      </c>
      <c r="F80" s="115" t="s">
        <v>212</v>
      </c>
      <c r="G80" s="115" t="s">
        <v>36</v>
      </c>
      <c r="H80" s="116" t="str">
        <f>HYPERLINK("http://www.mediafire.com/download/13yv2m58xf5g8m0/1995-06-24_-_The_Mann_Center_for_the_Performing_Arts_-_Philadelphia%2C_PA_%28CM_Remaster%29.rar", "download link")</f>
        <v>download link</v>
      </c>
      <c r="I80" s="165" t="s">
        <v>4147</v>
      </c>
      <c r="J80" s="117" t="s">
        <v>4193</v>
      </c>
      <c r="K80" s="146"/>
    </row>
    <row r="81">
      <c r="A81" s="142">
        <v>34882.0</v>
      </c>
      <c r="B81" s="144"/>
      <c r="C81" s="116" t="str">
        <f t="shared" si="8"/>
        <v>setlist</v>
      </c>
      <c r="D81" s="118" t="s">
        <v>1444</v>
      </c>
      <c r="E81" s="118" t="s">
        <v>1587</v>
      </c>
      <c r="F81" s="115" t="s">
        <v>35</v>
      </c>
      <c r="G81" s="115" t="s">
        <v>36</v>
      </c>
      <c r="H81" s="116" t="str">
        <f>HYPERLINK("http://www.mediafire.com/download/aeb3jdmf0zidp2i/1995-07-02_-_Summer_Stage_at_Sugarbush_-_North_Fayston%2C_VT_%28KF_Remaster%29.rar", "download link")</f>
        <v>download link</v>
      </c>
      <c r="I81" s="165" t="s">
        <v>4144</v>
      </c>
      <c r="J81" s="117" t="s">
        <v>1588</v>
      </c>
      <c r="K81" s="146"/>
    </row>
    <row r="82">
      <c r="A82" s="142">
        <v>34882.0</v>
      </c>
      <c r="B82" s="144"/>
      <c r="C82" s="116" t="str">
        <f t="shared" si="8"/>
        <v>setlist</v>
      </c>
      <c r="D82" s="118" t="s">
        <v>1444</v>
      </c>
      <c r="E82" s="118" t="s">
        <v>1587</v>
      </c>
      <c r="F82" s="115" t="s">
        <v>35</v>
      </c>
      <c r="G82" s="115" t="s">
        <v>36</v>
      </c>
      <c r="H82" s="116" t="str">
        <f>HYPERLINK("http://www.mediafire.com/download/fy80thei1nv12qb/1995-07-02_-_Summer_Stage_at_Sugarbush_-_North_Fayston%2C_VT_%28dd_Remaster%29.rar", "download link")</f>
        <v>download link</v>
      </c>
      <c r="I82" s="165" t="s">
        <v>4150</v>
      </c>
      <c r="J82" s="117" t="s">
        <v>4194</v>
      </c>
      <c r="K82" s="118"/>
    </row>
    <row r="83">
      <c r="A83" s="142">
        <v>34883.0</v>
      </c>
      <c r="B83" s="144"/>
      <c r="C83" s="116" t="str">
        <f t="shared" si="8"/>
        <v>setlist</v>
      </c>
      <c r="D83" s="118" t="s">
        <v>1444</v>
      </c>
      <c r="E83" s="118" t="s">
        <v>1587</v>
      </c>
      <c r="F83" s="115" t="s">
        <v>35</v>
      </c>
      <c r="G83" s="115" t="s">
        <v>36</v>
      </c>
      <c r="H83" s="116" t="str">
        <f>HYPERLINK("http://www.mediafire.com/download/sq9q07p6h20qwa1/1995-07-03_-_Summer_Stage_at_Sugarbush_-_North_Fayston%2C_VT_%28KF_Remaster%29.rar", "download link")</f>
        <v>download link</v>
      </c>
      <c r="I83" s="165" t="s">
        <v>4144</v>
      </c>
      <c r="J83" s="117" t="s">
        <v>1313</v>
      </c>
      <c r="K83" s="118" t="s">
        <v>4195</v>
      </c>
    </row>
    <row r="84">
      <c r="A84" s="142">
        <v>34883.0</v>
      </c>
      <c r="B84" s="144"/>
      <c r="C84" s="116" t="str">
        <f t="shared" si="8"/>
        <v>setlist</v>
      </c>
      <c r="D84" s="118" t="s">
        <v>1444</v>
      </c>
      <c r="E84" s="118" t="s">
        <v>1587</v>
      </c>
      <c r="F84" s="115" t="s">
        <v>35</v>
      </c>
      <c r="G84" s="115" t="s">
        <v>36</v>
      </c>
      <c r="H84" s="116" t="str">
        <f>HYPERLINK("http://www.mediafire.com/download/ld3m52auu11qxs7/1995-07-03_-_Summer_Stage_at_Sugarbush_-_North_Fayston%2C_VT_%28dd_Remaster%29.rar", "download link")</f>
        <v>download link</v>
      </c>
      <c r="I84" s="165" t="s">
        <v>4150</v>
      </c>
      <c r="J84" s="117" t="s">
        <v>4194</v>
      </c>
      <c r="K84" s="146"/>
    </row>
    <row r="85">
      <c r="A85" s="142">
        <v>34983.0</v>
      </c>
      <c r="B85" s="144"/>
      <c r="C85" s="116" t="str">
        <f t="shared" si="8"/>
        <v>setlist</v>
      </c>
      <c r="D85" s="118" t="s">
        <v>1607</v>
      </c>
      <c r="E85" s="118" t="s">
        <v>804</v>
      </c>
      <c r="F85" s="115" t="s">
        <v>805</v>
      </c>
      <c r="G85" s="115" t="s">
        <v>36</v>
      </c>
      <c r="H85" s="116" t="str">
        <f>HYPERLINK("http://www.mediafire.com/download/j3c2vsn7wq8snv6/1995-10-11_-_Compton_Terrace_Amphitheater_-_Chandler%2C_AZ_%28KF_Remaster%29.rar", "download link")</f>
        <v>download link</v>
      </c>
      <c r="I85" s="165" t="s">
        <v>4144</v>
      </c>
      <c r="J85" s="117" t="s">
        <v>1608</v>
      </c>
      <c r="K85" s="146"/>
    </row>
    <row r="86">
      <c r="A86" s="142">
        <v>34986.0</v>
      </c>
      <c r="B86" s="144"/>
      <c r="C86" s="116" t="str">
        <f t="shared" si="8"/>
        <v>setlist</v>
      </c>
      <c r="D86" s="113" t="s">
        <v>1612</v>
      </c>
      <c r="E86" s="113" t="s">
        <v>591</v>
      </c>
      <c r="F86" s="114" t="s">
        <v>589</v>
      </c>
      <c r="G86" s="114" t="s">
        <v>36</v>
      </c>
      <c r="H86" s="116" t="str">
        <f>HYPERLINK("http://www.mediafire.com/download/v5vzsabr0t8ux9u/1995-10-14_-_Austin_Music_Hall_-_Austin%2C_TX_%28CM_Remaster%29.rar", "download link")</f>
        <v>download link</v>
      </c>
      <c r="I86" s="165" t="s">
        <v>4147</v>
      </c>
      <c r="J86" s="117" t="s">
        <v>4196</v>
      </c>
      <c r="K86" s="146"/>
    </row>
    <row r="87">
      <c r="A87" s="110">
        <v>34997.0</v>
      </c>
      <c r="B87" s="111"/>
      <c r="C87" s="135" t="str">
        <f t="shared" si="8"/>
        <v>setlist</v>
      </c>
      <c r="D87" s="113" t="s">
        <v>1626</v>
      </c>
      <c r="E87" s="113" t="s">
        <v>786</v>
      </c>
      <c r="F87" s="114" t="s">
        <v>486</v>
      </c>
      <c r="G87" s="114" t="s">
        <v>36</v>
      </c>
      <c r="H87" s="116" t="str">
        <f>HYPERLINK("http://www.mediafire.com/download/3i54504q8v6cdud/1995-10-25_-_Civic_Center_Arena_-_St._Paul%2C_MN_%28dd_Remaster%29.rar", "download link")</f>
        <v>download link</v>
      </c>
      <c r="I87" s="165" t="s">
        <v>4150</v>
      </c>
      <c r="J87" s="117" t="s">
        <v>4197</v>
      </c>
      <c r="K87" s="146"/>
    </row>
    <row r="88">
      <c r="A88" s="142">
        <v>35012.0</v>
      </c>
      <c r="B88" s="144"/>
      <c r="C88" s="116" t="str">
        <f t="shared" si="8"/>
        <v>setlist</v>
      </c>
      <c r="D88" s="118" t="s">
        <v>897</v>
      </c>
      <c r="E88" s="118" t="s">
        <v>437</v>
      </c>
      <c r="F88" s="115" t="s">
        <v>433</v>
      </c>
      <c r="G88" s="115" t="s">
        <v>36</v>
      </c>
      <c r="H88" s="116" t="str">
        <f>HYPERLINK("http://www.mediafire.com/download/havxfihz6rc7him/1995-11-09_-_The_Fox_Theatre_-_Atlanta%2C_GA_%28KF_Remaster%29.rar", "download link")</f>
        <v>download link</v>
      </c>
      <c r="I88" s="165" t="s">
        <v>4144</v>
      </c>
      <c r="J88" s="117" t="s">
        <v>1638</v>
      </c>
      <c r="K88" s="146"/>
    </row>
    <row r="89">
      <c r="A89" s="142">
        <v>35012.0</v>
      </c>
      <c r="B89" s="144"/>
      <c r="C89" s="116" t="str">
        <f t="shared" si="8"/>
        <v>setlist</v>
      </c>
      <c r="D89" s="118" t="s">
        <v>897</v>
      </c>
      <c r="E89" s="118" t="s">
        <v>437</v>
      </c>
      <c r="F89" s="115" t="s">
        <v>433</v>
      </c>
      <c r="G89" s="115" t="s">
        <v>36</v>
      </c>
      <c r="H89" s="116" t="str">
        <f>HYPERLINK("http://www.mediafire.com/download/1hs8dlkgtdnxqth/1995-11-09_-_The_Fox_Theatre_-_Atlanta%2C_GA_%28dd_Remaster%29.rar", "download link")</f>
        <v>download link</v>
      </c>
      <c r="I89" s="165" t="s">
        <v>4150</v>
      </c>
      <c r="J89" s="117" t="s">
        <v>4198</v>
      </c>
      <c r="K89" s="146"/>
    </row>
    <row r="90">
      <c r="A90" s="142">
        <v>35013.0</v>
      </c>
      <c r="B90" s="144"/>
      <c r="C90" s="116" t="str">
        <f t="shared" si="8"/>
        <v>setlist</v>
      </c>
      <c r="D90" s="118" t="s">
        <v>897</v>
      </c>
      <c r="E90" s="118" t="s">
        <v>437</v>
      </c>
      <c r="F90" s="115" t="s">
        <v>433</v>
      </c>
      <c r="G90" s="115" t="s">
        <v>36</v>
      </c>
      <c r="H90" s="116" t="str">
        <f>HYPERLINK("http://www.mediafire.com/download/l9nu3a8l8bg6bog/1995-11-10_-_The_Fox_Theatre_-_Atlanta%2C_GA_%28KF_Remaster%29.rar", "download link")</f>
        <v>download link</v>
      </c>
      <c r="I90" s="165" t="s">
        <v>4144</v>
      </c>
      <c r="J90" s="117" t="s">
        <v>1639</v>
      </c>
      <c r="K90" s="146"/>
    </row>
    <row r="91">
      <c r="A91" s="142">
        <v>35014.0</v>
      </c>
      <c r="B91" s="144"/>
      <c r="C91" s="116" t="str">
        <f t="shared" si="8"/>
        <v>setlist</v>
      </c>
      <c r="D91" s="118" t="s">
        <v>897</v>
      </c>
      <c r="E91" s="118" t="s">
        <v>437</v>
      </c>
      <c r="F91" s="115" t="s">
        <v>433</v>
      </c>
      <c r="G91" s="115" t="s">
        <v>36</v>
      </c>
      <c r="H91" s="116" t="str">
        <f>HYPERLINK("http://www.mediafire.com/download/g5uuya2tqhmem73/1995-11-11_-_The_Fox_Theatre_-_Atlanta%2C_GA_%28KF_Remaster%29.rar", "download link")</f>
        <v>download link</v>
      </c>
      <c r="I91" s="165" t="s">
        <v>4144</v>
      </c>
      <c r="J91" s="117" t="s">
        <v>4199</v>
      </c>
      <c r="K91" s="146"/>
    </row>
    <row r="92">
      <c r="A92" s="142">
        <v>35022.0</v>
      </c>
      <c r="B92" s="144"/>
      <c r="C92" s="116" t="str">
        <f t="shared" si="8"/>
        <v>setlist</v>
      </c>
      <c r="D92" s="118" t="s">
        <v>1650</v>
      </c>
      <c r="E92" s="118" t="s">
        <v>541</v>
      </c>
      <c r="F92" s="115" t="s">
        <v>443</v>
      </c>
      <c r="G92" s="115" t="s">
        <v>36</v>
      </c>
      <c r="H92" s="116" t="str">
        <f>HYPERLINK("http://www.mediafire.com/file/4wnav2bn74qlbat/1995-11-19_-_Charlotte_Coliseum_-_Charlotte%2C_NC_(dd_Remaster).rar", "download link")</f>
        <v>download link</v>
      </c>
      <c r="I92" s="165" t="s">
        <v>4150</v>
      </c>
      <c r="J92" s="117" t="s">
        <v>4200</v>
      </c>
      <c r="K92" s="117"/>
    </row>
    <row r="93">
      <c r="A93" s="142">
        <v>35024.0</v>
      </c>
      <c r="B93" s="144"/>
      <c r="C93" s="116" t="str">
        <f t="shared" si="8"/>
        <v>setlist</v>
      </c>
      <c r="D93" s="118" t="s">
        <v>1343</v>
      </c>
      <c r="E93" s="118" t="s">
        <v>1652</v>
      </c>
      <c r="F93" s="115" t="s">
        <v>443</v>
      </c>
      <c r="G93" s="115" t="s">
        <v>36</v>
      </c>
      <c r="H93" s="116" t="str">
        <f>HYPERLINK("http://www.mediafire.com/download/4zi2mbkpfds81lh/1995-11-21_-_Lawrence_Joel_Veterans_Memorial_Coliseum_-_Winston-Salem%2C_NC_%28KF_Remaster%29.rar", "download link")</f>
        <v>download link</v>
      </c>
      <c r="I93" s="165" t="s">
        <v>4144</v>
      </c>
      <c r="J93" s="117" t="s">
        <v>4201</v>
      </c>
      <c r="K93" s="117" t="s">
        <v>4202</v>
      </c>
    </row>
    <row r="94">
      <c r="A94" s="142">
        <v>35031.0</v>
      </c>
      <c r="B94" s="144"/>
      <c r="C94" s="116" t="str">
        <f t="shared" si="8"/>
        <v>setlist</v>
      </c>
      <c r="D94" s="118" t="s">
        <v>1661</v>
      </c>
      <c r="E94" s="118" t="s">
        <v>649</v>
      </c>
      <c r="F94" s="115" t="s">
        <v>650</v>
      </c>
      <c r="G94" s="115" t="s">
        <v>36</v>
      </c>
      <c r="H94" s="116" t="str">
        <f>HYPERLINK("http://www.mediafire.com/download/khbctz9zd86zi5q/1995-11-28_-_Knoxville_Civic_Coliseum_-_Konxville%2C_TN_%28KF_Remaster%29.rar", "download link")</f>
        <v>download link</v>
      </c>
      <c r="I94" s="165" t="s">
        <v>4144</v>
      </c>
      <c r="J94" s="117" t="s">
        <v>1662</v>
      </c>
      <c r="K94" s="146"/>
    </row>
    <row r="95">
      <c r="A95" s="142">
        <v>35032.0</v>
      </c>
      <c r="B95" s="144"/>
      <c r="C95" s="116" t="str">
        <f t="shared" si="8"/>
        <v>setlist</v>
      </c>
      <c r="D95" s="118" t="s">
        <v>1424</v>
      </c>
      <c r="E95" s="118" t="s">
        <v>652</v>
      </c>
      <c r="F95" s="115" t="s">
        <v>650</v>
      </c>
      <c r="G95" s="115" t="s">
        <v>36</v>
      </c>
      <c r="H95" s="116" t="str">
        <f>HYPERLINK("http://www.mediafire.com/download/fce1urh15550cv4/1995-11-29_-_Municipal_Auditorium_-_Nashville%2C_TN_%28KF_Remaster%29.rar", "download link")</f>
        <v>download link</v>
      </c>
      <c r="I95" s="165" t="s">
        <v>4144</v>
      </c>
      <c r="J95" s="117" t="s">
        <v>1638</v>
      </c>
      <c r="K95" s="146"/>
    </row>
    <row r="96">
      <c r="A96" s="142">
        <v>35037.0</v>
      </c>
      <c r="B96" s="144"/>
      <c r="C96" s="116" t="str">
        <f>HYPERLINK("http://phish.net/setlists/?d="&amp;RIGHT(TEXT(A96,"mm/dd/yyyy"),4)&amp;"-"&amp;LEFT(TEXT(A96,"mm/dd/yyyy"),2)&amp;"-"&amp;MID(TEXT(A96,"mm/dd/yyyy"),4,2), "setlist")</f>
        <v>setlist</v>
      </c>
      <c r="D96" s="271" t="s">
        <v>1333</v>
      </c>
      <c r="E96" s="272" t="s">
        <v>164</v>
      </c>
      <c r="F96" s="115" t="s">
        <v>95</v>
      </c>
      <c r="G96" s="165" t="s">
        <v>36</v>
      </c>
      <c r="H96" s="116" t="str">
        <f>HYPERLINK("http://www.mediafire.com/download/n2wruswc4odpmer/1995-12-04_-_Mullins_Center%2C_University_of_Massachusetts_-_Amherst%2C_MA_%28KP_Remaster%29.rar", "download link")</f>
        <v>download link</v>
      </c>
      <c r="I96" s="425" t="s">
        <v>4146</v>
      </c>
      <c r="J96" s="311" t="s">
        <v>1313</v>
      </c>
      <c r="K96" s="313"/>
    </row>
    <row r="97">
      <c r="A97" s="142">
        <v>35042.0</v>
      </c>
      <c r="B97" s="144"/>
      <c r="C97" s="116" t="str">
        <f t="shared" ref="C97:C100" si="9">HYPERLINK("http://www.phish.net/setlists/?d="&amp;RIGHT(TEXT(A97,"mm/dd/yyyy"),4)&amp;"-"&amp;LEFT(TEXT(A97,"mm/dd/yyyy"),2)&amp;"-"&amp;MID(TEXT(A97,"mm/dd/yyyy"),4,2), "setlist")</f>
        <v>setlist</v>
      </c>
      <c r="D97" s="118" t="s">
        <v>1675</v>
      </c>
      <c r="E97" s="118" t="s">
        <v>309</v>
      </c>
      <c r="F97" s="115" t="s">
        <v>129</v>
      </c>
      <c r="G97" s="115" t="s">
        <v>36</v>
      </c>
      <c r="H97" s="116" t="str">
        <f>HYPERLINK("http://www.mediafire.com/download/c1zvppivaa1vbqn/1995-12-09_-_The_Knickerbocker_Arena_-_Albany%2C_NY_%28CM_Remaster%29.rar", "download link")</f>
        <v>download link</v>
      </c>
      <c r="I97" s="165" t="s">
        <v>4147</v>
      </c>
      <c r="J97" s="117" t="s">
        <v>4203</v>
      </c>
      <c r="K97" s="146"/>
    </row>
    <row r="98">
      <c r="A98" s="110">
        <v>35061.0</v>
      </c>
      <c r="B98" s="111"/>
      <c r="C98" s="135" t="str">
        <f t="shared" si="9"/>
        <v>setlist</v>
      </c>
      <c r="D98" s="113" t="s">
        <v>1315</v>
      </c>
      <c r="E98" s="113" t="s">
        <v>417</v>
      </c>
      <c r="F98" s="114" t="s">
        <v>95</v>
      </c>
      <c r="G98" s="114" t="s">
        <v>36</v>
      </c>
      <c r="H98" s="116" t="str">
        <f>HYPERLINK("http://www.mediafire.com/download/qmpwqq0my45bdku/1995-12-28_-_Worcester_Centrum_Centre_-_Worcester%2C_MA_%28dd_Remaster%29.rar", "download link")</f>
        <v>download link</v>
      </c>
      <c r="I98" s="165" t="s">
        <v>4150</v>
      </c>
      <c r="J98" s="117" t="s">
        <v>4204</v>
      </c>
      <c r="K98" s="146"/>
    </row>
    <row r="99">
      <c r="A99" s="142">
        <v>35062.0</v>
      </c>
      <c r="B99" s="144"/>
      <c r="C99" s="116" t="str">
        <f t="shared" si="9"/>
        <v>setlist</v>
      </c>
      <c r="D99" s="170" t="s">
        <v>1315</v>
      </c>
      <c r="E99" s="170" t="s">
        <v>417</v>
      </c>
      <c r="F99" s="426" t="s">
        <v>95</v>
      </c>
      <c r="G99" s="165" t="s">
        <v>36</v>
      </c>
      <c r="H99" s="116" t="str">
        <f>HYPERLINK("http://www.mediafire.com/download/03b0hjiukrhxmh5/1995-12-29_-_Worcester_Centrum_Centre_-_Worcester%2C_MA_%28CM_Remaster%29.rar", "download link")</f>
        <v>download link</v>
      </c>
      <c r="I99" s="165" t="s">
        <v>4205</v>
      </c>
      <c r="J99" s="117" t="s">
        <v>4206</v>
      </c>
      <c r="K99" s="146"/>
    </row>
    <row r="100">
      <c r="A100" s="142">
        <v>35063.0</v>
      </c>
      <c r="B100" s="144"/>
      <c r="C100" s="116" t="str">
        <f t="shared" si="9"/>
        <v>setlist</v>
      </c>
      <c r="D100" s="113" t="s">
        <v>1553</v>
      </c>
      <c r="E100" s="113" t="s">
        <v>162</v>
      </c>
      <c r="F100" s="114" t="s">
        <v>129</v>
      </c>
      <c r="G100" s="114" t="s">
        <v>36</v>
      </c>
      <c r="H100" s="116" t="str">
        <f>HYPERLINK("http://www.mediafire.com/download/6fwxy2h36i4zhn1/1995-12-30_-_Madison_Square_Garden_-_New_York%2C_NY_%28CM_Remaster%29.rar", "download link")</f>
        <v>download link</v>
      </c>
      <c r="I100" s="165" t="s">
        <v>4205</v>
      </c>
      <c r="J100" s="117" t="s">
        <v>4207</v>
      </c>
      <c r="K100" s="146"/>
    </row>
    <row r="101">
      <c r="A101" s="407"/>
      <c r="B101" s="408"/>
      <c r="C101" s="408"/>
      <c r="D101" s="83">
        <v>1996.0</v>
      </c>
      <c r="E101" s="1"/>
      <c r="F101" s="408"/>
      <c r="G101" s="408"/>
      <c r="H101" s="408"/>
      <c r="I101" s="423"/>
      <c r="J101" s="1"/>
      <c r="K101" s="1"/>
    </row>
    <row r="102">
      <c r="A102" s="142">
        <v>35222.0</v>
      </c>
      <c r="B102" s="115" t="s">
        <v>32</v>
      </c>
      <c r="C102" s="116" t="str">
        <f t="shared" ref="C102:C113" si="10">HYPERLINK("http://www.phish.net/setlists/?d="&amp;RIGHT(TEXT(A102,"mm/dd/yyyy"),4)&amp;"-"&amp;LEFT(TEXT(A102,"mm/dd/yyyy"),2)&amp;"-"&amp;MID(TEXT(A102,"mm/dd/yyyy"),4,2), "setlist")</f>
        <v>setlist</v>
      </c>
      <c r="D102" s="118" t="s">
        <v>1688</v>
      </c>
      <c r="E102" s="118" t="s">
        <v>1689</v>
      </c>
      <c r="F102" s="115" t="s">
        <v>129</v>
      </c>
      <c r="G102" s="115" t="s">
        <v>36</v>
      </c>
      <c r="H102" s="116" t="str">
        <f>HYPERLINK("http://www.mediafire.com/download/0w2vzw0mbfxqfcq/1996-06-06_-_Joyous_Lake_-_Woodstock%2C_NY_%28KF_Remaster%29.rar", "download link")</f>
        <v>download link</v>
      </c>
      <c r="I102" s="165" t="s">
        <v>4144</v>
      </c>
      <c r="J102" s="117" t="s">
        <v>1690</v>
      </c>
      <c r="K102" s="146"/>
    </row>
    <row r="103">
      <c r="A103" s="142">
        <v>35263.0</v>
      </c>
      <c r="B103" s="144"/>
      <c r="C103" s="116" t="str">
        <f t="shared" si="10"/>
        <v>setlist</v>
      </c>
      <c r="D103" s="113" t="s">
        <v>1717</v>
      </c>
      <c r="E103" s="113" t="s">
        <v>1718</v>
      </c>
      <c r="F103" s="114" t="s">
        <v>980</v>
      </c>
      <c r="G103" s="114" t="s">
        <v>36</v>
      </c>
      <c r="H103" s="116" t="str">
        <f>HYPERLINK("http://www.mediafire.com/download/vf9w7at7y1pf722/1996-07-17_-_Theatre_Antique_-_Vienne%2C_France_%28CM_Remaster%29.rar", "download link")</f>
        <v>download link</v>
      </c>
      <c r="I103" s="165" t="s">
        <v>4147</v>
      </c>
      <c r="J103" s="117" t="s">
        <v>1271</v>
      </c>
      <c r="K103" s="146"/>
    </row>
    <row r="104">
      <c r="A104" s="142">
        <v>35264.0</v>
      </c>
      <c r="B104" s="144"/>
      <c r="C104" s="116" t="str">
        <f t="shared" si="10"/>
        <v>setlist</v>
      </c>
      <c r="D104" s="118" t="s">
        <v>1720</v>
      </c>
      <c r="E104" s="118" t="s">
        <v>1721</v>
      </c>
      <c r="F104" s="115" t="s">
        <v>980</v>
      </c>
      <c r="G104" s="115" t="s">
        <v>36</v>
      </c>
      <c r="H104" s="116" t="str">
        <f>HYPERLINK("http://www.mediafire.com/download/za773x83saafiw1/1996-07-18_-_Theatre_de_Verdure_-_Nice%2C_France_%28CM_Remaster%29.rar", "download link")</f>
        <v>download link</v>
      </c>
      <c r="I104" s="165" t="s">
        <v>4147</v>
      </c>
      <c r="J104" s="117" t="s">
        <v>1271</v>
      </c>
      <c r="K104" s="146"/>
    </row>
    <row r="105">
      <c r="A105" s="142">
        <v>35281.0</v>
      </c>
      <c r="B105" s="144"/>
      <c r="C105" s="116" t="str">
        <f t="shared" si="10"/>
        <v>setlist</v>
      </c>
      <c r="D105" s="118" t="s">
        <v>1297</v>
      </c>
      <c r="E105" s="118" t="s">
        <v>1298</v>
      </c>
      <c r="F105" s="115" t="s">
        <v>203</v>
      </c>
      <c r="G105" s="115" t="s">
        <v>36</v>
      </c>
      <c r="H105" s="116" t="str">
        <f>HYPERLINK("http://www.mediafire.com/download/8a783911it1hlf1/1996-08-04_-_Red_Rocks_Amphitheatre_-_Morrison%2C_CO_%28KF_Remaster%29.rar", "download link")</f>
        <v>download link</v>
      </c>
      <c r="I105" s="165" t="s">
        <v>4144</v>
      </c>
      <c r="J105" s="117" t="s">
        <v>1736</v>
      </c>
      <c r="K105" s="146"/>
    </row>
    <row r="106">
      <c r="A106" s="142">
        <v>35282.0</v>
      </c>
      <c r="B106" s="144"/>
      <c r="C106" s="116" t="str">
        <f t="shared" si="10"/>
        <v>setlist</v>
      </c>
      <c r="D106" s="118" t="s">
        <v>1297</v>
      </c>
      <c r="E106" s="118" t="s">
        <v>1298</v>
      </c>
      <c r="F106" s="115" t="s">
        <v>203</v>
      </c>
      <c r="G106" s="115" t="s">
        <v>36</v>
      </c>
      <c r="H106" s="116" t="str">
        <f>HYPERLINK("http://www.mediafire.com/download/yc6pje369xe1o3j/1996-08-05_-_Red_Rocks_Amphitheatre_-_Morrison%2C_CO_%28KF_Remaster%29.rar", "download link")</f>
        <v>download link</v>
      </c>
      <c r="I106" s="165" t="s">
        <v>4144</v>
      </c>
      <c r="J106" s="117" t="s">
        <v>1736</v>
      </c>
      <c r="K106" s="118" t="s">
        <v>4208</v>
      </c>
    </row>
    <row r="107">
      <c r="A107" s="142">
        <v>35283.0</v>
      </c>
      <c r="B107" s="144"/>
      <c r="C107" s="116" t="str">
        <f t="shared" si="10"/>
        <v>setlist</v>
      </c>
      <c r="D107" s="118" t="s">
        <v>1297</v>
      </c>
      <c r="E107" s="118" t="s">
        <v>1298</v>
      </c>
      <c r="F107" s="115" t="s">
        <v>203</v>
      </c>
      <c r="G107" s="115" t="s">
        <v>36</v>
      </c>
      <c r="H107" s="116" t="str">
        <f>HYPERLINK("http://www.mediafire.com/download/0143f6f7v8plvx4/1996-08-06_-_Red_Rocks_Amphitheatre_-_Morrison%2C_CO_%28KF_Remaster%29.rar", "download link")</f>
        <v>download link</v>
      </c>
      <c r="I107" s="165" t="s">
        <v>4144</v>
      </c>
      <c r="J107" s="117" t="s">
        <v>1736</v>
      </c>
      <c r="K107" s="118" t="s">
        <v>4209</v>
      </c>
    </row>
    <row r="108">
      <c r="A108" s="142">
        <v>35284.0</v>
      </c>
      <c r="B108" s="144"/>
      <c r="C108" s="116" t="str">
        <f t="shared" si="10"/>
        <v>setlist</v>
      </c>
      <c r="D108" s="118" t="s">
        <v>1297</v>
      </c>
      <c r="E108" s="118" t="s">
        <v>1298</v>
      </c>
      <c r="F108" s="115" t="s">
        <v>203</v>
      </c>
      <c r="G108" s="115" t="s">
        <v>36</v>
      </c>
      <c r="H108" s="116" t="str">
        <f>HYPERLINK("http://www.mediafire.com/download/1za1q00517fzade/1996-08-07_-_Red_Rocks_Amphitheatre_-_Morrison%2C_CO_%28KF_Remaster%29.rar", "download link")</f>
        <v>download link</v>
      </c>
      <c r="I108" s="165" t="s">
        <v>4144</v>
      </c>
      <c r="J108" s="117" t="s">
        <v>1736</v>
      </c>
      <c r="K108" s="146"/>
    </row>
    <row r="109">
      <c r="A109" s="142">
        <v>35355.0</v>
      </c>
      <c r="B109" s="144"/>
      <c r="C109" s="116" t="str">
        <f t="shared" si="10"/>
        <v>setlist</v>
      </c>
      <c r="D109" s="118" t="s">
        <v>1750</v>
      </c>
      <c r="E109" s="118" t="s">
        <v>1751</v>
      </c>
      <c r="F109" s="115" t="s">
        <v>212</v>
      </c>
      <c r="G109" s="115" t="s">
        <v>36</v>
      </c>
      <c r="H109" s="116" t="str">
        <f>HYPERLINK("http://www.mediafire.com/download/exxo9p98ax68cgv/1996-10-17_-_Bryce_Jordan_Center%2C_Penn_State_University_-_State_College%2C_PA_%28CM_Remaster%29.rar", "download link")</f>
        <v>download link</v>
      </c>
      <c r="I109" s="165" t="s">
        <v>4147</v>
      </c>
      <c r="J109" s="117" t="s">
        <v>4210</v>
      </c>
      <c r="K109" s="146"/>
    </row>
    <row r="110">
      <c r="A110" s="142">
        <v>35363.0</v>
      </c>
      <c r="B110" s="144"/>
      <c r="C110" s="116" t="str">
        <f t="shared" si="10"/>
        <v>setlist</v>
      </c>
      <c r="D110" s="118" t="s">
        <v>1659</v>
      </c>
      <c r="E110" s="118" t="s">
        <v>1660</v>
      </c>
      <c r="F110" s="115" t="s">
        <v>446</v>
      </c>
      <c r="G110" s="115" t="s">
        <v>36</v>
      </c>
      <c r="H110" s="116" t="str">
        <f>HYPERLINK("http://www.mediafire.com/download/9t72zstgtkj2ofb/1996-10-25_-_Hampton_Coliseum_-_Hampton%2C_VA_%28CM_Remaster%29.rar", "download link")</f>
        <v>download link</v>
      </c>
      <c r="I110" s="165" t="s">
        <v>4147</v>
      </c>
      <c r="J110" s="117" t="s">
        <v>4211</v>
      </c>
      <c r="K110" s="146"/>
    </row>
    <row r="111">
      <c r="A111" s="142">
        <v>35364.0</v>
      </c>
      <c r="B111" s="144"/>
      <c r="C111" s="116" t="str">
        <f t="shared" si="10"/>
        <v>setlist</v>
      </c>
      <c r="D111" s="113" t="s">
        <v>1650</v>
      </c>
      <c r="E111" s="113" t="s">
        <v>541</v>
      </c>
      <c r="F111" s="114" t="s">
        <v>443</v>
      </c>
      <c r="G111" s="114" t="s">
        <v>36</v>
      </c>
      <c r="H111" s="116" t="str">
        <f>HYPERLINK("http://www.mediafire.com/download/8c55xdqdk4odm68/1996-10-26_-_Charlotte_Coliseum_-_Charlotte%2C_NC_%28CM_Remaster%29.rar", "download link")</f>
        <v>download link</v>
      </c>
      <c r="I111" s="165" t="s">
        <v>4147</v>
      </c>
      <c r="J111" s="117" t="s">
        <v>4212</v>
      </c>
      <c r="K111" s="146"/>
    </row>
    <row r="112">
      <c r="A112" s="142">
        <v>35367.0</v>
      </c>
      <c r="B112" s="144"/>
      <c r="C112" s="116" t="str">
        <f t="shared" si="10"/>
        <v>setlist</v>
      </c>
      <c r="D112" s="118" t="s">
        <v>1761</v>
      </c>
      <c r="E112" s="118" t="s">
        <v>1132</v>
      </c>
      <c r="F112" s="115" t="s">
        <v>1133</v>
      </c>
      <c r="G112" s="115" t="s">
        <v>36</v>
      </c>
      <c r="H112" s="116" t="str">
        <f>HYPERLINK("http://www.mediafire.com/download/ca2386ofusii146/1996-10-29_-_Leon_County_Civic_Center_-_Tallahassee%2C_FL_%28KF_Remaster%29.rar", "download link")</f>
        <v>download link</v>
      </c>
      <c r="I112" s="165" t="s">
        <v>4144</v>
      </c>
      <c r="J112" s="117" t="s">
        <v>1762</v>
      </c>
      <c r="K112" s="146"/>
    </row>
    <row r="113">
      <c r="A113" s="142">
        <v>35376.0</v>
      </c>
      <c r="B113" s="144"/>
      <c r="C113" s="116" t="str">
        <f t="shared" si="10"/>
        <v>setlist</v>
      </c>
      <c r="D113" s="118" t="s">
        <v>1769</v>
      </c>
      <c r="E113" s="118" t="s">
        <v>1341</v>
      </c>
      <c r="F113" s="115" t="s">
        <v>1210</v>
      </c>
      <c r="G113" s="115" t="s">
        <v>36</v>
      </c>
      <c r="H113" s="116" t="str">
        <f>HYPERLINK("http://www.mediafire.com/download/9gk22sgqgc7x8ls/1996-11-07_-_Rupp_Arena_-_Lexington%2C_KY_%28KF_Remaster%29.rar", "download link")</f>
        <v>download link</v>
      </c>
      <c r="I113" s="165" t="s">
        <v>4144</v>
      </c>
      <c r="J113" s="117" t="s">
        <v>1770</v>
      </c>
      <c r="K113" s="146"/>
    </row>
    <row r="114">
      <c r="A114" s="142">
        <v>35376.0</v>
      </c>
      <c r="B114" s="144"/>
      <c r="C114" s="116" t="str">
        <f>HYPERLINK("http://phish.net/setlists/?d="&amp;RIGHT(TEXT(A114,"mm/dd/yyyy"),4)&amp;"-"&amp;LEFT(TEXT(A114,"mm/dd/yyyy"),2)&amp;"-"&amp;MID(TEXT(A114,"mm/dd/yyyy"),4,2), "setlist")</f>
        <v>setlist</v>
      </c>
      <c r="D114" s="272" t="s">
        <v>1769</v>
      </c>
      <c r="E114" s="272" t="s">
        <v>1341</v>
      </c>
      <c r="F114" s="115" t="s">
        <v>1210</v>
      </c>
      <c r="G114" s="165" t="s">
        <v>36</v>
      </c>
      <c r="H114" s="116" t="str">
        <f>HYPERLINK("http://www.mediafire.com/download/nm0fijnidst6a12/1996-11-07_-_Rupp_Arena_-_Lexington%2C_KY_%28KP_Remaster%29.rar", "download link")</f>
        <v>download link</v>
      </c>
      <c r="I114" s="425" t="s">
        <v>4146</v>
      </c>
      <c r="J114" s="291" t="s">
        <v>1770</v>
      </c>
      <c r="K114" s="292"/>
    </row>
    <row r="115">
      <c r="A115" s="142">
        <v>35377.0</v>
      </c>
      <c r="B115" s="144"/>
      <c r="C115" s="116" t="str">
        <f t="shared" ref="C115:C122" si="11">HYPERLINK("http://www.phish.net/setlists/?d="&amp;RIGHT(TEXT(A115,"mm/dd/yyyy"),4)&amp;"-"&amp;LEFT(TEXT(A115,"mm/dd/yyyy"),2)&amp;"-"&amp;MID(TEXT(A115,"mm/dd/yyyy"),4,2), "setlist")</f>
        <v>setlist</v>
      </c>
      <c r="D115" s="118" t="s">
        <v>1622</v>
      </c>
      <c r="E115" s="118" t="s">
        <v>781</v>
      </c>
      <c r="F115" s="115" t="s">
        <v>480</v>
      </c>
      <c r="G115" s="115" t="s">
        <v>36</v>
      </c>
      <c r="H115" s="116" t="str">
        <f>HYPERLINK("http://www.mediafire.com/download/z7187aiw44794ua/1996-11-08_-_Assembly_Hall%2C_University_of_Illinois_-_Champaign%2C_IL_%28KF_Remaster%29.rar", "download link")</f>
        <v>download link</v>
      </c>
      <c r="I115" s="165" t="s">
        <v>4144</v>
      </c>
      <c r="J115" s="117" t="s">
        <v>1770</v>
      </c>
      <c r="K115" s="118" t="s">
        <v>4213</v>
      </c>
    </row>
    <row r="116">
      <c r="A116" s="142">
        <v>35378.0</v>
      </c>
      <c r="B116" s="144"/>
      <c r="C116" s="116" t="str">
        <f t="shared" si="11"/>
        <v>setlist</v>
      </c>
      <c r="D116" s="118" t="s">
        <v>1630</v>
      </c>
      <c r="E116" s="118" t="s">
        <v>1631</v>
      </c>
      <c r="F116" s="115" t="s">
        <v>712</v>
      </c>
      <c r="G116" s="115" t="s">
        <v>36</v>
      </c>
      <c r="H116" s="116" t="str">
        <f>HYPERLINK("http://www.mediafire.com/download/lid9kigwz0l8jmb/1996-11-09_-_The_Palace_of_Auburn_Hills_-_Auburn_Hills%2C_MI_%28KF_Remaster%29.rar", "download link")</f>
        <v>download link</v>
      </c>
      <c r="I116" s="165" t="s">
        <v>4144</v>
      </c>
      <c r="J116" s="170" t="s">
        <v>1771</v>
      </c>
      <c r="K116" s="146"/>
    </row>
    <row r="117">
      <c r="A117" s="142">
        <v>35387.0</v>
      </c>
      <c r="B117" s="144"/>
      <c r="C117" s="116" t="str">
        <f t="shared" si="11"/>
        <v>setlist</v>
      </c>
      <c r="D117" s="118" t="s">
        <v>1783</v>
      </c>
      <c r="E117" s="118" t="s">
        <v>656</v>
      </c>
      <c r="F117" s="115" t="s">
        <v>650</v>
      </c>
      <c r="G117" s="115" t="s">
        <v>36</v>
      </c>
      <c r="H117" s="116" t="str">
        <f>HYPERLINK("http://www.mediafire.com/download/yx2qxji3w7mf9mf/1996-11-18_-_Mid-South_Coliseum_-_Memphis%2C_TN_%28KF_Remaster%29.rar", "download link")</f>
        <v>download link</v>
      </c>
      <c r="I117" s="165" t="s">
        <v>4144</v>
      </c>
      <c r="J117" s="117" t="s">
        <v>1784</v>
      </c>
      <c r="K117" s="146"/>
    </row>
    <row r="118">
      <c r="A118" s="142">
        <v>35388.0</v>
      </c>
      <c r="B118" s="144"/>
      <c r="C118" s="116" t="str">
        <f t="shared" si="11"/>
        <v>setlist</v>
      </c>
      <c r="D118" s="118" t="s">
        <v>1424</v>
      </c>
      <c r="E118" s="118" t="s">
        <v>1204</v>
      </c>
      <c r="F118" s="115" t="s">
        <v>886</v>
      </c>
      <c r="G118" s="115" t="s">
        <v>36</v>
      </c>
      <c r="H118" s="116" t="str">
        <f>HYPERLINK("http://www.mediafire.com/download/wh4ls3at48419xj/1996-11-19_-_Municipal_Auditorium_-_Kansas_City%2C_MO_%28KF_Remaster%29.rar", "download link")</f>
        <v>download link</v>
      </c>
      <c r="I118" s="165" t="s">
        <v>4144</v>
      </c>
      <c r="J118" s="117" t="s">
        <v>1785</v>
      </c>
      <c r="K118" s="146"/>
    </row>
    <row r="119">
      <c r="A119" s="142">
        <v>35388.0</v>
      </c>
      <c r="B119" s="144"/>
      <c r="C119" s="116" t="str">
        <f t="shared" si="11"/>
        <v>setlist</v>
      </c>
      <c r="D119" s="118" t="s">
        <v>1424</v>
      </c>
      <c r="E119" s="118" t="s">
        <v>1204</v>
      </c>
      <c r="F119" s="115" t="s">
        <v>886</v>
      </c>
      <c r="G119" s="165" t="s">
        <v>36</v>
      </c>
      <c r="H119" s="116" t="str">
        <f>HYPERLINK("http://www.mediafire.com/download/duuw3gyk5octcan/1996-11-19_-_Municipal_Auditorium_-_Kansas_City%2C_MO_%28KP_Remaster%29.rar", "download link")</f>
        <v>download link</v>
      </c>
      <c r="I119" s="165" t="s">
        <v>4146</v>
      </c>
      <c r="J119" s="117" t="s">
        <v>1785</v>
      </c>
      <c r="K119" s="146"/>
    </row>
    <row r="120">
      <c r="A120" s="142">
        <v>35427.0</v>
      </c>
      <c r="B120" s="144"/>
      <c r="C120" s="116" t="str">
        <f t="shared" si="11"/>
        <v>setlist</v>
      </c>
      <c r="D120" s="118" t="s">
        <v>1315</v>
      </c>
      <c r="E120" s="118" t="s">
        <v>417</v>
      </c>
      <c r="F120" s="115" t="s">
        <v>95</v>
      </c>
      <c r="G120" s="115" t="s">
        <v>36</v>
      </c>
      <c r="H120" s="116" t="str">
        <f>HYPERLINK("http://www.mediafire.com/download/yny4novmcx8oxr4/1996-12-28_-_CoreStates_Spectrum_-_Philadelphia%2C_PA_%28KF_Remaster%29.rar", "download link")</f>
        <v>download link</v>
      </c>
      <c r="I120" s="165" t="s">
        <v>4144</v>
      </c>
      <c r="J120" s="117" t="s">
        <v>1808</v>
      </c>
      <c r="K120" s="146"/>
    </row>
    <row r="121">
      <c r="A121" s="142">
        <v>35428.0</v>
      </c>
      <c r="B121" s="144"/>
      <c r="C121" s="116" t="str">
        <f t="shared" si="11"/>
        <v>setlist</v>
      </c>
      <c r="D121" s="117" t="s">
        <v>1315</v>
      </c>
      <c r="E121" s="117" t="s">
        <v>417</v>
      </c>
      <c r="F121" s="165" t="s">
        <v>95</v>
      </c>
      <c r="G121" s="165" t="s">
        <v>36</v>
      </c>
      <c r="H121" s="197" t="str">
        <f>HYPERLINK("", "download link")</f>
        <v>download link</v>
      </c>
      <c r="I121" s="165" t="s">
        <v>4144</v>
      </c>
      <c r="J121" s="146"/>
      <c r="K121" s="146"/>
    </row>
    <row r="122">
      <c r="A122" s="142">
        <v>35428.0</v>
      </c>
      <c r="B122" s="144"/>
      <c r="C122" s="116" t="str">
        <f t="shared" si="11"/>
        <v>setlist</v>
      </c>
      <c r="D122" s="118" t="s">
        <v>1678</v>
      </c>
      <c r="E122" s="118" t="s">
        <v>871</v>
      </c>
      <c r="F122" s="115" t="s">
        <v>212</v>
      </c>
      <c r="G122" s="165" t="s">
        <v>36</v>
      </c>
      <c r="H122" s="116" t="str">
        <f>HYPERLINK("http://www.mediafire.com/download/0g8q44ggyt80dxf/1996-12-29_-_CoreStates_Spectrum_-_Philadelphia%2C_PA_%28KP_Remaster%29.rar", "download link")</f>
        <v>download link</v>
      </c>
      <c r="I122" s="165" t="s">
        <v>4146</v>
      </c>
      <c r="J122" s="311" t="s">
        <v>4214</v>
      </c>
      <c r="K122" s="313"/>
    </row>
    <row r="123">
      <c r="A123" s="407"/>
      <c r="B123" s="408"/>
      <c r="C123" s="408"/>
      <c r="D123" s="83">
        <v>1997.0</v>
      </c>
      <c r="E123" s="1"/>
      <c r="F123" s="408"/>
      <c r="G123" s="408"/>
      <c r="H123" s="408"/>
      <c r="I123" s="423"/>
      <c r="J123" s="1"/>
      <c r="K123" s="1"/>
    </row>
    <row r="124">
      <c r="A124" s="142">
        <v>35478.0</v>
      </c>
      <c r="B124" s="144"/>
      <c r="C124" s="116" t="str">
        <f>HYPERLINK("http://phish.net/setlists/?d="&amp;RIGHT(TEXT(A124,"mm/dd/yyyy"),4)&amp;"-"&amp;LEFT(TEXT(A124,"mm/dd/yyyy"),2)&amp;"-"&amp;MID(TEXT(A124,"mm/dd/yyyy"),4,2), "setlist")</f>
        <v>setlist</v>
      </c>
      <c r="D124" s="272" t="s">
        <v>1817</v>
      </c>
      <c r="E124" s="272" t="s">
        <v>1708</v>
      </c>
      <c r="F124" s="115" t="s">
        <v>1709</v>
      </c>
      <c r="G124" s="165" t="s">
        <v>36</v>
      </c>
      <c r="H124" s="116" t="str">
        <f>HYPERLINK("http://www.mediafire.com/download/d9uve9pd7y5wywf/1997-02-17_-_Paradiso_-_Amsterdam%2C_Netherlands_%28KP_Remaster%29.rar", "download link")</f>
        <v>download link</v>
      </c>
      <c r="I124" s="425" t="s">
        <v>4146</v>
      </c>
      <c r="J124" s="427" t="s">
        <v>1818</v>
      </c>
      <c r="K124" s="428"/>
    </row>
    <row r="125">
      <c r="A125" s="142">
        <v>35602.0</v>
      </c>
      <c r="B125" s="144"/>
      <c r="C125" s="116" t="str">
        <f>HYPERLINK("http://www.phish.net/setlists/?d="&amp;RIGHT(TEXT(A125,"mm/dd/yyyy"),4)&amp;"-"&amp;LEFT(TEXT(A125,"mm/dd/yyyy"),2)&amp;"-"&amp;MID(TEXT(A125,"mm/dd/yyyy"),4,2), "setlist")</f>
        <v>setlist</v>
      </c>
      <c r="D125" s="118" t="s">
        <v>1868</v>
      </c>
      <c r="E125" s="118" t="s">
        <v>1869</v>
      </c>
      <c r="F125" s="115" t="s">
        <v>966</v>
      </c>
      <c r="G125" s="115" t="s">
        <v>36</v>
      </c>
      <c r="H125" s="116" t="str">
        <f>HYPERLINK("http://www.mediafire.com/download/7i27hkbk7s1bhjh/1997-06-21_-_Hurricane_Festival_-_Scheessel%2C_Germany_%28KF_Remaster%29.rar", "download link")</f>
        <v>download link</v>
      </c>
      <c r="I125" s="165" t="s">
        <v>4144</v>
      </c>
      <c r="J125" s="117" t="s">
        <v>4215</v>
      </c>
      <c r="K125" s="146"/>
    </row>
    <row r="126">
      <c r="A126" s="142">
        <v>35612.0</v>
      </c>
      <c r="B126" s="144"/>
      <c r="C126" s="116" t="str">
        <f t="shared" ref="C126:C127" si="12">HYPERLINK("http://phish.net/setlists/?d="&amp;RIGHT(TEXT(A126,"mm/dd/yyyy"),4)&amp;"-"&amp;LEFT(TEXT(A126,"mm/dd/yyyy"),2)&amp;"-"&amp;MID(TEXT(A126,"mm/dd/yyyy"),4,2), "setlist")</f>
        <v>setlist</v>
      </c>
      <c r="D126" s="272" t="s">
        <v>1817</v>
      </c>
      <c r="E126" s="272" t="s">
        <v>1708</v>
      </c>
      <c r="F126" s="115" t="s">
        <v>1709</v>
      </c>
      <c r="G126" s="165" t="s">
        <v>36</v>
      </c>
      <c r="H126" s="116" t="str">
        <f>HYPERLINK("http://www.mediafire.com/download/39nogn08caw1umg/1997-07-01_-_Paradiso_-_Amsterdam%2C_Netherlands_%28KP_Remaster%29.rar", "download link")</f>
        <v>download link</v>
      </c>
      <c r="I126" s="425" t="s">
        <v>4146</v>
      </c>
      <c r="J126" s="311" t="s">
        <v>1884</v>
      </c>
      <c r="K126" s="313"/>
    </row>
    <row r="127">
      <c r="A127" s="142">
        <v>35613.0</v>
      </c>
      <c r="B127" s="144"/>
      <c r="C127" s="116" t="str">
        <f t="shared" si="12"/>
        <v>setlist</v>
      </c>
      <c r="D127" s="272" t="s">
        <v>1817</v>
      </c>
      <c r="E127" s="272" t="s">
        <v>1708</v>
      </c>
      <c r="F127" s="115" t="s">
        <v>1709</v>
      </c>
      <c r="G127" s="165" t="s">
        <v>36</v>
      </c>
      <c r="H127" s="116" t="str">
        <f>HYPERLINK("http://www.mediafire.com/download/4arrl65ztihpd41/1997-07-02_-_Paradiso_-_Amsterdam%2C_Netherlands_%28KP_Remaster%29.rar", "download link")</f>
        <v>download link</v>
      </c>
      <c r="I127" s="425" t="s">
        <v>4146</v>
      </c>
      <c r="J127" s="311" t="s">
        <v>1885</v>
      </c>
      <c r="K127" s="313"/>
    </row>
    <row r="128">
      <c r="A128" s="142">
        <v>35620.0</v>
      </c>
      <c r="B128" s="144"/>
      <c r="C128" s="116" t="str">
        <f t="shared" ref="C128:C155" si="13">HYPERLINK("http://www.phish.net/setlists/?d="&amp;RIGHT(TEXT(A128,"mm/dd/yyyy"),4)&amp;"-"&amp;LEFT(TEXT(A128,"mm/dd/yyyy"),2)&amp;"-"&amp;MID(TEXT(A128,"mm/dd/yyyy"),4,2), "setlist")</f>
        <v>setlist</v>
      </c>
      <c r="D128" s="118" t="s">
        <v>1895</v>
      </c>
      <c r="E128" s="118" t="s">
        <v>1896</v>
      </c>
      <c r="F128" s="115" t="s">
        <v>980</v>
      </c>
      <c r="G128" s="115" t="s">
        <v>36</v>
      </c>
      <c r="H128" s="116" t="str">
        <f>HYPERLINK("http://www.mediafire.com/download/ie1w2hdp1rnxk7e/1997-07-09_-_Le_Transbordeur_-_Lyon%2C_France_%28KF_Remaster%29.rar", "download link")</f>
        <v>download link</v>
      </c>
      <c r="I128" s="165" t="s">
        <v>4144</v>
      </c>
      <c r="J128" s="117" t="s">
        <v>1897</v>
      </c>
      <c r="K128" s="146"/>
    </row>
    <row r="129">
      <c r="A129" s="142">
        <v>35621.0</v>
      </c>
      <c r="B129" s="144"/>
      <c r="C129" s="116" t="str">
        <f t="shared" si="13"/>
        <v>setlist</v>
      </c>
      <c r="D129" s="118" t="s">
        <v>1898</v>
      </c>
      <c r="E129" s="118" t="s">
        <v>1899</v>
      </c>
      <c r="F129" s="115" t="s">
        <v>980</v>
      </c>
      <c r="G129" s="115" t="s">
        <v>36</v>
      </c>
      <c r="H129" s="116" t="str">
        <f>HYPERLINK("http://www.mediafire.com/download/u7v9m5lrgay62nb/1997-07-10_-_Espace_Julien_-_Marseilles%2C_France_%28KF_Remaster%29.rar", "download link")</f>
        <v>download link</v>
      </c>
      <c r="I129" s="165" t="s">
        <v>4144</v>
      </c>
      <c r="J129" s="117" t="s">
        <v>1900</v>
      </c>
      <c r="K129" s="146"/>
    </row>
    <row r="130">
      <c r="A130" s="142">
        <v>35632.0</v>
      </c>
      <c r="B130" s="144"/>
      <c r="C130" s="116" t="str">
        <f t="shared" si="13"/>
        <v>setlist</v>
      </c>
      <c r="D130" s="118" t="s">
        <v>1905</v>
      </c>
      <c r="E130" s="118" t="s">
        <v>1906</v>
      </c>
      <c r="F130" s="115" t="s">
        <v>446</v>
      </c>
      <c r="G130" s="115" t="s">
        <v>36</v>
      </c>
      <c r="H130" s="116" t="str">
        <f>HYPERLINK("http://www.mediafire.com/download/c4e559cl5k8ut1j/1997-07-21_-_Virginia_Beach_Amphitheater_-_Virginia_Beach%2C_VA_%28KF_Remaster%29.rar", "download link")</f>
        <v>download link</v>
      </c>
      <c r="I130" s="165" t="s">
        <v>4144</v>
      </c>
      <c r="J130" s="117" t="s">
        <v>1907</v>
      </c>
      <c r="K130" s="146"/>
    </row>
    <row r="131">
      <c r="A131" s="142">
        <v>35632.0</v>
      </c>
      <c r="B131" s="144"/>
      <c r="C131" s="116" t="str">
        <f t="shared" si="13"/>
        <v>setlist</v>
      </c>
      <c r="D131" s="118" t="s">
        <v>1905</v>
      </c>
      <c r="E131" s="118" t="s">
        <v>1906</v>
      </c>
      <c r="F131" s="115" t="s">
        <v>446</v>
      </c>
      <c r="G131" s="165" t="s">
        <v>36</v>
      </c>
      <c r="H131" s="116" t="str">
        <f>HYPERLINK("http://www.mediafire.com/download/67atna9wopb1x17/1997-07-21_-_Virginia_Beach_Amphitheater_-_Virginia_Beach%2C_VA_%28KP_Remaster%29.rar", "download link")</f>
        <v>download link</v>
      </c>
      <c r="I131" s="425" t="s">
        <v>4146</v>
      </c>
      <c r="J131" s="117" t="s">
        <v>1907</v>
      </c>
      <c r="K131" s="428"/>
    </row>
    <row r="132">
      <c r="A132" s="142">
        <v>35634.0</v>
      </c>
      <c r="B132" s="144"/>
      <c r="C132" s="116" t="str">
        <f t="shared" si="13"/>
        <v>setlist</v>
      </c>
      <c r="D132" s="118" t="s">
        <v>1573</v>
      </c>
      <c r="E132" s="118" t="s">
        <v>437</v>
      </c>
      <c r="F132" s="115" t="s">
        <v>433</v>
      </c>
      <c r="G132" s="115" t="s">
        <v>36</v>
      </c>
      <c r="H132" s="116" t="str">
        <f>HYPERLINK("http://www.mediafire.com/download/t3xsethq88y52et/1997-07-23_-_Lakewood_Amphitheatre_-_Atlanta%2C_GA_%28KF_Remaster%29.rar", "download link")</f>
        <v>download link</v>
      </c>
      <c r="I132" s="165" t="s">
        <v>4144</v>
      </c>
      <c r="J132" s="117" t="s">
        <v>1909</v>
      </c>
      <c r="K132" s="118" t="s">
        <v>4216</v>
      </c>
    </row>
    <row r="133">
      <c r="A133" s="142">
        <v>35636.0</v>
      </c>
      <c r="B133" s="144"/>
      <c r="C133" s="116" t="str">
        <f t="shared" si="13"/>
        <v>setlist</v>
      </c>
      <c r="D133" s="118" t="s">
        <v>1910</v>
      </c>
      <c r="E133" s="118" t="s">
        <v>593</v>
      </c>
      <c r="F133" s="115" t="s">
        <v>589</v>
      </c>
      <c r="G133" s="115" t="s">
        <v>36</v>
      </c>
      <c r="H133" s="116" t="str">
        <f>HYPERLINK("http://www.mediafire.com/download/55twqad8cr8uxb4/1997-07-25_-_Starplex_Amphitheatre_-_Dallas%2C_TX_%28KF_Remaster%29.rar", "download link")</f>
        <v>download link</v>
      </c>
      <c r="I133" s="165" t="s">
        <v>4144</v>
      </c>
      <c r="J133" s="117" t="s">
        <v>1911</v>
      </c>
      <c r="K133" s="146"/>
    </row>
    <row r="134">
      <c r="A134" s="142">
        <v>35637.0</v>
      </c>
      <c r="B134" s="144"/>
      <c r="C134" s="116" t="str">
        <f t="shared" si="13"/>
        <v>setlist</v>
      </c>
      <c r="D134" s="118" t="s">
        <v>1912</v>
      </c>
      <c r="E134" s="118" t="s">
        <v>591</v>
      </c>
      <c r="F134" s="115" t="s">
        <v>589</v>
      </c>
      <c r="G134" s="115" t="s">
        <v>36</v>
      </c>
      <c r="H134" s="116" t="str">
        <f>HYPERLINK("http://www.mediafire.com/download/v34psqarb40lhra/1997-07-26_-_South_Park_Meadows_-_Austin%2C_TX_%28KF_Remaster%29.rar", "download link")</f>
        <v>download link</v>
      </c>
      <c r="I134" s="165" t="s">
        <v>4144</v>
      </c>
      <c r="J134" s="117" t="s">
        <v>1770</v>
      </c>
      <c r="K134" s="146"/>
    </row>
    <row r="135">
      <c r="A135" s="142">
        <v>35640.0</v>
      </c>
      <c r="B135" s="144"/>
      <c r="C135" s="116" t="str">
        <f t="shared" si="13"/>
        <v>setlist</v>
      </c>
      <c r="D135" s="118" t="s">
        <v>1913</v>
      </c>
      <c r="E135" s="118" t="s">
        <v>1160</v>
      </c>
      <c r="F135" s="115" t="s">
        <v>805</v>
      </c>
      <c r="G135" s="115" t="s">
        <v>36</v>
      </c>
      <c r="H135" s="116" t="str">
        <f>HYPERLINK("http://www.mediafire.com/download/3rxes7mjt075auk/1997-07-29_-_Desert_Sky_Pavilion_-_Phoenix%2C_AZ_%28KF_Remaster%29.rar", "download link")</f>
        <v>download link</v>
      </c>
      <c r="I135" s="165" t="s">
        <v>4144</v>
      </c>
      <c r="J135" s="117" t="s">
        <v>1914</v>
      </c>
      <c r="K135" s="118" t="s">
        <v>4217</v>
      </c>
    </row>
    <row r="136">
      <c r="A136" s="142">
        <v>35641.0</v>
      </c>
      <c r="B136" s="144"/>
      <c r="C136" s="116" t="str">
        <f t="shared" si="13"/>
        <v>setlist</v>
      </c>
      <c r="D136" s="118" t="s">
        <v>1915</v>
      </c>
      <c r="E136" s="118" t="s">
        <v>1168</v>
      </c>
      <c r="F136" s="115" t="s">
        <v>679</v>
      </c>
      <c r="G136" s="115" t="s">
        <v>36</v>
      </c>
      <c r="H136" s="116" t="str">
        <f>HYPERLINK("http://www.mediafire.com/download/f8ph2u4a8743ahu/1997-07-30_-_Ventura_County_Fairgrounds_-_Ventura%2C_CA_%28KF_Remaster%29.rar", "download link")</f>
        <v>download link</v>
      </c>
      <c r="I136" s="165" t="s">
        <v>4144</v>
      </c>
      <c r="J136" s="117" t="s">
        <v>4218</v>
      </c>
      <c r="K136" s="118" t="s">
        <v>4219</v>
      </c>
    </row>
    <row r="137">
      <c r="A137" s="142">
        <v>35642.0</v>
      </c>
      <c r="B137" s="144"/>
      <c r="C137" s="116" t="str">
        <f t="shared" si="13"/>
        <v>setlist</v>
      </c>
      <c r="D137" s="118" t="s">
        <v>1052</v>
      </c>
      <c r="E137" s="118" t="s">
        <v>1053</v>
      </c>
      <c r="F137" s="115" t="s">
        <v>679</v>
      </c>
      <c r="G137" s="115" t="s">
        <v>36</v>
      </c>
      <c r="H137" s="116" t="str">
        <f>HYPERLINK("http://www.mediafire.com/download/lldyu1rg2kkam79/1997-07-31_-_Shoreline_Amphitheatre_-_Mountain_View%2C_CA_%28KF_Remaster%29.rar", "download link")</f>
        <v>download link</v>
      </c>
      <c r="I137" s="165" t="s">
        <v>4144</v>
      </c>
      <c r="J137" s="117" t="s">
        <v>4220</v>
      </c>
      <c r="K137" s="146"/>
    </row>
    <row r="138">
      <c r="A138" s="142">
        <v>35642.0</v>
      </c>
      <c r="B138" s="144"/>
      <c r="C138" s="116" t="str">
        <f t="shared" si="13"/>
        <v>setlist</v>
      </c>
      <c r="D138" s="118" t="s">
        <v>1052</v>
      </c>
      <c r="E138" s="118" t="s">
        <v>1053</v>
      </c>
      <c r="F138" s="115" t="s">
        <v>679</v>
      </c>
      <c r="G138" s="165" t="s">
        <v>36</v>
      </c>
      <c r="H138" s="116" t="str">
        <f>HYPERLINK("http://www.mediafire.com/download/z0oaaw7qtca829r/1997-07-31_-_Shoreline_Amphitheatre_-_Mountain_View%2C_CA_%28KP_Remaster%29.rar", "download link")</f>
        <v>download link</v>
      </c>
      <c r="I138" s="425" t="s">
        <v>4146</v>
      </c>
      <c r="J138" s="311" t="s">
        <v>4220</v>
      </c>
      <c r="K138" s="313"/>
    </row>
    <row r="139">
      <c r="A139" s="142">
        <v>35644.0</v>
      </c>
      <c r="B139" s="144"/>
      <c r="C139" s="116" t="str">
        <f t="shared" si="13"/>
        <v>setlist</v>
      </c>
      <c r="D139" s="118" t="s">
        <v>1918</v>
      </c>
      <c r="E139" s="118" t="s">
        <v>1919</v>
      </c>
      <c r="F139" s="115" t="s">
        <v>701</v>
      </c>
      <c r="G139" s="115" t="s">
        <v>36</v>
      </c>
      <c r="H139" s="116" t="str">
        <f>HYPERLINK("http://www.mediafire.com/download/zvwomqhf8ocp2r8/1997-08-02_-_Gorge_Amphitheatre_-_George%2C_WA_%28KF_Remaster%29.rar", "download link")</f>
        <v>download link</v>
      </c>
      <c r="I139" s="165" t="s">
        <v>4144</v>
      </c>
      <c r="J139" s="117" t="s">
        <v>1192</v>
      </c>
      <c r="K139" s="118" t="s">
        <v>4221</v>
      </c>
    </row>
    <row r="140">
      <c r="A140" s="142">
        <v>35645.0</v>
      </c>
      <c r="B140" s="144"/>
      <c r="C140" s="116" t="str">
        <f t="shared" si="13"/>
        <v>setlist</v>
      </c>
      <c r="D140" s="118" t="s">
        <v>1918</v>
      </c>
      <c r="E140" s="118" t="s">
        <v>1919</v>
      </c>
      <c r="F140" s="115" t="s">
        <v>701</v>
      </c>
      <c r="G140" s="115" t="s">
        <v>36</v>
      </c>
      <c r="H140" s="116" t="str">
        <f>HYPERLINK("http://www.mediafire.com/download/du68cixlv28bd70/1997-08-03_-_Gorge_Amphitheatre_-_George%2C_WA_%28KF_Remaster%29.rar", "download link")</f>
        <v>download link</v>
      </c>
      <c r="I140" s="165" t="s">
        <v>4144</v>
      </c>
      <c r="J140" s="117" t="s">
        <v>1192</v>
      </c>
      <c r="K140" s="146"/>
    </row>
    <row r="141">
      <c r="A141" s="142">
        <v>35648.0</v>
      </c>
      <c r="B141" s="144"/>
      <c r="C141" s="116" t="str">
        <f t="shared" si="13"/>
        <v>setlist</v>
      </c>
      <c r="D141" s="118" t="s">
        <v>1028</v>
      </c>
      <c r="E141" s="118" t="s">
        <v>1569</v>
      </c>
      <c r="F141" s="115" t="s">
        <v>886</v>
      </c>
      <c r="G141" s="115" t="s">
        <v>36</v>
      </c>
      <c r="H141" s="116" t="str">
        <f>HYPERLINK("http://www.mediafire.com/download/yt2qbffk3af2474/1997-08-06_-_Riverport_Amphitheater_-_Maryland_Heights%2C_MO_%28KF_Remaster%29.rar", "download link")</f>
        <v>download link</v>
      </c>
      <c r="I141" s="165" t="s">
        <v>4144</v>
      </c>
      <c r="J141" s="117" t="s">
        <v>1920</v>
      </c>
      <c r="K141" s="117" t="s">
        <v>4222</v>
      </c>
    </row>
    <row r="142">
      <c r="A142" s="142">
        <v>35650.0</v>
      </c>
      <c r="B142" s="144"/>
      <c r="C142" s="116" t="str">
        <f t="shared" si="13"/>
        <v>setlist</v>
      </c>
      <c r="D142" s="118" t="s">
        <v>1921</v>
      </c>
      <c r="E142" s="118" t="s">
        <v>1292</v>
      </c>
      <c r="F142" s="115" t="s">
        <v>480</v>
      </c>
      <c r="G142" s="115" t="s">
        <v>36</v>
      </c>
      <c r="H142" s="116" t="str">
        <f>HYPERLINK("http://www.mediafire.com/download/02a6n3tolxp1hof/1997-08-08_-_New_World_Music_Theatre_-_Tinley_Park%2C_IL_%28KF_Remaster%29.rar", "download link")</f>
        <v>download link</v>
      </c>
      <c r="I142" s="165" t="s">
        <v>4144</v>
      </c>
      <c r="J142" s="117" t="s">
        <v>1922</v>
      </c>
      <c r="K142" s="146"/>
    </row>
    <row r="143">
      <c r="A143" s="142">
        <v>35651.0</v>
      </c>
      <c r="B143" s="144"/>
      <c r="C143" s="116" t="str">
        <f t="shared" si="13"/>
        <v>setlist</v>
      </c>
      <c r="D143" s="118" t="s">
        <v>1737</v>
      </c>
      <c r="E143" s="118" t="s">
        <v>1738</v>
      </c>
      <c r="F143" s="115" t="s">
        <v>483</v>
      </c>
      <c r="G143" s="115" t="s">
        <v>36</v>
      </c>
      <c r="H143" s="116" t="str">
        <f>HYPERLINK("http://www.mediafire.com/download/0m9pm58xx5pxknq/1997-08-09_-_Alpine_Valley_Music_Theatre_-_East_Troy%2C_WI_%28KF_Remaster%29.rar", "download link")</f>
        <v>download link</v>
      </c>
      <c r="I143" s="165" t="s">
        <v>4144</v>
      </c>
      <c r="J143" s="117" t="s">
        <v>1192</v>
      </c>
      <c r="K143" s="118" t="s">
        <v>4223</v>
      </c>
    </row>
    <row r="144">
      <c r="A144" s="142">
        <v>35652.0</v>
      </c>
      <c r="B144" s="144"/>
      <c r="C144" s="116" t="str">
        <f t="shared" si="13"/>
        <v>setlist</v>
      </c>
      <c r="D144" s="118" t="s">
        <v>1578</v>
      </c>
      <c r="E144" s="118" t="s">
        <v>1579</v>
      </c>
      <c r="F144" s="115" t="s">
        <v>508</v>
      </c>
      <c r="G144" s="115" t="s">
        <v>36</v>
      </c>
      <c r="H144" s="116" t="str">
        <f>HYPERLINK("http://www.mediafire.com/download/272d6sunn311c1h/1997-08-10_-_Deer_Creek_Music_Center_-_Noblesville%2C_IN_%28KF_Remaster%29.rar", "download link")</f>
        <v>download link</v>
      </c>
      <c r="I144" s="165" t="s">
        <v>4144</v>
      </c>
      <c r="J144" s="117" t="s">
        <v>1923</v>
      </c>
      <c r="K144" s="146"/>
    </row>
    <row r="145">
      <c r="A145" s="142">
        <v>35653.0</v>
      </c>
      <c r="B145" s="144"/>
      <c r="C145" s="116" t="str">
        <f t="shared" si="13"/>
        <v>setlist</v>
      </c>
      <c r="D145" s="118" t="s">
        <v>1578</v>
      </c>
      <c r="E145" s="118" t="s">
        <v>1579</v>
      </c>
      <c r="F145" s="115" t="s">
        <v>508</v>
      </c>
      <c r="G145" s="115" t="s">
        <v>36</v>
      </c>
      <c r="H145" s="116" t="str">
        <f>HYPERLINK("http://www.mediafire.com/download/pursfx3f9jtwkfg/1997-08-11_-_Deer_Creek_Music_Center_-_Noblesville%2C_IN_%28KF_Remaster%29.rar", "download link")</f>
        <v>download link</v>
      </c>
      <c r="I145" s="165" t="s">
        <v>4144</v>
      </c>
      <c r="J145" s="117" t="s">
        <v>4224</v>
      </c>
      <c r="K145" s="146"/>
    </row>
    <row r="146">
      <c r="A146" s="142">
        <v>35655.0</v>
      </c>
      <c r="B146" s="144"/>
      <c r="C146" s="116" t="str">
        <f t="shared" si="13"/>
        <v>setlist</v>
      </c>
      <c r="D146" s="118" t="s">
        <v>1925</v>
      </c>
      <c r="E146" s="118" t="s">
        <v>1926</v>
      </c>
      <c r="F146" s="115" t="s">
        <v>212</v>
      </c>
      <c r="G146" s="115" t="s">
        <v>36</v>
      </c>
      <c r="H146" s="116" t="str">
        <f>HYPERLINK("http://www.mediafire.com/download/y1dwmouci0gwq0p/1997-08-13_-_Star_Lake_Amphitheatre_-_Burgettstown%2C_PA_%28KF_Remaster%29.rar", "download link")</f>
        <v>download link</v>
      </c>
      <c r="I146" s="165" t="s">
        <v>4144</v>
      </c>
      <c r="J146" s="117" t="s">
        <v>4225</v>
      </c>
      <c r="K146" s="146"/>
    </row>
    <row r="147">
      <c r="A147" s="142">
        <v>35656.0</v>
      </c>
      <c r="B147" s="144"/>
      <c r="C147" s="116" t="str">
        <f t="shared" si="13"/>
        <v>setlist</v>
      </c>
      <c r="D147" s="118" t="s">
        <v>1278</v>
      </c>
      <c r="E147" s="118" t="s">
        <v>1279</v>
      </c>
      <c r="F147" s="115" t="s">
        <v>129</v>
      </c>
      <c r="G147" s="115" t="s">
        <v>36</v>
      </c>
      <c r="H147" s="116" t="str">
        <f>HYPERLINK("http://www.mediafire.com/download/c5sz0uaoj3u7l4j/1997-08-14_-_Darien_Lake_Performing_Arts_Center_-_Darien_Center%2C_NY_%28KF_Remaster%29.rar", "download link")</f>
        <v>download link</v>
      </c>
      <c r="I147" s="165" t="s">
        <v>4144</v>
      </c>
      <c r="J147" s="117" t="s">
        <v>1928</v>
      </c>
      <c r="K147" s="146"/>
    </row>
    <row r="148">
      <c r="A148" s="142">
        <v>35658.0</v>
      </c>
      <c r="B148" s="115" t="s">
        <v>32</v>
      </c>
      <c r="C148" s="116" t="str">
        <f t="shared" si="13"/>
        <v>setlist</v>
      </c>
      <c r="D148" s="118" t="s">
        <v>1929</v>
      </c>
      <c r="E148" s="118" t="s">
        <v>1930</v>
      </c>
      <c r="F148" s="115" t="s">
        <v>257</v>
      </c>
      <c r="G148" s="115" t="s">
        <v>36</v>
      </c>
      <c r="H148" s="116" t="str">
        <f>HYPERLINK("http://www.mediafire.com/download/nmc6dk5dcmcw6rk/1997-08-16_-_The_Great_Went_-_Loring_Air_Force_Base_-_Limestone%2C_ME_%28KF_Remaster%29.rar", "download link")</f>
        <v>download link</v>
      </c>
      <c r="I148" s="165" t="s">
        <v>4144</v>
      </c>
      <c r="J148" s="117" t="s">
        <v>1931</v>
      </c>
      <c r="K148" s="146"/>
    </row>
    <row r="149">
      <c r="A149" s="142">
        <v>35659.0</v>
      </c>
      <c r="B149" s="144"/>
      <c r="C149" s="116" t="str">
        <f t="shared" si="13"/>
        <v>setlist</v>
      </c>
      <c r="D149" s="117" t="s">
        <v>1932</v>
      </c>
      <c r="E149" s="118" t="s">
        <v>1930</v>
      </c>
      <c r="F149" s="115" t="s">
        <v>257</v>
      </c>
      <c r="G149" s="115" t="s">
        <v>36</v>
      </c>
      <c r="H149" s="116" t="str">
        <f>HYPERLINK("http://www.mediafire.com/download/mprqems48lpwpy4/1997-08-17_-_The_Great_Went_-_Disco_Set_-_Limestone%2C_ME_%28KF_Remaster%29.rar", "download link")</f>
        <v>download link</v>
      </c>
      <c r="I149" s="165" t="s">
        <v>4144</v>
      </c>
      <c r="J149" s="117" t="s">
        <v>1933</v>
      </c>
      <c r="K149" s="146"/>
    </row>
    <row r="150">
      <c r="A150" s="142">
        <v>35659.0</v>
      </c>
      <c r="B150" s="115" t="s">
        <v>32</v>
      </c>
      <c r="C150" s="116" t="str">
        <f t="shared" si="13"/>
        <v>setlist</v>
      </c>
      <c r="D150" s="118" t="s">
        <v>1929</v>
      </c>
      <c r="E150" s="118" t="s">
        <v>1930</v>
      </c>
      <c r="F150" s="115" t="s">
        <v>257</v>
      </c>
      <c r="G150" s="115" t="s">
        <v>36</v>
      </c>
      <c r="H150" s="116" t="str">
        <f>HYPERLINK("http://www.mediafire.com/download/9qdask54mma7axc/1997-08-17_-_The_Great_Went_-_Loring_Air_Force_Base_-_Limestone%2C_ME_%28KF_Remaster%29.rar", "download link")</f>
        <v>download link</v>
      </c>
      <c r="I150" s="165" t="s">
        <v>4144</v>
      </c>
      <c r="J150" s="117" t="s">
        <v>1934</v>
      </c>
      <c r="K150" s="146"/>
    </row>
    <row r="151">
      <c r="A151" s="142">
        <v>35748.0</v>
      </c>
      <c r="B151" s="144"/>
      <c r="C151" s="135" t="str">
        <f t="shared" si="13"/>
        <v>setlist</v>
      </c>
      <c r="D151" s="118" t="s">
        <v>1939</v>
      </c>
      <c r="E151" s="118" t="s">
        <v>1940</v>
      </c>
      <c r="F151" s="115" t="s">
        <v>1302</v>
      </c>
      <c r="G151" s="115" t="s">
        <v>36</v>
      </c>
      <c r="H151" s="116" t="str">
        <f>HYPERLINK("http://www.mediafire.com/download/ccyb31epcniawkp/1997-11-14_-_The_%27E%27_Center_-_West_Valley_City%2C_UT_%28dd_Remaster%29.rar", "download link")</f>
        <v>download link</v>
      </c>
      <c r="I151" s="165" t="s">
        <v>4150</v>
      </c>
      <c r="J151" s="117" t="s">
        <v>4226</v>
      </c>
      <c r="K151" s="118"/>
    </row>
    <row r="152">
      <c r="A152" s="142">
        <v>35750.0</v>
      </c>
      <c r="B152" s="144"/>
      <c r="C152" s="116" t="str">
        <f t="shared" si="13"/>
        <v>setlist</v>
      </c>
      <c r="D152" s="118" t="s">
        <v>1941</v>
      </c>
      <c r="E152" s="118" t="s">
        <v>499</v>
      </c>
      <c r="F152" s="115" t="s">
        <v>203</v>
      </c>
      <c r="G152" s="165" t="s">
        <v>36</v>
      </c>
      <c r="H152" s="116" t="str">
        <f>HYPERLINK("http://www.mediafire.com/download/cjd9k84icngiv1r/1997-11-16_-_McNichols_Arena_-_Denver%2C_CO_%28KP_Remaster%29.rar", "download link")</f>
        <v>download link</v>
      </c>
      <c r="I152" s="165" t="s">
        <v>4146</v>
      </c>
      <c r="J152" s="117" t="s">
        <v>4227</v>
      </c>
      <c r="K152" s="118"/>
    </row>
    <row r="153">
      <c r="A153" s="142">
        <v>35753.0</v>
      </c>
      <c r="B153" s="144"/>
      <c r="C153" s="116" t="str">
        <f t="shared" si="13"/>
        <v>setlist</v>
      </c>
      <c r="D153" s="118" t="s">
        <v>1622</v>
      </c>
      <c r="E153" s="118" t="s">
        <v>781</v>
      </c>
      <c r="F153" s="115" t="s">
        <v>480</v>
      </c>
      <c r="G153" s="115" t="s">
        <v>36</v>
      </c>
      <c r="H153" s="116" t="str">
        <f>HYPERLINK("http://www.mediafire.com/download/w2wnaod65uxfunr/1997-11-19_-_Assembly_Hall%2C_University_of_Illinois_-_Champaign%2C_IL_%28KF_Remaster%29.rar", "download link")</f>
        <v>download link</v>
      </c>
      <c r="I153" s="165" t="s">
        <v>4144</v>
      </c>
      <c r="J153" s="117" t="s">
        <v>4228</v>
      </c>
      <c r="K153" s="118" t="s">
        <v>4229</v>
      </c>
    </row>
    <row r="154">
      <c r="A154" s="142">
        <v>35753.0</v>
      </c>
      <c r="B154" s="144"/>
      <c r="C154" s="116" t="str">
        <f t="shared" si="13"/>
        <v>setlist</v>
      </c>
      <c r="D154" s="118" t="s">
        <v>1622</v>
      </c>
      <c r="E154" s="118" t="s">
        <v>781</v>
      </c>
      <c r="F154" s="115" t="s">
        <v>480</v>
      </c>
      <c r="G154" s="165" t="s">
        <v>36</v>
      </c>
      <c r="H154" s="116" t="str">
        <f>HYPERLINK("http://www.mediafire.com/download/kpe3k41vubgqwb4/1997-11-19_-_Assembly_Hall%2C_University_of_Illinois_-_Champaign%2C_IL_%28KP_Remaster%29.rar", "download link")</f>
        <v>download link</v>
      </c>
      <c r="I154" s="425" t="s">
        <v>4146</v>
      </c>
      <c r="J154" s="311" t="s">
        <v>4230</v>
      </c>
      <c r="K154" s="313"/>
    </row>
    <row r="155">
      <c r="A155" s="142">
        <v>35757.0</v>
      </c>
      <c r="B155" s="144"/>
      <c r="C155" s="116" t="str">
        <f t="shared" si="13"/>
        <v>setlist</v>
      </c>
      <c r="D155" s="118" t="s">
        <v>1343</v>
      </c>
      <c r="E155" s="118" t="s">
        <v>879</v>
      </c>
      <c r="F155" s="115" t="s">
        <v>443</v>
      </c>
      <c r="G155" s="115" t="s">
        <v>36</v>
      </c>
      <c r="H155" s="116" t="str">
        <f>HYPERLINK("http://www.mediafire.com/download/lb3vadu3l77jw23/1997-11-23_-_Lawrence_Joel_Veterans_Memorial_Coliseum_-_Winston-Salem%2C_NC_%28CM_Remaster%29.rar", "download link")</f>
        <v>download link</v>
      </c>
      <c r="I155" s="165" t="s">
        <v>4147</v>
      </c>
      <c r="J155" s="117" t="s">
        <v>4231</v>
      </c>
      <c r="K155" s="118"/>
    </row>
    <row r="156">
      <c r="A156" s="142">
        <v>35757.0</v>
      </c>
      <c r="B156" s="144"/>
      <c r="C156" s="116" t="str">
        <f>HYPERLINK("http://phish.net/setlists/?d="&amp;RIGHT(TEXT(A156,"mm/dd/yyyy"),4)&amp;"-"&amp;LEFT(TEXT(A156,"mm/dd/yyyy"),2)&amp;"-"&amp;MID(TEXT(A156,"mm/dd/yyyy"),4,2), "setlist")</f>
        <v>setlist</v>
      </c>
      <c r="D156" s="272" t="s">
        <v>1343</v>
      </c>
      <c r="E156" s="272" t="s">
        <v>879</v>
      </c>
      <c r="F156" s="115" t="s">
        <v>443</v>
      </c>
      <c r="G156" s="165" t="s">
        <v>36</v>
      </c>
      <c r="H156" s="116" t="str">
        <f>HYPERLINK("http://www.mediafire.com/download/s17z840igy80y0x/1997-11-23_-_Lawrence_Joel_Veterans_Memorial_Coliseum_-_Winston-Salem%2C_NC_%28KP_Remaster%29.rar", "download link")</f>
        <v>download link</v>
      </c>
      <c r="I156" s="425" t="s">
        <v>4146</v>
      </c>
      <c r="J156" s="311" t="s">
        <v>1759</v>
      </c>
      <c r="K156" s="313"/>
    </row>
    <row r="157">
      <c r="A157" s="142">
        <v>35766.0</v>
      </c>
      <c r="B157" s="144"/>
      <c r="C157" s="116" t="str">
        <f t="shared" ref="C157:C160" si="14">HYPERLINK("http://www.phish.net/setlists/?d="&amp;RIGHT(TEXT(A157,"mm/dd/yyyy"),4)&amp;"-"&amp;LEFT(TEXT(A157,"mm/dd/yyyy"),2)&amp;"-"&amp;MID(TEXT(A157,"mm/dd/yyyy"),4,2), "setlist")</f>
        <v>setlist</v>
      </c>
      <c r="D157" s="118" t="s">
        <v>1678</v>
      </c>
      <c r="E157" s="118" t="s">
        <v>871</v>
      </c>
      <c r="F157" s="115" t="s">
        <v>212</v>
      </c>
      <c r="G157" s="115" t="s">
        <v>36</v>
      </c>
      <c r="H157" s="116" t="str">
        <f>HYPERLINK("http://www.mediafire.com/download/m6ak4zyw6va8d6b/1997-12-02_-_CoreStates_Spectrum_-_Philadelphia%2C_PA_%28CM_Remaster%29.rar", "download link")</f>
        <v>download link</v>
      </c>
      <c r="I157" s="165" t="s">
        <v>4147</v>
      </c>
      <c r="J157" s="117" t="s">
        <v>4232</v>
      </c>
      <c r="K157" s="118"/>
    </row>
    <row r="158">
      <c r="A158" s="142">
        <v>35767.0</v>
      </c>
      <c r="B158" s="144"/>
      <c r="C158" s="116" t="str">
        <f t="shared" si="14"/>
        <v>setlist</v>
      </c>
      <c r="D158" s="118" t="s">
        <v>1678</v>
      </c>
      <c r="E158" s="118" t="s">
        <v>871</v>
      </c>
      <c r="F158" s="115" t="s">
        <v>212</v>
      </c>
      <c r="G158" s="115" t="s">
        <v>36</v>
      </c>
      <c r="H158" s="116" t="str">
        <f>HYPERLINK("http://www.mediafire.com/download/jowue9n38nxspjq/1997-12-03_-_CoreStates_Spectrum_-_Philadelphia%2C_PA_%28CM_Remaster%29.rar", "download link")</f>
        <v>download link</v>
      </c>
      <c r="I158" s="165" t="s">
        <v>4147</v>
      </c>
      <c r="J158" s="117" t="s">
        <v>4232</v>
      </c>
      <c r="K158" s="118"/>
    </row>
    <row r="159">
      <c r="A159" s="142">
        <v>35767.0</v>
      </c>
      <c r="B159" s="144"/>
      <c r="C159" s="116" t="str">
        <f t="shared" si="14"/>
        <v>setlist</v>
      </c>
      <c r="D159" s="118" t="s">
        <v>1678</v>
      </c>
      <c r="E159" s="118" t="s">
        <v>871</v>
      </c>
      <c r="F159" s="115" t="s">
        <v>212</v>
      </c>
      <c r="G159" s="165" t="s">
        <v>36</v>
      </c>
      <c r="H159" s="116" t="str">
        <f>HYPERLINK("http://www.mediafire.com/download/2hoh1l3o7neb8eh/1997-12-03_-_CoreStates_Spectrum_-_Philadelphia%2C_PA_%28KP_Remaster%29.rar", "download link")</f>
        <v>download link</v>
      </c>
      <c r="I159" s="165" t="s">
        <v>4146</v>
      </c>
      <c r="J159" s="117" t="s">
        <v>4227</v>
      </c>
      <c r="K159" s="118"/>
    </row>
    <row r="160">
      <c r="A160" s="142">
        <v>35769.0</v>
      </c>
      <c r="B160" s="144"/>
      <c r="C160" s="116" t="str">
        <f t="shared" si="14"/>
        <v>setlist</v>
      </c>
      <c r="D160" s="118" t="s">
        <v>1673</v>
      </c>
      <c r="E160" s="118" t="s">
        <v>773</v>
      </c>
      <c r="F160" s="115" t="s">
        <v>472</v>
      </c>
      <c r="G160" s="115" t="s">
        <v>36</v>
      </c>
      <c r="H160" s="116" t="str">
        <f>HYPERLINK("http://www.mediafire.com/download/6s8fwpsdp58f7w1/1997-12-05_-_CSU_Convocation_Center_-_Cleveland%2C_OH_%28dd_Remaster%29.rar", "download link")</f>
        <v>download link</v>
      </c>
      <c r="I160" s="165" t="s">
        <v>4150</v>
      </c>
      <c r="J160" s="311" t="s">
        <v>1651</v>
      </c>
      <c r="K160" s="313"/>
    </row>
    <row r="161">
      <c r="A161" s="142">
        <v>35777.0</v>
      </c>
      <c r="B161" s="144"/>
      <c r="C161" s="116" t="str">
        <f>HYPERLINK("http://phish.net/setlists/?d="&amp;RIGHT(TEXT(A161,"mm/dd/yyyy"),4)&amp;"-"&amp;LEFT(TEXT(A161,"mm/dd/yyyy"),2)&amp;"-"&amp;MID(TEXT(A161,"mm/dd/yyyy"),4,2), "setlist")</f>
        <v>setlist</v>
      </c>
      <c r="D161" s="118" t="s">
        <v>1957</v>
      </c>
      <c r="E161" s="118" t="s">
        <v>309</v>
      </c>
      <c r="F161" s="115" t="s">
        <v>129</v>
      </c>
      <c r="G161" s="165" t="s">
        <v>36</v>
      </c>
      <c r="H161" s="116" t="str">
        <f>HYPERLINK("http://www.mediafire.com/download/nf6fbj4ft5f1y7f/1997-12-13_-_Pepsi_Arena_-_Albany%2C_NY_%28KP_Remaster%29.rar", "download link")</f>
        <v>download link</v>
      </c>
      <c r="I161" s="425" t="s">
        <v>4146</v>
      </c>
      <c r="J161" s="311" t="s">
        <v>4233</v>
      </c>
      <c r="K161" s="313"/>
    </row>
    <row r="162">
      <c r="A162" s="407"/>
      <c r="B162" s="408"/>
      <c r="C162" s="408"/>
      <c r="D162" s="83">
        <v>1998.0</v>
      </c>
      <c r="E162" s="1"/>
      <c r="F162" s="408"/>
      <c r="G162" s="408"/>
      <c r="H162" s="408"/>
      <c r="I162" s="423"/>
      <c r="J162" s="1"/>
      <c r="K162" s="1"/>
    </row>
    <row r="163">
      <c r="A163" s="150">
        <v>35890.0</v>
      </c>
      <c r="B163" s="115"/>
      <c r="C163" s="116" t="str">
        <f t="shared" ref="C163:C180" si="15">HYPERLINK("http://www.phish.net/setlists/?d="&amp;RIGHT(TEXT(A163,"mm/dd/yyyy"),4)&amp;"-"&amp;LEFT(TEXT(A163,"mm/dd/yyyy"),2)&amp;"-"&amp;MID(TEXT(A163,"mm/dd/yyyy"),4,2), "setlist")</f>
        <v>setlist</v>
      </c>
      <c r="D163" s="118" t="s">
        <v>1549</v>
      </c>
      <c r="E163" s="118" t="s">
        <v>297</v>
      </c>
      <c r="F163" s="115" t="s">
        <v>298</v>
      </c>
      <c r="G163" s="115" t="s">
        <v>36</v>
      </c>
      <c r="H163" s="116" t="str">
        <f>HYPERLINK("http://www.mediafire.com/download/yt4dsd9e6q3vuqq/1998-04-05_-_Providence_Civic_Center_-_Providence%2C_RI_%28CM_Remaster%29.rar", "download link")</f>
        <v>download link</v>
      </c>
      <c r="I163" s="165" t="s">
        <v>4147</v>
      </c>
      <c r="J163" s="117" t="s">
        <v>4234</v>
      </c>
      <c r="K163" s="118"/>
    </row>
    <row r="164">
      <c r="A164" s="150">
        <v>35977.0</v>
      </c>
      <c r="B164" s="115"/>
      <c r="C164" s="116" t="str">
        <f t="shared" si="15"/>
        <v>setlist</v>
      </c>
      <c r="D164" s="118" t="s">
        <v>1974</v>
      </c>
      <c r="E164" s="118" t="s">
        <v>1846</v>
      </c>
      <c r="F164" s="115" t="s">
        <v>976</v>
      </c>
      <c r="G164" s="115" t="s">
        <v>36</v>
      </c>
      <c r="H164" s="116" t="str">
        <f>HYPERLINK("http://www.mediafire.com/download/i54j2lh4d1dvuuw/1998-07-01_-_The_Grey_Hall_-_Freetown_Christiana%2C_Copenhagen%2C_Denmark_%28CM_Remaster%29.rar", "download link")</f>
        <v>download link</v>
      </c>
      <c r="I164" s="165" t="s">
        <v>4147</v>
      </c>
      <c r="J164" s="117" t="s">
        <v>4235</v>
      </c>
      <c r="K164" s="118"/>
    </row>
    <row r="165">
      <c r="A165" s="150">
        <v>35979.0</v>
      </c>
      <c r="B165" s="115"/>
      <c r="C165" s="116" t="str">
        <f t="shared" si="15"/>
        <v>setlist</v>
      </c>
      <c r="D165" s="118" t="s">
        <v>1977</v>
      </c>
      <c r="E165" s="118" t="s">
        <v>1978</v>
      </c>
      <c r="F165" s="115" t="s">
        <v>976</v>
      </c>
      <c r="G165" s="115" t="s">
        <v>36</v>
      </c>
      <c r="H165" s="116" t="str">
        <f>HYPERLINK("http://www.mediafire.com/download/j1urdpar4vxdc51/1998-07-03_-_Dyrskuepladsen_-_Ringe%2C_Fyn%2C_Denmark_%28CM_Remaster%29.rar", "download link")</f>
        <v>download link</v>
      </c>
      <c r="I165" s="165" t="s">
        <v>4147</v>
      </c>
      <c r="J165" s="117" t="s">
        <v>4235</v>
      </c>
      <c r="K165" s="118"/>
    </row>
    <row r="166">
      <c r="A166" s="150">
        <v>35981.0</v>
      </c>
      <c r="B166" s="115" t="s">
        <v>32</v>
      </c>
      <c r="C166" s="116" t="str">
        <f t="shared" si="15"/>
        <v>setlist</v>
      </c>
      <c r="D166" s="153" t="s">
        <v>1980</v>
      </c>
      <c r="E166" s="153" t="s">
        <v>1865</v>
      </c>
      <c r="F166" s="151" t="s">
        <v>1866</v>
      </c>
      <c r="G166" s="115" t="s">
        <v>36</v>
      </c>
      <c r="H166" s="116" t="str">
        <f>HYPERLINK("http://www.mediafire.com/download/bpbirborn57mndj/1998-07-05_-_Lucerna_Theatre_-_Prague%2C_Czech_Republic_%28KF_Remaster%29.rar", "download link")</f>
        <v>download link</v>
      </c>
      <c r="I166" s="165" t="s">
        <v>4144</v>
      </c>
      <c r="J166" s="117" t="s">
        <v>1981</v>
      </c>
      <c r="K166" s="118"/>
    </row>
    <row r="167">
      <c r="A167" s="142">
        <v>35984.0</v>
      </c>
      <c r="B167" s="144"/>
      <c r="C167" s="116" t="str">
        <f t="shared" si="15"/>
        <v>setlist</v>
      </c>
      <c r="D167" s="113" t="s">
        <v>1982</v>
      </c>
      <c r="E167" s="113" t="s">
        <v>1983</v>
      </c>
      <c r="F167" s="114" t="s">
        <v>1903</v>
      </c>
      <c r="G167" s="114" t="s">
        <v>36</v>
      </c>
      <c r="H167" s="116" t="str">
        <f>HYPERLINK("http://www.mediafire.com/download/v4f48magmf584w3/1998-07-08_-_Zeleste_-_Barcelona%2C_Spain_%28CM_Remaster%29.rar", "download link")</f>
        <v>download link</v>
      </c>
      <c r="I167" s="165" t="s">
        <v>4147</v>
      </c>
      <c r="J167" s="117" t="s">
        <v>4236</v>
      </c>
      <c r="K167" s="146"/>
    </row>
    <row r="168">
      <c r="A168" s="142">
        <v>35986.0</v>
      </c>
      <c r="B168" s="144"/>
      <c r="C168" s="116" t="str">
        <f t="shared" si="15"/>
        <v>setlist</v>
      </c>
      <c r="D168" s="113" t="s">
        <v>1982</v>
      </c>
      <c r="E168" s="113" t="s">
        <v>1983</v>
      </c>
      <c r="F168" s="114" t="s">
        <v>1903</v>
      </c>
      <c r="G168" s="165" t="s">
        <v>36</v>
      </c>
      <c r="H168" s="116" t="str">
        <f>HYPERLINK("http://www.mediafire.com/download/9vazqu73md71imx/1998-07-10_-_Zeleste_-_Barcelona%2C_Spain_%28CM_Remaster%29.rar", "download link")</f>
        <v>download link</v>
      </c>
      <c r="I168" s="165" t="s">
        <v>4147</v>
      </c>
      <c r="J168" s="117" t="s">
        <v>4236</v>
      </c>
      <c r="K168" s="146"/>
    </row>
    <row r="169">
      <c r="A169" s="142">
        <v>35995.0</v>
      </c>
      <c r="B169" s="144"/>
      <c r="C169" s="116" t="str">
        <f t="shared" si="15"/>
        <v>setlist</v>
      </c>
      <c r="D169" s="118" t="s">
        <v>1052</v>
      </c>
      <c r="E169" s="118" t="s">
        <v>1053</v>
      </c>
      <c r="F169" s="115" t="s">
        <v>679</v>
      </c>
      <c r="G169" s="115" t="s">
        <v>36</v>
      </c>
      <c r="H169" s="116" t="str">
        <f>HYPERLINK("http://www.mediafire.com/download/ll03mcnygv7ke44/1998-07-19_-_Shoreline_Amphitheatre_-_Mountain_View%2C_CA_%28KF_Remaster%29.rar", "download link")</f>
        <v>download link</v>
      </c>
      <c r="I169" s="165" t="s">
        <v>4144</v>
      </c>
      <c r="J169" s="117" t="s">
        <v>1992</v>
      </c>
      <c r="K169" s="146"/>
    </row>
    <row r="170">
      <c r="A170" s="142">
        <v>35996.0</v>
      </c>
      <c r="B170" s="144"/>
      <c r="C170" s="116" t="str">
        <f t="shared" si="15"/>
        <v>setlist</v>
      </c>
      <c r="D170" s="118" t="s">
        <v>1915</v>
      </c>
      <c r="E170" s="118" t="s">
        <v>1168</v>
      </c>
      <c r="F170" s="115" t="s">
        <v>679</v>
      </c>
      <c r="G170" s="115" t="s">
        <v>36</v>
      </c>
      <c r="H170" s="116" t="str">
        <f>HYPERLINK("http://www.mediafire.com/download/jy9w7y79aei889h/1998-07-20_-_Ventura_County_Fairgrounds_-_Ventura%2C_CA_%28KF_Remaster%29.rar", "download link")</f>
        <v>download link</v>
      </c>
      <c r="I170" s="165" t="s">
        <v>4144</v>
      </c>
      <c r="J170" s="117" t="s">
        <v>1993</v>
      </c>
      <c r="K170" s="146"/>
    </row>
    <row r="171">
      <c r="A171" s="142">
        <v>35997.0</v>
      </c>
      <c r="B171" s="144"/>
      <c r="C171" s="116" t="str">
        <f t="shared" si="15"/>
        <v>setlist</v>
      </c>
      <c r="D171" s="118" t="s">
        <v>1913</v>
      </c>
      <c r="E171" s="118" t="s">
        <v>1160</v>
      </c>
      <c r="F171" s="115" t="s">
        <v>805</v>
      </c>
      <c r="G171" s="115" t="s">
        <v>36</v>
      </c>
      <c r="H171" s="116" t="str">
        <f>HYPERLINK("http://www.mediafire.com/download/wyp05rq657709le/1998-07-21_-_Desert_Sky_Pavilion_-_Phoenix%2C_AZ_%28KF_Remaster%29.rar", "download link")</f>
        <v>download link</v>
      </c>
      <c r="I171" s="165" t="s">
        <v>4144</v>
      </c>
      <c r="J171" s="117" t="s">
        <v>1994</v>
      </c>
      <c r="K171" s="117" t="s">
        <v>4237</v>
      </c>
    </row>
    <row r="172">
      <c r="A172" s="110">
        <v>36019.0</v>
      </c>
      <c r="B172" s="111"/>
      <c r="C172" s="135" t="str">
        <f t="shared" si="15"/>
        <v>setlist</v>
      </c>
      <c r="D172" s="113" t="s">
        <v>2010</v>
      </c>
      <c r="E172" s="113" t="s">
        <v>2011</v>
      </c>
      <c r="F172" s="114" t="s">
        <v>129</v>
      </c>
      <c r="G172" s="114" t="s">
        <v>36</v>
      </c>
      <c r="H172" s="116" t="str">
        <f>HYPERLINK("http://www.mediafire.com/file/66lx4xuioi8zxai/1998-08-12_-_Vernon_Downs_-_Vernon%2C_NY_%28pj10_Remaster%29.rar", "download link")</f>
        <v>download link</v>
      </c>
      <c r="I172" s="165" t="s">
        <v>4238</v>
      </c>
      <c r="J172" s="117" t="s">
        <v>4239</v>
      </c>
      <c r="K172" s="146"/>
    </row>
    <row r="173">
      <c r="A173" s="142">
        <v>36083.0</v>
      </c>
      <c r="B173" s="144"/>
      <c r="C173" s="116" t="str">
        <f t="shared" si="15"/>
        <v>setlist</v>
      </c>
      <c r="D173" s="118" t="s">
        <v>2020</v>
      </c>
      <c r="E173" s="118" t="s">
        <v>683</v>
      </c>
      <c r="F173" s="115" t="s">
        <v>679</v>
      </c>
      <c r="G173" s="115" t="s">
        <v>36</v>
      </c>
      <c r="H173" s="116" t="str">
        <f>HYPERLINK("http://www.mediafire.com/download/is42xj27yb124p8/1998-10-15_-_The_Fillmore_-_San_Francisco%2C_CA_%28CM_Remaster%29.rar", "download link")</f>
        <v>download link</v>
      </c>
      <c r="I173" s="165" t="s">
        <v>4147</v>
      </c>
      <c r="J173" s="117" t="s">
        <v>4240</v>
      </c>
      <c r="K173" s="146"/>
    </row>
    <row r="174">
      <c r="A174" s="142">
        <v>36106.0</v>
      </c>
      <c r="B174" s="144"/>
      <c r="C174" s="116" t="str">
        <f t="shared" si="15"/>
        <v>setlist</v>
      </c>
      <c r="D174" s="118" t="s">
        <v>1414</v>
      </c>
      <c r="E174" s="118" t="s">
        <v>479</v>
      </c>
      <c r="F174" s="115" t="s">
        <v>480</v>
      </c>
      <c r="G174" s="115" t="s">
        <v>36</v>
      </c>
      <c r="H174" s="116" t="str">
        <f>HYPERLINK("http://www.mediafire.com/download/rnktdhhhgje986e/1998-11-07_-_UIC_Pavilion%2C_University_of_Illinois_-_Chicago%2C_IL_%28KF_Remaster%29.rar", "download link")</f>
        <v>download link</v>
      </c>
      <c r="I174" s="165" t="s">
        <v>4144</v>
      </c>
      <c r="J174" s="117" t="s">
        <v>2034</v>
      </c>
      <c r="K174" s="146"/>
    </row>
    <row r="175">
      <c r="A175" s="142">
        <v>36107.0</v>
      </c>
      <c r="B175" s="144"/>
      <c r="C175" s="116" t="str">
        <f t="shared" si="15"/>
        <v>setlist</v>
      </c>
      <c r="D175" s="118" t="s">
        <v>1414</v>
      </c>
      <c r="E175" s="118" t="s">
        <v>479</v>
      </c>
      <c r="F175" s="115" t="s">
        <v>480</v>
      </c>
      <c r="G175" s="115" t="s">
        <v>36</v>
      </c>
      <c r="H175" s="116" t="str">
        <f>HYPERLINK("http://www.mediafire.com/download/0ibq6g1tn9s8ggo/1998-11-08_-_UIC_Pavilion%2C_University_of_Illinois_-_Chicago%2C_IL_%28KF_Remaster%29.rar", "download link")</f>
        <v>download link</v>
      </c>
      <c r="I175" s="165" t="s">
        <v>4144</v>
      </c>
      <c r="J175" s="117" t="s">
        <v>4241</v>
      </c>
      <c r="K175" s="146"/>
    </row>
    <row r="176">
      <c r="A176" s="142">
        <v>36108.0</v>
      </c>
      <c r="B176" s="144"/>
      <c r="C176" s="116" t="str">
        <f t="shared" si="15"/>
        <v>setlist</v>
      </c>
      <c r="D176" s="118" t="s">
        <v>1414</v>
      </c>
      <c r="E176" s="118" t="s">
        <v>479</v>
      </c>
      <c r="F176" s="115" t="s">
        <v>480</v>
      </c>
      <c r="G176" s="115" t="s">
        <v>36</v>
      </c>
      <c r="H176" s="116" t="str">
        <f>HYPERLINK("http://www.mediafire.com/download/z6dtuca218eccw2/1998-11-09_-_UIC_Pavilion%2C_University_of_Illinois_-_Chicago%2C_IL_%28KF_Remaster%29.rar", "download link")</f>
        <v>download link</v>
      </c>
      <c r="I176" s="165" t="s">
        <v>4144</v>
      </c>
      <c r="J176" s="117" t="s">
        <v>4241</v>
      </c>
      <c r="K176" s="146"/>
    </row>
    <row r="177">
      <c r="A177" s="142">
        <v>36112.0</v>
      </c>
      <c r="B177" s="144"/>
      <c r="C177" s="116" t="str">
        <f t="shared" si="15"/>
        <v>setlist</v>
      </c>
      <c r="D177" s="118" t="s">
        <v>1673</v>
      </c>
      <c r="E177" s="118" t="s">
        <v>2037</v>
      </c>
      <c r="F177" s="115" t="s">
        <v>472</v>
      </c>
      <c r="G177" s="115" t="s">
        <v>36</v>
      </c>
      <c r="H177" s="116" t="str">
        <f>HYPERLINK("http://www.mediafire.com/download/zj8k8aaydidiyv0/1998-11-13_-_CSU_Convocation_Center_-_Cleveland%2C_OH_%28KF_Remaster%29.rar", "download link")</f>
        <v>download link</v>
      </c>
      <c r="I177" s="165" t="s">
        <v>4144</v>
      </c>
      <c r="J177" s="117" t="s">
        <v>2038</v>
      </c>
      <c r="K177" s="146"/>
    </row>
    <row r="178">
      <c r="A178" s="142">
        <v>36113.0</v>
      </c>
      <c r="B178" s="144"/>
      <c r="C178" s="116" t="str">
        <f t="shared" si="15"/>
        <v>setlist</v>
      </c>
      <c r="D178" s="117" t="s">
        <v>2039</v>
      </c>
      <c r="E178" s="117" t="s">
        <v>943</v>
      </c>
      <c r="F178" s="165" t="s">
        <v>472</v>
      </c>
      <c r="G178" s="165" t="s">
        <v>36</v>
      </c>
      <c r="H178" s="116" t="str">
        <f>HYPERLINK("http://www.mediafire.com/download/5ulm1xmz7wx5zhw/1998-11-14_-_The_Crown_-_Cincinnati%2C_OH_%28CM_Remaster%29.rar", "download link")</f>
        <v>download link</v>
      </c>
      <c r="I178" s="165" t="s">
        <v>4147</v>
      </c>
      <c r="J178" s="117" t="s">
        <v>4207</v>
      </c>
      <c r="K178" s="146"/>
    </row>
    <row r="179">
      <c r="A179" s="142">
        <v>36113.0</v>
      </c>
      <c r="B179" s="144"/>
      <c r="C179" s="116" t="str">
        <f t="shared" si="15"/>
        <v>setlist</v>
      </c>
      <c r="D179" s="118" t="s">
        <v>2039</v>
      </c>
      <c r="E179" s="118" t="s">
        <v>943</v>
      </c>
      <c r="F179" s="115" t="s">
        <v>472</v>
      </c>
      <c r="G179" s="115" t="s">
        <v>36</v>
      </c>
      <c r="H179" s="116" t="str">
        <f>HYPERLINK("http://www.mediafire.com/download/3slitm7oa4maq5p/1998-11-14_-_The_Crown_-_Cincinnati%2C_OH_%28KF_Remaster%29.rar", "download link")</f>
        <v>download link</v>
      </c>
      <c r="I179" s="165" t="s">
        <v>4144</v>
      </c>
      <c r="J179" s="117" t="s">
        <v>4242</v>
      </c>
      <c r="K179" s="146"/>
    </row>
    <row r="180">
      <c r="A180" s="142">
        <v>36159.0</v>
      </c>
      <c r="B180" s="144"/>
      <c r="C180" s="116" t="str">
        <f t="shared" si="15"/>
        <v>setlist</v>
      </c>
      <c r="D180" s="113" t="s">
        <v>1553</v>
      </c>
      <c r="E180" s="113" t="s">
        <v>162</v>
      </c>
      <c r="F180" s="114" t="s">
        <v>129</v>
      </c>
      <c r="G180" s="114" t="s">
        <v>36</v>
      </c>
      <c r="H180" s="116" t="str">
        <f>HYPERLINK("http://www.mediafire.com/download/lf47qwmaf50c42p/1998-12-30_-_Madison_Square_Garden_-_New_York%2C_NY_%28CM_Remaster%29.rar", "download link")</f>
        <v>download link</v>
      </c>
      <c r="I180" s="165" t="s">
        <v>4147</v>
      </c>
      <c r="J180" s="117" t="s">
        <v>4243</v>
      </c>
      <c r="K180" s="146"/>
    </row>
    <row r="181">
      <c r="A181" s="142">
        <v>36160.0</v>
      </c>
      <c r="B181" s="144"/>
      <c r="C181" s="116" t="str">
        <f>HYPERLINK("http://phish.net/setlists/?d="&amp;RIGHT(TEXT(A181,"mm/dd/yyyy"),4)&amp;"-"&amp;LEFT(TEXT(A181,"mm/dd/yyyy"),2)&amp;"-"&amp;MID(TEXT(A181,"mm/dd/yyyy"),4,2), "setlist")</f>
        <v>setlist</v>
      </c>
      <c r="D181" s="272" t="s">
        <v>1553</v>
      </c>
      <c r="E181" s="272" t="s">
        <v>162</v>
      </c>
      <c r="F181" s="115" t="s">
        <v>129</v>
      </c>
      <c r="G181" s="165" t="s">
        <v>36</v>
      </c>
      <c r="H181" s="116" t="str">
        <f>HYPERLINK("http://www.mediafire.com/download/yn8nis0zrdd40n6/1998-12-31_-_Madison_Square_Garden_-_New_York%2C_NY_%28KP_Remaster%29.rar", "download link")</f>
        <v>download link</v>
      </c>
      <c r="I181" s="425" t="s">
        <v>4146</v>
      </c>
      <c r="J181" s="311" t="s">
        <v>2058</v>
      </c>
      <c r="K181" s="313"/>
    </row>
    <row r="182">
      <c r="A182" s="407"/>
      <c r="B182" s="408"/>
      <c r="C182" s="408"/>
      <c r="D182" s="83">
        <v>1999.0</v>
      </c>
      <c r="E182" s="1"/>
      <c r="F182" s="408"/>
      <c r="G182" s="408"/>
      <c r="H182" s="408"/>
      <c r="I182" s="423"/>
      <c r="J182" s="1"/>
      <c r="K182" s="1"/>
    </row>
    <row r="183">
      <c r="A183" s="142">
        <v>36345.0</v>
      </c>
      <c r="B183" s="144"/>
      <c r="C183" s="116" t="str">
        <f t="shared" ref="C183:C187" si="16">HYPERLINK("http://www.phish.net/setlists/?d="&amp;RIGHT(TEXT(A183,"mm/dd/yyyy"),4)&amp;"-"&amp;LEFT(TEXT(A183,"mm/dd/yyyy"),2)&amp;"-"&amp;MID(TEXT(A183,"mm/dd/yyyy"),4,2), "setlist")</f>
        <v>setlist</v>
      </c>
      <c r="D183" s="153" t="s">
        <v>1573</v>
      </c>
      <c r="E183" s="153" t="s">
        <v>437</v>
      </c>
      <c r="F183" s="151" t="s">
        <v>433</v>
      </c>
      <c r="G183" s="151" t="s">
        <v>36</v>
      </c>
      <c r="H183" s="116" t="str">
        <f>HYPERLINK("http://www.mediafire.com/download/8pda0n07anuu8ld/1999-07-04_-_Lakewood_Amphitheatre_-_Atlanta%2C_GA_%28CM_Remaster%29.rar", "download link")</f>
        <v>download link</v>
      </c>
      <c r="I183" s="165" t="s">
        <v>4147</v>
      </c>
      <c r="J183" s="117" t="s">
        <v>4244</v>
      </c>
      <c r="K183" s="146"/>
    </row>
    <row r="184">
      <c r="A184" s="142">
        <v>36345.0</v>
      </c>
      <c r="B184" s="144"/>
      <c r="C184" s="116" t="str">
        <f t="shared" si="16"/>
        <v>setlist</v>
      </c>
      <c r="D184" s="153" t="s">
        <v>1573</v>
      </c>
      <c r="E184" s="153" t="s">
        <v>437</v>
      </c>
      <c r="F184" s="151" t="s">
        <v>433</v>
      </c>
      <c r="G184" s="151" t="s">
        <v>36</v>
      </c>
      <c r="H184" s="116" t="str">
        <f>HYPERLINK("http://www.mediafire.com/download/uvua639e5p43tnc/1999-07-04_-_Lakewood_Amphitheatre_-_Atlanta%2C_GA_%28dd_Remaster%29.rar", "download link")</f>
        <v>download link</v>
      </c>
      <c r="I184" s="165" t="s">
        <v>4150</v>
      </c>
      <c r="J184" s="117" t="s">
        <v>4245</v>
      </c>
      <c r="K184" s="117" t="s">
        <v>4153</v>
      </c>
    </row>
    <row r="185">
      <c r="A185" s="142">
        <v>36348.0</v>
      </c>
      <c r="B185" s="144"/>
      <c r="C185" s="116" t="str">
        <f t="shared" si="16"/>
        <v>setlist</v>
      </c>
      <c r="D185" s="118" t="s">
        <v>2066</v>
      </c>
      <c r="E185" s="118" t="s">
        <v>541</v>
      </c>
      <c r="F185" s="115" t="s">
        <v>443</v>
      </c>
      <c r="G185" s="115" t="s">
        <v>36</v>
      </c>
      <c r="H185" s="116" t="str">
        <f>HYPERLINK("http://www.mediafire.com/download/3bh7up28btp32kh/1999-07-07_-_Blockbuster_Pavilion_-_Charlotte%2C_NC_%28CM_Remaster%29.rar", "download link")</f>
        <v>download link</v>
      </c>
      <c r="I185" s="165" t="s">
        <v>4147</v>
      </c>
      <c r="J185" s="117" t="s">
        <v>4244</v>
      </c>
      <c r="K185" s="146"/>
    </row>
    <row r="186">
      <c r="A186" s="142">
        <v>36353.0</v>
      </c>
      <c r="B186" s="144"/>
      <c r="C186" s="116" t="str">
        <f t="shared" si="16"/>
        <v>setlist</v>
      </c>
      <c r="D186" s="118" t="s">
        <v>2071</v>
      </c>
      <c r="E186" s="118" t="s">
        <v>1004</v>
      </c>
      <c r="F186" s="115" t="s">
        <v>95</v>
      </c>
      <c r="G186" s="115" t="s">
        <v>36</v>
      </c>
      <c r="H186" s="116" t="str">
        <f>HYPERLINK("http://www.mediafire.com/download/7qfuknsbr3xef8s/1999-07-12_-_Tweeter_Center_-_Mansfield%2C_MA_%28CM_Remaster%29.rar", "download link")</f>
        <v>download link</v>
      </c>
      <c r="I186" s="165" t="s">
        <v>4147</v>
      </c>
      <c r="J186" s="117" t="s">
        <v>4246</v>
      </c>
      <c r="K186" s="146"/>
    </row>
    <row r="187">
      <c r="A187" s="142">
        <v>36354.0</v>
      </c>
      <c r="B187" s="144"/>
      <c r="C187" s="116" t="str">
        <f t="shared" si="16"/>
        <v>setlist</v>
      </c>
      <c r="D187" s="118" t="s">
        <v>2071</v>
      </c>
      <c r="E187" s="118" t="s">
        <v>1004</v>
      </c>
      <c r="F187" s="115" t="s">
        <v>95</v>
      </c>
      <c r="G187" s="115" t="s">
        <v>36</v>
      </c>
      <c r="H187" s="116" t="str">
        <f>HYPERLINK("http://www.mediafire.com/download/ndonkonotkenu9w/1999-07-13_-_Tweeter_Center_-_Mansfield%2C_MA_%28CM_Remaster%29.rar", "download link")</f>
        <v>download link</v>
      </c>
      <c r="I187" s="165" t="s">
        <v>4147</v>
      </c>
      <c r="J187" s="117" t="s">
        <v>4247</v>
      </c>
      <c r="K187" s="146"/>
    </row>
    <row r="188">
      <c r="A188" s="142">
        <v>36354.0</v>
      </c>
      <c r="B188" s="144"/>
      <c r="C188" s="116" t="str">
        <f>HYPERLINK("http://phish.net/setlists/?d="&amp;RIGHT(TEXT(A188,"mm/dd/yyyy"),4)&amp;"-"&amp;LEFT(TEXT(A188,"mm/dd/yyyy"),2)&amp;"-"&amp;MID(TEXT(A188,"mm/dd/yyyy"),4,2), "setlist")</f>
        <v>setlist</v>
      </c>
      <c r="D188" s="118" t="s">
        <v>2071</v>
      </c>
      <c r="E188" s="118" t="s">
        <v>1004</v>
      </c>
      <c r="F188" s="115" t="s">
        <v>95</v>
      </c>
      <c r="G188" s="165" t="s">
        <v>36</v>
      </c>
      <c r="H188" s="116" t="str">
        <f>HYPERLINK("http://www.mediafire.com/download/9j87a4l7s81e897/1999-07-13_-_Tweeter_Center_-_Mansfield%2C_MA_%28KP_Remaster%29.rar", "download link")</f>
        <v>download link</v>
      </c>
      <c r="I188" s="425" t="s">
        <v>4146</v>
      </c>
      <c r="J188" s="311" t="s">
        <v>2217</v>
      </c>
      <c r="K188" s="313"/>
    </row>
    <row r="189">
      <c r="A189" s="142">
        <v>36356.0</v>
      </c>
      <c r="B189" s="144"/>
      <c r="C189" s="116" t="str">
        <f t="shared" ref="C189:C190" si="17">HYPERLINK("http://www.phish.net/setlists/?d="&amp;RIGHT(TEXT(A189,"mm/dd/yyyy"),4)&amp;"-"&amp;LEFT(TEXT(A189,"mm/dd/yyyy"),2)&amp;"-"&amp;MID(TEXT(A189,"mm/dd/yyyy"),4,2), "setlist")</f>
        <v>setlist</v>
      </c>
      <c r="D189" s="118" t="s">
        <v>2072</v>
      </c>
      <c r="E189" s="118" t="s">
        <v>992</v>
      </c>
      <c r="F189" s="115" t="s">
        <v>43</v>
      </c>
      <c r="G189" s="115" t="s">
        <v>36</v>
      </c>
      <c r="H189" s="116" t="str">
        <f>HYPERLINK("http://www.mediafire.com/download/ajvrvx6qhdhvbz5/1999-07-15_-_PNC_Bank_Arts_Center_-_Holmdel%2C_NJ_%28CM_Remaster%29.rar", "download link")</f>
        <v>download link</v>
      </c>
      <c r="I189" s="165" t="s">
        <v>4147</v>
      </c>
      <c r="J189" s="117" t="s">
        <v>4248</v>
      </c>
      <c r="K189" s="146"/>
    </row>
    <row r="190">
      <c r="A190" s="142">
        <v>36357.0</v>
      </c>
      <c r="B190" s="144"/>
      <c r="C190" s="116" t="str">
        <f t="shared" si="17"/>
        <v>setlist</v>
      </c>
      <c r="D190" s="118" t="s">
        <v>2072</v>
      </c>
      <c r="E190" s="118" t="s">
        <v>992</v>
      </c>
      <c r="F190" s="115" t="s">
        <v>43</v>
      </c>
      <c r="G190" s="115" t="s">
        <v>36</v>
      </c>
      <c r="H190" s="116" t="str">
        <f>HYPERLINK("http://www.mediafire.com/download/dba7zdsatbwb6e6/1999-07-16_-_PNC_Bank_Arts_Center_-_Holmdel%2C_NJ_%28CM_Remaster%29.rar", "download link")</f>
        <v>download link</v>
      </c>
      <c r="I190" s="165" t="s">
        <v>4147</v>
      </c>
      <c r="J190" s="117" t="s">
        <v>4249</v>
      </c>
      <c r="K190" s="146"/>
    </row>
    <row r="191">
      <c r="A191" s="142">
        <v>36358.0</v>
      </c>
      <c r="B191" s="144"/>
      <c r="C191" s="116" t="str">
        <f>HYPERLINK("http://phish.net/setlists/?d="&amp;RIGHT(TEXT(A191,"mm/dd/yyyy"),4)&amp;"-"&amp;LEFT(TEXT(A191,"mm/dd/yyyy"),2)&amp;"-"&amp;MID(TEXT(A191,"mm/dd/yyyy"),4,2), "setlist")</f>
        <v>setlist</v>
      </c>
      <c r="D191" s="118" t="s">
        <v>4250</v>
      </c>
      <c r="E191" s="118" t="s">
        <v>2074</v>
      </c>
      <c r="F191" s="115" t="s">
        <v>129</v>
      </c>
      <c r="G191" s="165" t="s">
        <v>36</v>
      </c>
      <c r="H191" s="116" t="str">
        <f>HYPERLINK("http://www.mediafire.com/download/pyxlkbriopbxzec/1999-07-17_-_Camp_Oswego_-_Oswego_County_Airport_-_Volney%2C_NY_%28KP_Remaster%29.rar", "download link")</f>
        <v>download link</v>
      </c>
      <c r="I191" s="425" t="s">
        <v>4146</v>
      </c>
      <c r="J191" s="311" t="s">
        <v>4251</v>
      </c>
      <c r="K191" s="313"/>
    </row>
    <row r="192">
      <c r="A192" s="142">
        <v>36361.0</v>
      </c>
      <c r="B192" s="144"/>
      <c r="C192" s="116" t="str">
        <f t="shared" ref="C192:C194" si="18">HYPERLINK("http://www.phish.net/setlists/?d="&amp;RIGHT(TEXT(A192,"mm/dd/yyyy"),4)&amp;"-"&amp;LEFT(TEXT(A192,"mm/dd/yyyy"),2)&amp;"-"&amp;MID(TEXT(A192,"mm/dd/yyyy"),4,2), "setlist")</f>
        <v>setlist</v>
      </c>
      <c r="D192" s="118" t="s">
        <v>2077</v>
      </c>
      <c r="E192" s="118" t="s">
        <v>1090</v>
      </c>
      <c r="F192" s="115" t="s">
        <v>1091</v>
      </c>
      <c r="G192" s="115" t="s">
        <v>36</v>
      </c>
      <c r="H192" s="116" t="str">
        <f>HYPERLINK("http://www.mediafire.com/download/nv1mo7n16g18ixn/1999-07-20_-_Molson_Amphitheatre_-_Toronto%2C_Ontario%2C_Canada_%28KF_Remaster%29.rar", "download link")</f>
        <v>download link</v>
      </c>
      <c r="I192" s="165" t="s">
        <v>4144</v>
      </c>
      <c r="J192" s="117" t="s">
        <v>4252</v>
      </c>
      <c r="K192" s="146"/>
    </row>
    <row r="193">
      <c r="A193" s="142">
        <v>36365.0</v>
      </c>
      <c r="B193" s="144"/>
      <c r="C193" s="116" t="str">
        <f t="shared" si="18"/>
        <v>setlist</v>
      </c>
      <c r="D193" s="118" t="s">
        <v>1737</v>
      </c>
      <c r="E193" s="118" t="s">
        <v>1738</v>
      </c>
      <c r="F193" s="115" t="s">
        <v>483</v>
      </c>
      <c r="G193" s="115" t="s">
        <v>36</v>
      </c>
      <c r="H193" s="116" t="str">
        <f>HYPERLINK("http://www.mediafire.com/download/j5tdit5lakzk96d/1999-07-24_-_Alpine_Valley_Music_Theatre_-_East_Troy%2C_WI_%28KF_Remaster%29.rar", "download link")</f>
        <v>download link</v>
      </c>
      <c r="I193" s="165" t="s">
        <v>4144</v>
      </c>
      <c r="J193" s="117" t="s">
        <v>1651</v>
      </c>
      <c r="K193" s="146"/>
    </row>
    <row r="194">
      <c r="A194" s="142">
        <v>36366.0</v>
      </c>
      <c r="B194" s="144"/>
      <c r="C194" s="116" t="str">
        <f t="shared" si="18"/>
        <v>setlist</v>
      </c>
      <c r="D194" s="118" t="s">
        <v>1578</v>
      </c>
      <c r="E194" s="118" t="s">
        <v>1579</v>
      </c>
      <c r="F194" s="115" t="s">
        <v>508</v>
      </c>
      <c r="G194" s="115" t="s">
        <v>36</v>
      </c>
      <c r="H194" s="116" t="str">
        <f>HYPERLINK("http://www.mediafire.com/download/ab0bsinzch5a9pi/1999-07-25_-_Deer_Creek_Music_Center_-_Noblesville%2C_IN_%28KF_Remaster%29.rar", "download link")</f>
        <v>download link</v>
      </c>
      <c r="I194" s="165" t="s">
        <v>4144</v>
      </c>
      <c r="J194" s="117" t="s">
        <v>2081</v>
      </c>
      <c r="K194" s="146"/>
    </row>
    <row r="195">
      <c r="A195" s="142">
        <v>36366.0</v>
      </c>
      <c r="B195" s="144"/>
      <c r="C195" s="116" t="str">
        <f>HYPERLINK("http://phish.net/setlists/?d="&amp;RIGHT(TEXT(A195,"mm/dd/yyyy"),4)&amp;"-"&amp;LEFT(TEXT(A195,"mm/dd/yyyy"),2)&amp;"-"&amp;MID(TEXT(A195,"mm/dd/yyyy"),4,2), "setlist")</f>
        <v>setlist</v>
      </c>
      <c r="D195" s="118" t="s">
        <v>1578</v>
      </c>
      <c r="E195" s="118" t="s">
        <v>1579</v>
      </c>
      <c r="F195" s="115" t="s">
        <v>508</v>
      </c>
      <c r="G195" s="165" t="s">
        <v>36</v>
      </c>
      <c r="H195" s="116" t="str">
        <f>HYPERLINK("http://www.mediafire.com/download/p9vk8dl5c0mtxc1/1999-07-25_-_Deer_Creek_Music_Center_-_Noblesville%2C_IN_%28KP_Remaster%29.rar", "download link")</f>
        <v>download link</v>
      </c>
      <c r="I195" s="425" t="s">
        <v>4146</v>
      </c>
      <c r="J195" s="311" t="s">
        <v>4253</v>
      </c>
      <c r="K195" s="313"/>
    </row>
    <row r="196">
      <c r="A196" s="142">
        <v>36367.0</v>
      </c>
      <c r="B196" s="144"/>
      <c r="C196" s="116" t="str">
        <f>HYPERLINK("http://www.phish.net/setlists/?d="&amp;RIGHT(TEXT(A196,"mm/dd/yyyy"),4)&amp;"-"&amp;LEFT(TEXT(A196,"mm/dd/yyyy"),2)&amp;"-"&amp;MID(TEXT(A196,"mm/dd/yyyy"),4,2), "setlist")</f>
        <v>setlist</v>
      </c>
      <c r="D196" s="118" t="s">
        <v>1578</v>
      </c>
      <c r="E196" s="118" t="s">
        <v>1579</v>
      </c>
      <c r="F196" s="115" t="s">
        <v>508</v>
      </c>
      <c r="G196" s="115" t="s">
        <v>36</v>
      </c>
      <c r="H196" s="116" t="str">
        <f>HYPERLINK("http://www.mediafire.com/download/atrcosv9aw3837i/1999-07-26_-_Deer_Creek_Music_Center_-_Noblesville%2C_IN_%28KF_Remaster%29.rar", "download link")</f>
        <v>download link</v>
      </c>
      <c r="I196" s="165" t="s">
        <v>4144</v>
      </c>
      <c r="J196" s="117" t="s">
        <v>4254</v>
      </c>
      <c r="K196" s="146"/>
    </row>
    <row r="197">
      <c r="A197" s="142">
        <v>36415.0</v>
      </c>
      <c r="B197" s="144"/>
      <c r="C197" s="116" t="str">
        <f>HYPERLINK("http://phish.net/setlists/?d="&amp;RIGHT(TEXT(A197,"mm/dd/yyyy"),4)&amp;"-"&amp;LEFT(TEXT(A197,"mm/dd/yyyy"),2)&amp;"-"&amp;MID(TEXT(A197,"mm/dd/yyyy"),4,2), "setlist")</f>
        <v>setlist</v>
      </c>
      <c r="D197" s="118" t="s">
        <v>1988</v>
      </c>
      <c r="E197" s="118" t="s">
        <v>279</v>
      </c>
      <c r="F197" s="115" t="s">
        <v>692</v>
      </c>
      <c r="G197" s="165" t="s">
        <v>36</v>
      </c>
      <c r="H197" s="116" t="str">
        <f>HYPERLINK("http://www.mediafire.com/download/cxyh85snwvpzygk/1999-09-12_-_Portland_Meadows_-_Portland%2C_OR_%28KP_Remaster%29.rar", "download link")</f>
        <v>download link</v>
      </c>
      <c r="I197" s="425" t="s">
        <v>4146</v>
      </c>
      <c r="J197" s="117" t="s">
        <v>4227</v>
      </c>
      <c r="K197" s="313"/>
    </row>
    <row r="198">
      <c r="A198" s="142">
        <v>36417.0</v>
      </c>
      <c r="B198" s="144"/>
      <c r="C198" s="116" t="str">
        <f>HYPERLINK("http://www.phish.net/setlists/?d="&amp;RIGHT(TEXT(A198,"mm/dd/yyyy"),4)&amp;"-"&amp;LEFT(TEXT(A198,"mm/dd/yyyy"),2)&amp;"-"&amp;MID(TEXT(A198,"mm/dd/yyyy"),4,2), "setlist")</f>
        <v>setlist</v>
      </c>
      <c r="D198" s="118" t="s">
        <v>2099</v>
      </c>
      <c r="E198" s="118" t="s">
        <v>1562</v>
      </c>
      <c r="F198" s="115" t="s">
        <v>1563</v>
      </c>
      <c r="G198" s="165" t="s">
        <v>36</v>
      </c>
      <c r="H198" s="116" t="str">
        <f>HYPERLINK("http://www.mediafire.com/download/xf1uv3ucvc5ha35/1999-09-14_-_Boise_State_University_Pavilion_-_Boise%2C_ID_%28KP_Remaster%29.rar", "download link")</f>
        <v>download link</v>
      </c>
      <c r="I198" s="425" t="s">
        <v>4146</v>
      </c>
      <c r="J198" s="311" t="s">
        <v>4255</v>
      </c>
      <c r="K198" s="313"/>
    </row>
    <row r="199">
      <c r="A199" s="142">
        <v>36421.0</v>
      </c>
      <c r="B199" s="144"/>
      <c r="C199" s="116" t="str">
        <f>HYPERLINK("http://phish.net/setlists/?d="&amp;RIGHT(TEXT(A199,"mm/dd/yyyy"),4)&amp;"-"&amp;LEFT(TEXT(A199,"mm/dd/yyyy"),2)&amp;"-"&amp;MID(TEXT(A199,"mm/dd/yyyy"),4,2), "setlist")</f>
        <v>setlist</v>
      </c>
      <c r="D199" s="272" t="s">
        <v>2101</v>
      </c>
      <c r="E199" s="272" t="s">
        <v>2102</v>
      </c>
      <c r="F199" s="115" t="s">
        <v>679</v>
      </c>
      <c r="G199" s="165" t="s">
        <v>36</v>
      </c>
      <c r="H199" s="116" t="str">
        <f>HYPERLINK("http://www.mediafire.com/download/0y7e37d8ch689n0/1999-09-18_-_Coors_Amphitheatre_-_Chula_Vista%2C_CA_%28KP_Remaster%29.rar", "download link")</f>
        <v>download link</v>
      </c>
      <c r="I199" s="425" t="s">
        <v>4146</v>
      </c>
      <c r="J199" s="311" t="s">
        <v>2103</v>
      </c>
      <c r="K199" s="313"/>
    </row>
    <row r="200">
      <c r="A200" s="142">
        <v>36422.0</v>
      </c>
      <c r="B200" s="144"/>
      <c r="C200" s="116" t="str">
        <f>HYPERLINK("http://www.phish.net/setlists/?d="&amp;RIGHT(TEXT(A200,"mm/dd/yyyy"),4)&amp;"-"&amp;LEFT(TEXT(A200,"mm/dd/yyyy"),2)&amp;"-"&amp;MID(TEXT(A200,"mm/dd/yyyy"),4,2), "setlist")</f>
        <v>setlist</v>
      </c>
      <c r="D200" s="118" t="s">
        <v>2104</v>
      </c>
      <c r="E200" s="118" t="s">
        <v>2105</v>
      </c>
      <c r="F200" s="115" t="s">
        <v>679</v>
      </c>
      <c r="G200" s="115" t="s">
        <v>36</v>
      </c>
      <c r="H200" s="116" t="str">
        <f>HYPERLINK("http://www.mediafire.com/download/102lrr2z4y37rgg/1999-09-19_-_Irvine_Meadows_-_Irvine%2C_CA_%28CM_Remaster%29.rar", "download link")</f>
        <v>download link</v>
      </c>
      <c r="I200" s="165" t="s">
        <v>4147</v>
      </c>
      <c r="J200" s="117" t="s">
        <v>4256</v>
      </c>
      <c r="K200" s="146"/>
    </row>
    <row r="201">
      <c r="A201" s="142">
        <v>36424.0</v>
      </c>
      <c r="B201" s="144"/>
      <c r="C201" s="116" t="str">
        <f t="shared" ref="C201:C204" si="19">HYPERLINK("http://phish.net/setlists/?d="&amp;RIGHT(TEXT(A201,"mm/dd/yyyy"),4)&amp;"-"&amp;LEFT(TEXT(A201,"mm/dd/yyyy"),2)&amp;"-"&amp;MID(TEXT(A201,"mm/dd/yyyy"),4,2), "setlist")</f>
        <v>setlist</v>
      </c>
      <c r="D201" s="272" t="s">
        <v>1037</v>
      </c>
      <c r="E201" s="272" t="s">
        <v>906</v>
      </c>
      <c r="F201" s="115" t="s">
        <v>805</v>
      </c>
      <c r="G201" s="165" t="s">
        <v>36</v>
      </c>
      <c r="H201" s="116" t="str">
        <f>HYPERLINK("http://www.mediafire.com/download/td42w09dv9ntlc5/1999-09-21_-_Pima_County_Fairgrounds_-_Tucson%2C_AZ_%28KP_Remaster%29.rar", "download link")</f>
        <v>download link</v>
      </c>
      <c r="I201" s="425" t="s">
        <v>4146</v>
      </c>
      <c r="J201" s="311" t="s">
        <v>2107</v>
      </c>
      <c r="K201" s="313"/>
    </row>
    <row r="202">
      <c r="A202" s="142">
        <v>36425.0</v>
      </c>
      <c r="B202" s="144"/>
      <c r="C202" s="116" t="str">
        <f t="shared" si="19"/>
        <v>setlist</v>
      </c>
      <c r="D202" s="272" t="s">
        <v>1039</v>
      </c>
      <c r="E202" s="272" t="s">
        <v>1040</v>
      </c>
      <c r="F202" s="115" t="s">
        <v>811</v>
      </c>
      <c r="G202" s="165" t="s">
        <v>36</v>
      </c>
      <c r="H202" s="116" t="str">
        <f>HYPERLINK("http://www.mediafire.com/download/wc3kcc6khxln3bx/1999-09-22_-_Pan_American_Center_-_Las_Cruces%2C_NM_%28KP_Remaster%29.rar", "download link")</f>
        <v>download link</v>
      </c>
      <c r="I202" s="425" t="s">
        <v>4146</v>
      </c>
      <c r="J202" s="311" t="s">
        <v>2108</v>
      </c>
      <c r="K202" s="311" t="s">
        <v>2502</v>
      </c>
    </row>
    <row r="203">
      <c r="A203" s="142">
        <v>36432.0</v>
      </c>
      <c r="B203" s="144"/>
      <c r="C203" s="116" t="str">
        <f t="shared" si="19"/>
        <v>setlist</v>
      </c>
      <c r="D203" s="272" t="s">
        <v>2113</v>
      </c>
      <c r="E203" s="272" t="s">
        <v>656</v>
      </c>
      <c r="F203" s="115" t="s">
        <v>650</v>
      </c>
      <c r="G203" s="165" t="s">
        <v>36</v>
      </c>
      <c r="H203" s="116" t="str">
        <f>HYPERLINK("http://www.mediafire.com/download/abp9abb2v94b5d0/1999-09-29_-_Pyramid_Arena_-_Memphis%2C_TN_%28KP_Remaster%29.rar", "download link")</f>
        <v>download link</v>
      </c>
      <c r="I203" s="425" t="s">
        <v>4146</v>
      </c>
      <c r="J203" s="311" t="s">
        <v>2114</v>
      </c>
      <c r="K203" s="313"/>
    </row>
    <row r="204">
      <c r="A204" s="142">
        <v>36435.0</v>
      </c>
      <c r="B204" s="144"/>
      <c r="C204" s="116" t="str">
        <f t="shared" si="19"/>
        <v>setlist</v>
      </c>
      <c r="D204" s="118" t="s">
        <v>1774</v>
      </c>
      <c r="E204" s="118" t="s">
        <v>485</v>
      </c>
      <c r="F204" s="115" t="s">
        <v>486</v>
      </c>
      <c r="G204" s="165" t="s">
        <v>36</v>
      </c>
      <c r="H204" s="116" t="str">
        <f>HYPERLINK("http://www.mediafire.com/download/k4961nj2wuq4xrq/1999-10-02_-_Target_Center_-_Minneapolis%2C_MN_%28KP_Remaster%29.rar", "download link")</f>
        <v>download link</v>
      </c>
      <c r="I204" s="425" t="s">
        <v>4146</v>
      </c>
      <c r="J204" s="311" t="s">
        <v>4227</v>
      </c>
      <c r="K204" s="313"/>
    </row>
    <row r="205">
      <c r="A205" s="142">
        <v>36497.0</v>
      </c>
      <c r="B205" s="144"/>
      <c r="C205" s="116" t="str">
        <f t="shared" ref="C205:C208" si="20">HYPERLINK("http://www.phish.net/setlists/?d="&amp;RIGHT(TEXT(A205,"mm/dd/yyyy"),4)&amp;"-"&amp;LEFT(TEXT(A205,"mm/dd/yyyy"),2)&amp;"-"&amp;MID(TEXT(A205,"mm/dd/yyyy"),4,2), "setlist")</f>
        <v>setlist</v>
      </c>
      <c r="D205" s="118" t="s">
        <v>2125</v>
      </c>
      <c r="E205" s="118" t="s">
        <v>943</v>
      </c>
      <c r="F205" s="115" t="s">
        <v>472</v>
      </c>
      <c r="G205" s="115" t="s">
        <v>36</v>
      </c>
      <c r="H205" s="116" t="str">
        <f>HYPERLINK("http://www.mediafire.com/download/q4wvdyc77cyo9y2/1999-12-03_-_Firstar_Center_-_Cincinnati%2C_OH_%28KF_Remaster%29.rar", "download link")</f>
        <v>download link</v>
      </c>
      <c r="I205" s="165" t="s">
        <v>4144</v>
      </c>
      <c r="J205" s="117" t="s">
        <v>2126</v>
      </c>
      <c r="K205" s="146"/>
    </row>
    <row r="206">
      <c r="A206" s="142">
        <v>36498.0</v>
      </c>
      <c r="B206" s="144"/>
      <c r="C206" s="116" t="str">
        <f t="shared" si="20"/>
        <v>setlist</v>
      </c>
      <c r="D206" s="118" t="s">
        <v>2125</v>
      </c>
      <c r="E206" s="118" t="s">
        <v>943</v>
      </c>
      <c r="F206" s="115" t="s">
        <v>472</v>
      </c>
      <c r="G206" s="115" t="s">
        <v>36</v>
      </c>
      <c r="H206" s="116" t="str">
        <f>HYPERLINK("http://www.mediafire.com/download/g83rh1zywipf73w/1999-12-04_-_Firstar_Center_-_Cincinnati%2C_OH_%28KF_Remaster%29.rar", "download link")</f>
        <v>download link</v>
      </c>
      <c r="I206" s="165" t="s">
        <v>4144</v>
      </c>
      <c r="J206" s="117" t="s">
        <v>2081</v>
      </c>
      <c r="K206" s="118" t="s">
        <v>4257</v>
      </c>
    </row>
    <row r="207">
      <c r="A207" s="142">
        <v>36499.0</v>
      </c>
      <c r="B207" s="144"/>
      <c r="C207" s="116" t="str">
        <f t="shared" si="20"/>
        <v>setlist</v>
      </c>
      <c r="D207" s="118" t="s">
        <v>2127</v>
      </c>
      <c r="E207" s="118" t="s">
        <v>718</v>
      </c>
      <c r="F207" s="115" t="s">
        <v>129</v>
      </c>
      <c r="G207" s="115" t="s">
        <v>36</v>
      </c>
      <c r="H207" s="116" t="str">
        <f>HYPERLINK("http://www.mediafire.com/download/1tpipbp7n993l57/1999-12-05_-_BlueCross_Arena_-_Rochester%2C_NY_%28KF_Remaster%29.rar", "download link")</f>
        <v>download link</v>
      </c>
      <c r="I207" s="165" t="s">
        <v>4144</v>
      </c>
      <c r="J207" s="117" t="s">
        <v>1639</v>
      </c>
      <c r="K207" s="146"/>
    </row>
    <row r="208">
      <c r="A208" s="142">
        <v>36501.0</v>
      </c>
      <c r="B208" s="144"/>
      <c r="C208" s="116" t="str">
        <f t="shared" si="20"/>
        <v>setlist</v>
      </c>
      <c r="D208" s="118" t="s">
        <v>988</v>
      </c>
      <c r="E208" s="118" t="s">
        <v>279</v>
      </c>
      <c r="F208" s="115" t="s">
        <v>257</v>
      </c>
      <c r="G208" s="115" t="s">
        <v>36</v>
      </c>
      <c r="H208" s="116" t="str">
        <f>HYPERLINK("http://www.mediafire.com/file/98da1p9hyrafqsd/1999-12-07_-_Cumberland_County_Civic_Center_-_Portland%2C_ME_%28dd_Remaster%29.rar", "download link")</f>
        <v>download link</v>
      </c>
      <c r="I208" s="165" t="s">
        <v>4150</v>
      </c>
      <c r="J208" s="311" t="s">
        <v>4258</v>
      </c>
      <c r="K208" s="313"/>
    </row>
    <row r="209">
      <c r="A209" s="142">
        <v>36505.0</v>
      </c>
      <c r="B209" s="144"/>
      <c r="C209" s="116" t="str">
        <f t="shared" ref="C209:C211" si="21">HYPERLINK("http://phish.net/setlists/?d="&amp;RIGHT(TEXT(A209,"mm/dd/yyyy"),4)&amp;"-"&amp;LEFT(TEXT(A209,"mm/dd/yyyy"),2)&amp;"-"&amp;MID(TEXT(A209,"mm/dd/yyyy"),4,2), "setlist")</f>
        <v>setlist</v>
      </c>
      <c r="D209" s="272" t="s">
        <v>2128</v>
      </c>
      <c r="E209" s="272" t="s">
        <v>871</v>
      </c>
      <c r="F209" s="115" t="s">
        <v>212</v>
      </c>
      <c r="G209" s="165" t="s">
        <v>36</v>
      </c>
      <c r="H209" s="116" t="str">
        <f>HYPERLINK("http://www.mediafire.com/download/61me509xwxwhk6j/1999-12-11_-_First_Union_Spectrum_-_Philadelphia%2C_PA_%28KP_Remaster%29.rar", "download link")</f>
        <v>download link</v>
      </c>
      <c r="I209" s="425" t="s">
        <v>4146</v>
      </c>
      <c r="J209" s="311" t="s">
        <v>2130</v>
      </c>
      <c r="K209" s="313"/>
    </row>
    <row r="210">
      <c r="A210" s="142">
        <v>36524.0</v>
      </c>
      <c r="B210" s="144"/>
      <c r="C210" s="116" t="str">
        <f t="shared" si="21"/>
        <v>setlist</v>
      </c>
      <c r="D210" s="272" t="s">
        <v>2142</v>
      </c>
      <c r="E210" s="272" t="s">
        <v>2139</v>
      </c>
      <c r="F210" s="115" t="s">
        <v>1133</v>
      </c>
      <c r="G210" s="165" t="s">
        <v>36</v>
      </c>
      <c r="H210" s="116" t="str">
        <f>HYPERLINK("http://www.mediafire.com/download/2b2xaaif37thz5e/1999-12-30_-_Big_Cypress_Seminole_Indian_Reservation_-_Big_Cypress%2C_FL_%28KP_Remaster%29.rar", "download link")</f>
        <v>download link</v>
      </c>
      <c r="I210" s="425" t="s">
        <v>4146</v>
      </c>
      <c r="J210" s="311" t="s">
        <v>1639</v>
      </c>
      <c r="K210" s="313"/>
    </row>
    <row r="211">
      <c r="A211" s="142">
        <v>36525.0</v>
      </c>
      <c r="B211" s="144"/>
      <c r="C211" s="116" t="str">
        <f t="shared" si="21"/>
        <v>setlist</v>
      </c>
      <c r="D211" s="272" t="s">
        <v>2142</v>
      </c>
      <c r="E211" s="272" t="s">
        <v>2139</v>
      </c>
      <c r="F211" s="115" t="s">
        <v>1133</v>
      </c>
      <c r="G211" s="165" t="s">
        <v>36</v>
      </c>
      <c r="H211" s="116" t="str">
        <f>HYPERLINK("http://www.mediafire.com/download/wh5dv46iq8neqzq/1999-12-31_-_Big_Cypress_Seminole_Indian_Reservation_-_Big_Cypress%2C_FL_%28KP_Remaster%29.rar", "download link")</f>
        <v>download link</v>
      </c>
      <c r="I211" s="425" t="s">
        <v>4146</v>
      </c>
      <c r="J211" s="311" t="s">
        <v>4259</v>
      </c>
      <c r="K211" s="313"/>
    </row>
    <row r="212">
      <c r="A212" s="407"/>
      <c r="B212" s="408"/>
      <c r="C212" s="408"/>
      <c r="D212" s="83">
        <v>2000.0</v>
      </c>
      <c r="E212" s="1"/>
      <c r="F212" s="408"/>
      <c r="G212" s="408"/>
      <c r="H212" s="408"/>
      <c r="I212" s="423"/>
      <c r="J212" s="1"/>
      <c r="K212" s="1"/>
    </row>
    <row r="213">
      <c r="A213" s="142">
        <v>36664.0</v>
      </c>
      <c r="B213" s="156"/>
      <c r="C213" s="116" t="str">
        <f t="shared" ref="C213:C226" si="22">HYPERLINK("http://phish.net/setlists/?d="&amp;RIGHT(TEXT(A213,"mm/dd/yyyy"),4)&amp;"-"&amp;LEFT(TEXT(A213,"mm/dd/yyyy"),2)&amp;"-"&amp;MID(TEXT(A213,"mm/dd/yyyy"),4,2), "setlist")</f>
        <v>setlist</v>
      </c>
      <c r="D213" s="117" t="s">
        <v>2153</v>
      </c>
      <c r="E213" s="118" t="s">
        <v>686</v>
      </c>
      <c r="F213" s="115" t="s">
        <v>679</v>
      </c>
      <c r="G213" s="115" t="s">
        <v>36</v>
      </c>
      <c r="H213" s="116" t="str">
        <f>HYPERLINK("http://www.mediafire.com/download/77bjd5i49su7rfi/2000-05-18_-_Fantasy_Studios_-_Berkeley%2C_CA_%28CM_Remaster%29.rar", "download link")</f>
        <v>download link</v>
      </c>
      <c r="I213" s="165" t="s">
        <v>4147</v>
      </c>
      <c r="J213" s="117" t="s">
        <v>4260</v>
      </c>
      <c r="K213" s="118"/>
    </row>
    <row r="214">
      <c r="A214" s="142">
        <v>36692.0</v>
      </c>
      <c r="B214" s="156"/>
      <c r="C214" s="116" t="str">
        <f t="shared" si="22"/>
        <v>setlist</v>
      </c>
      <c r="D214" s="118" t="s">
        <v>2173</v>
      </c>
      <c r="E214" s="118" t="s">
        <v>2174</v>
      </c>
      <c r="F214" s="115" t="s">
        <v>2085</v>
      </c>
      <c r="G214" s="165" t="s">
        <v>36</v>
      </c>
      <c r="H214" s="116" t="str">
        <f>HYPERLINK("http://www.mediafire.com/download/ydu98nbdfvs6pw8/2000-06-15_-_Big_Cat_-_Chuo-ku%2C_Osaka%2C_Japan_%28KP_Remaster%29.rar", "download link")</f>
        <v>download link</v>
      </c>
      <c r="I214" s="425" t="s">
        <v>4146</v>
      </c>
      <c r="J214" s="291" t="s">
        <v>2175</v>
      </c>
      <c r="K214" s="292"/>
    </row>
    <row r="215">
      <c r="A215" s="142">
        <v>36706.0</v>
      </c>
      <c r="B215" s="156"/>
      <c r="C215" s="116" t="str">
        <f t="shared" si="22"/>
        <v>setlist</v>
      </c>
      <c r="D215" s="118" t="s">
        <v>2072</v>
      </c>
      <c r="E215" s="118" t="s">
        <v>992</v>
      </c>
      <c r="F215" s="115" t="s">
        <v>43</v>
      </c>
      <c r="G215" s="165" t="s">
        <v>36</v>
      </c>
      <c r="H215" s="116" t="str">
        <f>HYPERLINK("http://www.mediafire.com/download/5139368vzb4w5a7/2000-06-29_-_PNC_Bank_Arts_Center_-_Holmdel%2C_NJ_%28KP_Remaster%29.rar", "download link")</f>
        <v>download link</v>
      </c>
      <c r="I215" s="425" t="s">
        <v>4146</v>
      </c>
      <c r="J215" s="427" t="s">
        <v>4261</v>
      </c>
      <c r="K215" s="428"/>
    </row>
    <row r="216">
      <c r="A216" s="142">
        <v>36707.0</v>
      </c>
      <c r="B216" s="156"/>
      <c r="C216" s="116" t="str">
        <f t="shared" si="22"/>
        <v>setlist</v>
      </c>
      <c r="D216" s="118" t="s">
        <v>2186</v>
      </c>
      <c r="E216" s="118" t="s">
        <v>323</v>
      </c>
      <c r="F216" s="115" t="s">
        <v>171</v>
      </c>
      <c r="G216" s="165" t="s">
        <v>36</v>
      </c>
      <c r="H216" s="116" t="str">
        <f>HYPERLINK("http://www.mediafire.com/download/h4wsp9m7v78dphu/2000-06-30_-_Meadows_Music_Theatre_-_Hartford%2C_CT_%28KP_Remaster%29.rar", "download link")</f>
        <v>download link</v>
      </c>
      <c r="I216" s="425" t="s">
        <v>4146</v>
      </c>
      <c r="J216" s="427" t="s">
        <v>2187</v>
      </c>
      <c r="K216" s="428"/>
    </row>
    <row r="217">
      <c r="A217" s="142">
        <v>36710.0</v>
      </c>
      <c r="B217" s="156"/>
      <c r="C217" s="116" t="str">
        <f t="shared" si="22"/>
        <v>setlist</v>
      </c>
      <c r="D217" s="118" t="s">
        <v>2069</v>
      </c>
      <c r="E217" s="118" t="s">
        <v>2070</v>
      </c>
      <c r="F217" s="115" t="s">
        <v>43</v>
      </c>
      <c r="G217" s="115" t="s">
        <v>36</v>
      </c>
      <c r="H217" s="116" t="str">
        <f>HYPERLINK("http://www.mediafire.com/download/x4mkbgccwp3j8ku/2000-07-03_-_E_Centre_-_Camden%2C_NJ_%28KF_Remaster%29.rar", "download link")</f>
        <v>download link</v>
      </c>
      <c r="I217" s="165" t="s">
        <v>4144</v>
      </c>
      <c r="J217" s="117" t="s">
        <v>2181</v>
      </c>
      <c r="K217" s="118" t="s">
        <v>4262</v>
      </c>
    </row>
    <row r="218">
      <c r="A218" s="142">
        <v>36711.0</v>
      </c>
      <c r="B218" s="156"/>
      <c r="C218" s="116" t="str">
        <f t="shared" si="22"/>
        <v>setlist</v>
      </c>
      <c r="D218" s="118" t="s">
        <v>2069</v>
      </c>
      <c r="E218" s="118" t="s">
        <v>2070</v>
      </c>
      <c r="F218" s="115" t="s">
        <v>43</v>
      </c>
      <c r="G218" s="115" t="s">
        <v>36</v>
      </c>
      <c r="H218" s="116" t="str">
        <f>HYPERLINK("http://www.mediafire.com/download/8o256fnqwfxis3i/2000-07-04_-_E_Centre_-_Camden%2C_NJ_%28KF_Remaster%29.rar", "download link")</f>
        <v>download link</v>
      </c>
      <c r="I218" s="165" t="s">
        <v>4144</v>
      </c>
      <c r="J218" s="117" t="s">
        <v>4263</v>
      </c>
      <c r="K218" s="118" t="s">
        <v>4264</v>
      </c>
    </row>
    <row r="219">
      <c r="A219" s="142">
        <v>36777.0</v>
      </c>
      <c r="B219" s="156"/>
      <c r="C219" s="116" t="str">
        <f t="shared" si="22"/>
        <v>setlist</v>
      </c>
      <c r="D219" s="118" t="s">
        <v>1957</v>
      </c>
      <c r="E219" s="118" t="s">
        <v>309</v>
      </c>
      <c r="F219" s="115" t="s">
        <v>129</v>
      </c>
      <c r="G219" s="115" t="s">
        <v>36</v>
      </c>
      <c r="H219" s="116" t="str">
        <f>HYPERLINK("http://www.mediafire.com/download/h08nw6i4c396sta/2000-09-08_-_Pepsi_Arena_-_Albany%2C_NY_%28KF_Remaster%29.rar", "download link")</f>
        <v>download link</v>
      </c>
      <c r="I219" s="165" t="s">
        <v>4144</v>
      </c>
      <c r="J219" s="117" t="s">
        <v>2200</v>
      </c>
      <c r="K219" s="146"/>
    </row>
    <row r="220">
      <c r="A220" s="142">
        <v>36778.0</v>
      </c>
      <c r="B220" s="156"/>
      <c r="C220" s="116" t="str">
        <f t="shared" si="22"/>
        <v>setlist</v>
      </c>
      <c r="D220" s="118" t="s">
        <v>1957</v>
      </c>
      <c r="E220" s="118" t="s">
        <v>309</v>
      </c>
      <c r="F220" s="115" t="s">
        <v>129</v>
      </c>
      <c r="G220" s="115" t="s">
        <v>36</v>
      </c>
      <c r="H220" s="116" t="str">
        <f>HYPERLINK("http://www.mediafire.com/download/jgi2no96hergwhw/2000-09-09_-_Pepsi_Arena_-_Albany%2C_NY_%28KF_Remaster%29.rar", "download link")</f>
        <v>download link</v>
      </c>
      <c r="I220" s="165" t="s">
        <v>4144</v>
      </c>
      <c r="J220" s="117" t="s">
        <v>2201</v>
      </c>
      <c r="K220" s="146"/>
    </row>
    <row r="221">
      <c r="A221" s="142">
        <v>36786.0</v>
      </c>
      <c r="B221" s="156"/>
      <c r="C221" s="116" t="str">
        <f t="shared" si="22"/>
        <v>setlist</v>
      </c>
      <c r="D221" s="118" t="s">
        <v>1000</v>
      </c>
      <c r="E221" s="118" t="s">
        <v>439</v>
      </c>
      <c r="F221" s="115" t="s">
        <v>397</v>
      </c>
      <c r="G221" s="165" t="s">
        <v>36</v>
      </c>
      <c r="H221" s="116" t="str">
        <f>HYPERLINK("http://www.mediafire.com/download/o6v1skhbzr0dr71/2000-09-17_-_Merriweather_Post_Pavilion_-_Columbia%2C_MD_%28KP_Remaster%29.rar", "download link")</f>
        <v>download link</v>
      </c>
      <c r="I221" s="425" t="s">
        <v>4146</v>
      </c>
      <c r="J221" s="427" t="s">
        <v>4265</v>
      </c>
      <c r="K221" s="428"/>
    </row>
    <row r="222">
      <c r="A222" s="142">
        <v>36791.0</v>
      </c>
      <c r="B222" s="156"/>
      <c r="C222" s="116" t="str">
        <f t="shared" si="22"/>
        <v>setlist</v>
      </c>
      <c r="D222" s="118" t="s">
        <v>2117</v>
      </c>
      <c r="E222" s="118" t="s">
        <v>1636</v>
      </c>
      <c r="F222" s="115" t="s">
        <v>480</v>
      </c>
      <c r="G222" s="115" t="s">
        <v>36</v>
      </c>
      <c r="H222" s="116" t="str">
        <f>HYPERLINK("http://www.mediafire.com/download/t68xg8ptdnvjsd4/2000-09-22_-_Allstate_Arena_-_Rosemont%2C_IL_%28KF_Remaster%29.rar", "download link")</f>
        <v>download link</v>
      </c>
      <c r="I222" s="165" t="s">
        <v>4144</v>
      </c>
      <c r="J222" s="117" t="s">
        <v>2108</v>
      </c>
      <c r="K222" s="146"/>
    </row>
    <row r="223">
      <c r="A223" s="142">
        <v>36792.0</v>
      </c>
      <c r="B223" s="156"/>
      <c r="C223" s="116" t="str">
        <f t="shared" si="22"/>
        <v>setlist</v>
      </c>
      <c r="D223" s="118" t="s">
        <v>2117</v>
      </c>
      <c r="E223" s="118" t="s">
        <v>1636</v>
      </c>
      <c r="F223" s="115" t="s">
        <v>480</v>
      </c>
      <c r="G223" s="115" t="s">
        <v>36</v>
      </c>
      <c r="H223" s="116" t="str">
        <f>HYPERLINK("http://www.mediafire.com/download/dk5s0jijjp85968/2000-09-23_-_Allstate_Arena_-_Rosemont%2C_IL_%28KF_Remaster%29.rar", "download link")</f>
        <v>download link</v>
      </c>
      <c r="I223" s="165" t="s">
        <v>4144</v>
      </c>
      <c r="J223" s="117" t="s">
        <v>2108</v>
      </c>
      <c r="K223" s="146"/>
    </row>
    <row r="224">
      <c r="A224" s="142">
        <v>36803.0</v>
      </c>
      <c r="B224" s="144"/>
      <c r="C224" s="116" t="str">
        <f t="shared" si="22"/>
        <v>setlist</v>
      </c>
      <c r="D224" s="272" t="s">
        <v>2101</v>
      </c>
      <c r="E224" s="272" t="s">
        <v>2102</v>
      </c>
      <c r="F224" s="115" t="s">
        <v>679</v>
      </c>
      <c r="G224" s="165" t="s">
        <v>36</v>
      </c>
      <c r="H224" s="116" t="str">
        <f>HYPERLINK("http://www.mediafire.com/download/b9vwy27v9c88dc2/2000-10-04_-_Coors_Amphitheatre_-_Chula_Vista%2C_CA_%28KP_Remaster%29.rar", "download link")</f>
        <v>download link</v>
      </c>
      <c r="I224" s="425" t="s">
        <v>4146</v>
      </c>
      <c r="J224" s="427" t="s">
        <v>2217</v>
      </c>
      <c r="K224" s="428"/>
    </row>
    <row r="225">
      <c r="A225" s="142">
        <v>36805.0</v>
      </c>
      <c r="B225" s="144"/>
      <c r="C225" s="116" t="str">
        <f t="shared" si="22"/>
        <v>setlist</v>
      </c>
      <c r="D225" s="272" t="s">
        <v>1052</v>
      </c>
      <c r="E225" s="272" t="s">
        <v>1053</v>
      </c>
      <c r="F225" s="115" t="s">
        <v>679</v>
      </c>
      <c r="G225" s="115" t="s">
        <v>36</v>
      </c>
      <c r="H225" s="116" t="str">
        <f>HYPERLINK("http://www.mediafire.com/download/cdvjat1avpi7n57/2000-10-06_-_Shoreline_Amphitheatre_-_Mountain_View%2C_CA_%28KF_Remaster%29.rar", "download link")</f>
        <v>download link</v>
      </c>
      <c r="I225" s="165" t="s">
        <v>4144</v>
      </c>
      <c r="J225" s="271" t="s">
        <v>2220</v>
      </c>
      <c r="K225" s="273"/>
    </row>
    <row r="226">
      <c r="A226" s="142">
        <v>36806.0</v>
      </c>
      <c r="B226" s="144"/>
      <c r="C226" s="116" t="str">
        <f t="shared" si="22"/>
        <v>setlist</v>
      </c>
      <c r="D226" s="272" t="s">
        <v>1052</v>
      </c>
      <c r="E226" s="272" t="s">
        <v>1053</v>
      </c>
      <c r="F226" s="115" t="s">
        <v>679</v>
      </c>
      <c r="G226" s="115" t="s">
        <v>36</v>
      </c>
      <c r="H226" s="116" t="str">
        <f>HYPERLINK("http://www.mediafire.com/download/543mjbmr331zqd0/2000-10-07_-_Shoreline_Amphitheatre_-_Mountain_View%2C_CA_%28CM_Remaster%29.rar", "download link")</f>
        <v>download link</v>
      </c>
      <c r="I226" s="165" t="s">
        <v>4147</v>
      </c>
      <c r="J226" s="271" t="s">
        <v>4266</v>
      </c>
      <c r="K226" s="273"/>
    </row>
    <row r="227">
      <c r="A227" s="407"/>
      <c r="B227" s="408"/>
      <c r="C227" s="337"/>
      <c r="D227" s="85">
        <v>2003.0</v>
      </c>
      <c r="E227" s="1"/>
      <c r="F227" s="408"/>
      <c r="G227" s="408"/>
      <c r="H227" s="408"/>
      <c r="I227" s="423"/>
      <c r="J227" s="1"/>
      <c r="K227" s="1"/>
    </row>
    <row r="228">
      <c r="A228" s="142">
        <v>37810.0</v>
      </c>
      <c r="B228" s="144"/>
      <c r="C228" s="116" t="str">
        <f>HYPERLINK("http://phish.net/setlists/?d="&amp;RIGHT(TEXT(A228,"mm/dd/yyyy"),4)&amp;"-"&amp;LEFT(TEXT(A228,"mm/dd/yyyy"),2)&amp;"-"&amp;MID(TEXT(A228,"mm/dd/yyyy"),4,2), "setlist")</f>
        <v>setlist</v>
      </c>
      <c r="D228" s="272" t="s">
        <v>2101</v>
      </c>
      <c r="E228" s="272" t="s">
        <v>2102</v>
      </c>
      <c r="F228" s="115" t="s">
        <v>679</v>
      </c>
      <c r="G228" s="165" t="s">
        <v>36</v>
      </c>
      <c r="H228" s="116" t="str">
        <f>HYPERLINK("http://www.mediafire.com/download/9dba3caaj52w9jy/2003-07-08_-_Coors_Amphitheatre_-_Chula_Vista%2C_CA_%28KP_Remaster%29.rar", "download link")</f>
        <v>download link</v>
      </c>
      <c r="I228" s="425" t="s">
        <v>4146</v>
      </c>
      <c r="J228" s="427" t="s">
        <v>4267</v>
      </c>
      <c r="K228" s="428"/>
    </row>
    <row r="229">
      <c r="A229" s="407"/>
      <c r="B229" s="408"/>
      <c r="C229" s="337"/>
      <c r="D229" s="85">
        <v>2011.0</v>
      </c>
      <c r="E229" s="1"/>
      <c r="F229" s="408"/>
      <c r="G229" s="408"/>
      <c r="H229" s="408"/>
      <c r="I229" s="423"/>
      <c r="J229" s="1"/>
      <c r="K229" s="1"/>
    </row>
    <row r="230">
      <c r="A230" s="142">
        <v>40704.0</v>
      </c>
      <c r="B230" s="144"/>
      <c r="C230" s="116" t="str">
        <f t="shared" ref="C230:C233" si="23">HYPERLINK("http://phish.net/setlists/?d="&amp;RIGHT(TEXT(A230,"mm/dd/yyyy"),4)&amp;"-"&amp;LEFT(TEXT(A230,"mm/dd/yyyy"),2)&amp;"-"&amp;MID(TEXT(A230,"mm/dd/yyyy"),4,2), "setlist")</f>
        <v>setlist</v>
      </c>
      <c r="D230" s="272" t="s">
        <v>2324</v>
      </c>
      <c r="E230" s="272" t="s">
        <v>2070</v>
      </c>
      <c r="F230" s="115" t="s">
        <v>43</v>
      </c>
      <c r="G230" s="115" t="s">
        <v>36</v>
      </c>
      <c r="H230" s="116" t="str">
        <f>HYPERLINK("http://www.mediafire.com/download/0nrvri98s2a3lh9/2011-06-10_-_Susquehanna_Bank_Center_-_Camden%2C_NJ_%28CM_Remaster%29.rar", "download link")</f>
        <v>download link</v>
      </c>
      <c r="I230" s="165" t="s">
        <v>4147</v>
      </c>
      <c r="J230" s="271" t="s">
        <v>4268</v>
      </c>
      <c r="K230" s="273"/>
    </row>
    <row r="231">
      <c r="A231" s="142">
        <v>40706.0</v>
      </c>
      <c r="B231" s="144"/>
      <c r="C231" s="116" t="str">
        <f t="shared" si="23"/>
        <v>setlist</v>
      </c>
      <c r="D231" s="272" t="s">
        <v>1000</v>
      </c>
      <c r="E231" s="272" t="s">
        <v>439</v>
      </c>
      <c r="F231" s="115" t="s">
        <v>397</v>
      </c>
      <c r="G231" s="115" t="s">
        <v>36</v>
      </c>
      <c r="H231" s="116" t="str">
        <f>HYPERLINK("http://www.mediafire.com/download/92h67d7zjffs78v/2011-06-12_-_Merriweather_Post_Pavilion_-_Columbia%2C_MD_%28CM_Remaster%29.rar", "download link")</f>
        <v>download link</v>
      </c>
      <c r="I231" s="165" t="s">
        <v>4147</v>
      </c>
      <c r="J231" s="271" t="s">
        <v>4268</v>
      </c>
      <c r="K231" s="273"/>
    </row>
    <row r="232">
      <c r="A232" s="142">
        <v>40708.0</v>
      </c>
      <c r="B232" s="144"/>
      <c r="C232" s="116" t="str">
        <f t="shared" si="23"/>
        <v>setlist</v>
      </c>
      <c r="D232" s="272" t="s">
        <v>2393</v>
      </c>
      <c r="E232" s="272" t="s">
        <v>2394</v>
      </c>
      <c r="F232" s="115" t="s">
        <v>433</v>
      </c>
      <c r="G232" s="115" t="s">
        <v>36</v>
      </c>
      <c r="H232" s="116" t="str">
        <f>HYPERLINK("http://www.mediafire.com/download/5lrmyf6ufpdutdc/2011-06-14_-_Verizon_Wireless_Amphitheatre_at_Encore_Park_-_Alpharetta%2C_GA_%28CM_Remaster%29.rar", "download link")</f>
        <v>download link</v>
      </c>
      <c r="I232" s="165" t="s">
        <v>4147</v>
      </c>
      <c r="J232" s="271" t="s">
        <v>4268</v>
      </c>
      <c r="K232" s="273"/>
    </row>
    <row r="233">
      <c r="A233" s="142">
        <v>40763.0</v>
      </c>
      <c r="B233" s="144"/>
      <c r="C233" s="116" t="str">
        <f t="shared" si="23"/>
        <v>setlist</v>
      </c>
      <c r="D233" s="272" t="s">
        <v>2449</v>
      </c>
      <c r="E233" s="272" t="s">
        <v>1163</v>
      </c>
      <c r="F233" s="115" t="s">
        <v>679</v>
      </c>
      <c r="G233" s="115" t="s">
        <v>36</v>
      </c>
      <c r="H233" s="116" t="str">
        <f>HYPERLINK("http://www.mediafire.com/download/nddmz9ne7bedhvn/2011-08-08_-_Hollywood_Bowl_-_Hollywood%2C_CA_%28CM_Remaster%29.rar", "download link")</f>
        <v>download link</v>
      </c>
      <c r="I233" s="165" t="s">
        <v>4147</v>
      </c>
      <c r="J233" s="271" t="s">
        <v>4268</v>
      </c>
      <c r="K233" s="273"/>
    </row>
    <row r="234">
      <c r="A234" s="407"/>
      <c r="B234" s="408"/>
      <c r="C234" s="337"/>
      <c r="D234" s="85">
        <v>2015.0</v>
      </c>
      <c r="E234" s="1"/>
      <c r="F234" s="408"/>
      <c r="G234" s="408"/>
      <c r="H234" s="408"/>
      <c r="I234" s="423"/>
      <c r="J234" s="1"/>
      <c r="K234" s="1"/>
    </row>
    <row r="235">
      <c r="A235" s="142">
        <v>42210.0</v>
      </c>
      <c r="B235" s="144"/>
      <c r="C235" s="116" t="str">
        <f>HYPERLINK("http://phish.net/setlists/?d="&amp;RIGHT(TEXT(A235,"mm/dd/yyyy"),4)&amp;"-"&amp;LEFT(TEXT(A235,"mm/dd/yyyy"),2)&amp;"-"&amp;MID(TEXT(A235,"mm/dd/yyyy"),4,2), "setlist")</f>
        <v>setlist</v>
      </c>
      <c r="D235" s="331" t="s">
        <v>1724</v>
      </c>
      <c r="E235" s="291" t="s">
        <v>2232</v>
      </c>
      <c r="F235" s="196" t="s">
        <v>679</v>
      </c>
      <c r="G235" s="196" t="s">
        <v>36</v>
      </c>
      <c r="H235" s="116" t="str">
        <f>HYPERLINK("http://www.mediafire.com/download/tyoayg77wpmh7cb/2015-07-25_-_The_Forum_-_Inglewood%2C_CA_%28CM_Remaster%29.rar", "download link")</f>
        <v>download link</v>
      </c>
      <c r="I235" s="165" t="s">
        <v>4147</v>
      </c>
      <c r="J235" s="271" t="s">
        <v>4268</v>
      </c>
      <c r="K235" s="273"/>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2.25"/>
    <col customWidth="1" min="2" max="2" width="29.63"/>
    <col customWidth="1" min="3" max="3" width="40.25"/>
    <col customWidth="1" min="4" max="5" width="17.63"/>
  </cols>
  <sheetData>
    <row r="1">
      <c r="D1" s="429"/>
      <c r="E1" s="429"/>
    </row>
    <row r="2">
      <c r="A2" s="183" t="s">
        <v>4269</v>
      </c>
    </row>
    <row r="3">
      <c r="A3" s="237"/>
      <c r="B3" s="237"/>
      <c r="C3" s="237"/>
      <c r="D3" s="430"/>
      <c r="E3" s="430"/>
    </row>
    <row r="4">
      <c r="A4" s="60" t="s">
        <v>4270</v>
      </c>
      <c r="B4" s="60" t="s">
        <v>4271</v>
      </c>
      <c r="C4" s="83" t="s">
        <v>31</v>
      </c>
      <c r="D4" s="60" t="s">
        <v>4272</v>
      </c>
      <c r="E4" s="60" t="s">
        <v>29</v>
      </c>
    </row>
    <row r="5">
      <c r="A5" s="431">
        <v>40832.0</v>
      </c>
      <c r="B5" s="179" t="s">
        <v>4273</v>
      </c>
      <c r="C5" s="179" t="s">
        <v>4274</v>
      </c>
      <c r="D5" s="98" t="str">
        <f>HYPERLINK("http://soundcloud.com/thunderburn/nothing", "stream link")</f>
        <v>stream link</v>
      </c>
      <c r="E5" s="98" t="str">
        <f>HYPERLINK("http://soundcloud.com/thunderburn/nothing/download", "download link")</f>
        <v>download link</v>
      </c>
    </row>
    <row r="6">
      <c r="A6" s="432">
        <v>40832.0</v>
      </c>
      <c r="B6" s="181" t="s">
        <v>4275</v>
      </c>
      <c r="C6" s="181" t="s">
        <v>4276</v>
      </c>
      <c r="D6" s="105" t="str">
        <f>HYPERLINK("http://soundcloud.com/thunderburn/skip-the-goodbyes", "stream link")</f>
        <v>stream link</v>
      </c>
      <c r="E6" s="105" t="str">
        <f>HYPERLINK("http://soundcloud.com/thunderburn/skip-the-goodbyes/download", "download link")</f>
        <v>download link</v>
      </c>
    </row>
    <row r="7">
      <c r="A7" s="433">
        <v>40833.0</v>
      </c>
      <c r="B7" s="183" t="s">
        <v>4277</v>
      </c>
      <c r="C7" s="183" t="s">
        <v>4278</v>
      </c>
      <c r="D7" s="135" t="str">
        <f>HYPERLINK("http://soundcloud.com/thunderburn/backwards-food-for-backwards", "stream link")</f>
        <v>stream link</v>
      </c>
      <c r="E7" s="135" t="str">
        <f>HYPERLINK("http://soundcloud.com/thunderburn/backwards-food-for-backwards/download", "download link")</f>
        <v>download link</v>
      </c>
    </row>
    <row r="8">
      <c r="A8" s="432">
        <v>40833.0</v>
      </c>
      <c r="B8" s="181" t="s">
        <v>4279</v>
      </c>
      <c r="C8" s="181" t="s">
        <v>4280</v>
      </c>
      <c r="D8" s="105" t="str">
        <f>HYPERLINK("http://soundcloud.com/thunderburn/i-am-hydrogen", "stream link")</f>
        <v>stream link</v>
      </c>
      <c r="E8" s="105" t="str">
        <f>HYPERLINK("http://soundcloud.com/thunderburn/i-am-hydrogen/download", "download link")</f>
        <v>download link</v>
      </c>
    </row>
    <row r="9">
      <c r="A9" s="433">
        <v>40834.0</v>
      </c>
      <c r="B9" s="183" t="s">
        <v>4281</v>
      </c>
      <c r="C9" s="183" t="s">
        <v>4282</v>
      </c>
      <c r="D9" s="135" t="str">
        <f>HYPERLINK("http://soundcloud.com/thunderburn/silent-in-the-morning", "stream link")</f>
        <v>stream link</v>
      </c>
      <c r="E9" s="135" t="str">
        <f>HYPERLINK("http://soundcloud.com/thunderburn/silent-in-the-morning/download", "download link")</f>
        <v>download link</v>
      </c>
    </row>
    <row r="10">
      <c r="A10" s="432">
        <v>40834.0</v>
      </c>
      <c r="B10" s="181" t="s">
        <v>4283</v>
      </c>
      <c r="C10" s="181" t="s">
        <v>4284</v>
      </c>
      <c r="D10" s="105" t="str">
        <f>HYPERLINK("http://soundcloud.com/thunderburn/backwards-down-the-numberline", "stream link")</f>
        <v>stream link</v>
      </c>
      <c r="E10" s="105" t="str">
        <f>HYPERLINK("http://soundcloud.com/thunderburn/backwards-down-the-numberline/download", "download link")</f>
        <v>download link</v>
      </c>
    </row>
    <row r="11">
      <c r="A11" s="433">
        <v>40834.0</v>
      </c>
      <c r="B11" s="183" t="s">
        <v>4285</v>
      </c>
      <c r="C11" s="183" t="s">
        <v>4286</v>
      </c>
      <c r="D11" s="135" t="str">
        <f>HYPERLINK("http://soundcloud.com/thunderburn/walls-of-the-cave", "stream link")</f>
        <v>stream link</v>
      </c>
      <c r="E11" s="135" t="str">
        <f>HYPERLINK("http://soundcloud.com/thunderburn/walls-of-the-cave/download", "download link")</f>
        <v>download link</v>
      </c>
    </row>
    <row r="12">
      <c r="A12" s="432">
        <v>40839.0</v>
      </c>
      <c r="B12" s="181" t="s">
        <v>4287</v>
      </c>
      <c r="C12" s="181" t="s">
        <v>4288</v>
      </c>
      <c r="D12" s="105" t="str">
        <f>HYPERLINK("http://soundcloud.com/thunderburn/the-wedge", "stream link")</f>
        <v>stream link</v>
      </c>
      <c r="E12" s="105" t="str">
        <f>HYPERLINK("http://soundcloud.com/thunderburn/the-wedge/download", "download link")</f>
        <v>download link</v>
      </c>
    </row>
    <row r="13">
      <c r="A13" s="434">
        <v>40839.0</v>
      </c>
      <c r="B13" s="272" t="s">
        <v>4289</v>
      </c>
      <c r="C13" s="272" t="s">
        <v>4290</v>
      </c>
      <c r="D13" s="135" t="str">
        <f>HYPERLINK("http://soundcloud.com/thunderburn/lever-boy", "stream link")</f>
        <v>stream link</v>
      </c>
      <c r="E13" s="135" t="str">
        <f>HYPERLINK("http://soundcloud.com/thunderburn/lever-boy/download", "download link")</f>
        <v>download link</v>
      </c>
    </row>
    <row r="14">
      <c r="A14" s="432">
        <v>40842.0</v>
      </c>
      <c r="B14" s="181" t="s">
        <v>4291</v>
      </c>
      <c r="C14" s="181" t="s">
        <v>4292</v>
      </c>
      <c r="D14" s="105" t="str">
        <f>HYPERLINK("http://soundcloud.com/thunderburn/mathilda", "stream link")</f>
        <v>stream link</v>
      </c>
      <c r="E14" s="105" t="str">
        <f>HYPERLINK("http://soundcloud.com/thunderburn/mathilda/download", "download link")</f>
        <v>download link</v>
      </c>
    </row>
    <row r="15">
      <c r="A15" s="434">
        <v>40879.0</v>
      </c>
      <c r="B15" s="272" t="s">
        <v>4293</v>
      </c>
      <c r="C15" s="272" t="s">
        <v>4294</v>
      </c>
      <c r="D15" s="116" t="str">
        <f>HYPERLINK("http://soundcloud.com/thunderburn/a-song-i-heard-the-ocean-sing", "stream link")</f>
        <v>stream link</v>
      </c>
      <c r="E15" s="116" t="str">
        <f>HYPERLINK("http://soundcloud.com/thunderburn/a-song-i-heard-the-ocean-sing/download", "download link")</f>
        <v>download link</v>
      </c>
    </row>
    <row r="16">
      <c r="A16" s="432">
        <v>40880.0</v>
      </c>
      <c r="B16" s="181" t="s">
        <v>4295</v>
      </c>
      <c r="C16" s="181" t="s">
        <v>4294</v>
      </c>
      <c r="D16" s="105" t="str">
        <f>HYPERLINK("http://soundcloud.com/thunderburn/stealing-time-from-the-faulty", "stream link")</f>
        <v>stream link</v>
      </c>
      <c r="E16" s="105" t="str">
        <f>HYPERLINK("http://soundcloud.com/thunderburn/stealing-time-from-the-faulty/download", "download link")</f>
        <v>download link</v>
      </c>
    </row>
    <row r="17">
      <c r="A17" s="434">
        <v>40893.0</v>
      </c>
      <c r="B17" s="272" t="s">
        <v>4296</v>
      </c>
      <c r="C17" s="272" t="s">
        <v>4294</v>
      </c>
      <c r="D17" s="116" t="str">
        <f>HYPERLINK("http://soundcloud.com/thunderburn/crowd-control", "stream link")</f>
        <v>stream link</v>
      </c>
      <c r="E17" s="116" t="str">
        <f>HYPERLINK("http://soundcloud.com/thunderburn/crowd-control/download", "download link")</f>
        <v>download link</v>
      </c>
    </row>
    <row r="18">
      <c r="A18" s="432">
        <v>40898.0</v>
      </c>
      <c r="B18" s="181" t="s">
        <v>4297</v>
      </c>
      <c r="C18" s="181" t="s">
        <v>4298</v>
      </c>
      <c r="D18" s="105" t="str">
        <f>HYPERLINK("http://soundcloud.com/thunderburn/reach", "stream link")</f>
        <v>stream link</v>
      </c>
      <c r="E18" s="105" t="str">
        <f>HYPERLINK("http://soundcloud.com/thunderburn/reach/download", "download link")</f>
        <v>download link</v>
      </c>
    </row>
    <row r="19">
      <c r="A19" s="434">
        <v>40921.0</v>
      </c>
      <c r="B19" s="272" t="s">
        <v>4299</v>
      </c>
      <c r="C19" s="272" t="s">
        <v>4300</v>
      </c>
      <c r="D19" s="116" t="str">
        <f>HYPERLINK("http://soundcloud.com/thunderburn/limb-by-limb", "stream link")</f>
        <v>stream link</v>
      </c>
      <c r="E19" s="116" t="str">
        <f>HYPERLINK("http://soundcloud.com/thunderburn/limb-by-limb/download", "download link")</f>
        <v>download link</v>
      </c>
    </row>
    <row r="20">
      <c r="A20" s="432">
        <v>40933.0</v>
      </c>
      <c r="B20" s="181" t="s">
        <v>4301</v>
      </c>
      <c r="C20" s="181" t="s">
        <v>4302</v>
      </c>
      <c r="D20" s="105" t="str">
        <f>HYPERLINK("http://soundcloud.com/thunderburn/twist", "stream link")</f>
        <v>stream link</v>
      </c>
      <c r="E20" s="105" t="str">
        <f>HYPERLINK("http://soundcloud.com/thunderburn/twist/download", "download link")</f>
        <v>download link</v>
      </c>
    </row>
    <row r="21">
      <c r="A21" s="434">
        <v>40935.0</v>
      </c>
      <c r="B21" s="272" t="s">
        <v>4303</v>
      </c>
      <c r="C21" s="272" t="s">
        <v>4302</v>
      </c>
      <c r="D21" s="116" t="str">
        <f>HYPERLINK("http://soundcloud.com/thunderburn/farmhouse", "stream link")</f>
        <v>stream link</v>
      </c>
      <c r="E21" s="116" t="str">
        <f>HYPERLINK("http://soundcloud.com/thunderburn/farmhouse/download", "download link")</f>
        <v>download link</v>
      </c>
    </row>
    <row r="22">
      <c r="A22" s="432">
        <v>40939.0</v>
      </c>
      <c r="B22" s="181" t="s">
        <v>4304</v>
      </c>
      <c r="C22" s="181" t="s">
        <v>4305</v>
      </c>
      <c r="D22" s="105" t="str">
        <f>HYPERLINK("http://soundcloud.com/thunderburn/adam-and-eve", "stream link")</f>
        <v>stream link</v>
      </c>
      <c r="E22" s="105" t="str">
        <f>HYPERLINK("http://soundcloud.com/thunderburn/adam-and-eve/download", "download link")</f>
        <v>download link</v>
      </c>
    </row>
    <row r="23">
      <c r="A23" s="434">
        <v>40967.0</v>
      </c>
      <c r="B23" s="272" t="s">
        <v>4306</v>
      </c>
      <c r="C23" s="272" t="s">
        <v>4307</v>
      </c>
      <c r="D23" s="116" t="str">
        <f>HYPERLINK("http://soundcloud.com/thunderburn/bug", "stream link")</f>
        <v>stream link</v>
      </c>
      <c r="E23" s="116" t="str">
        <f>HYPERLINK("http://soundcloud.com/thunderburn/bug/download", "download link")</f>
        <v>download link</v>
      </c>
    </row>
    <row r="24">
      <c r="A24" s="432">
        <v>40989.0</v>
      </c>
      <c r="B24" s="181" t="s">
        <v>4308</v>
      </c>
      <c r="C24" s="181" t="s">
        <v>4309</v>
      </c>
      <c r="D24" s="105" t="str">
        <f>HYPERLINK("http://soundcloud.com/thunderburn/vultures", "stream link")</f>
        <v>stream link</v>
      </c>
      <c r="E24" s="105" t="str">
        <f>HYPERLINK("http://soundcloud.com/thunderburn/vultures/download", "download link")</f>
        <v>download link</v>
      </c>
    </row>
    <row r="25">
      <c r="A25" s="434">
        <v>41032.0</v>
      </c>
      <c r="B25" s="272" t="s">
        <v>4310</v>
      </c>
      <c r="C25" s="272" t="s">
        <v>4311</v>
      </c>
      <c r="D25" s="116" t="str">
        <f>HYPERLINK("http://soundcloud.com/thunderburn/gift", "stream link")</f>
        <v>stream link</v>
      </c>
      <c r="E25" s="116" t="str">
        <f>HYPERLINK("http://soundcloud.com/thunderburn/gift/download", "download link")</f>
        <v>download link</v>
      </c>
    </row>
    <row r="26">
      <c r="A26" s="432">
        <v>41086.0</v>
      </c>
      <c r="B26" s="181" t="s">
        <v>4312</v>
      </c>
      <c r="C26" s="181" t="s">
        <v>4313</v>
      </c>
      <c r="D26" s="105" t="str">
        <f>HYPERLINK("http://soundcloud.com/thunderburn/sparrow", "stream link")</f>
        <v>stream link</v>
      </c>
      <c r="E26" s="105" t="str">
        <f>HYPERLINK("http://soundcloud.com/thunderburn/sparrow/download", "download link")</f>
        <v>download link</v>
      </c>
    </row>
    <row r="27">
      <c r="A27" s="434">
        <v>41131.0</v>
      </c>
      <c r="B27" s="272" t="s">
        <v>4314</v>
      </c>
      <c r="C27" s="272" t="s">
        <v>4315</v>
      </c>
      <c r="D27" s="116" t="str">
        <f>HYPERLINK("http://soundcloud.com/thunderburn/sailboat-man", "stream link")</f>
        <v>stream link</v>
      </c>
      <c r="E27" s="116" t="str">
        <f>HYPERLINK("http://soundcloud.com/thunderburn/sailboat-man/download", "download link")</f>
        <v>download link</v>
      </c>
    </row>
    <row r="28">
      <c r="A28" s="432">
        <v>41138.0</v>
      </c>
      <c r="B28" s="181" t="s">
        <v>4316</v>
      </c>
      <c r="C28" s="181" t="s">
        <v>4317</v>
      </c>
      <c r="D28" s="105" t="str">
        <f>HYPERLINK("http://soundcloud.com/thunderburn/amfibian1999-02-03-heavy", "stream link")</f>
        <v>stream link</v>
      </c>
      <c r="E28" s="105" t="str">
        <f>HYPERLINK("http://soundcloud.com/thunderburn/amfibian1999-02-03-heavy/download", "download link")</f>
        <v>download link</v>
      </c>
    </row>
    <row r="29">
      <c r="A29" s="434">
        <v>41187.0</v>
      </c>
      <c r="B29" s="272" t="s">
        <v>4318</v>
      </c>
      <c r="C29" s="272" t="s">
        <v>4319</v>
      </c>
      <c r="D29" s="116" t="str">
        <f>HYPERLINK("http://soundcloud.com/thunderburn/through-the-polished-glass", "stream link")</f>
        <v>stream link</v>
      </c>
      <c r="E29" s="116" t="str">
        <f>HYPERLINK("http://soundcloud.com/thunderburn/through-the-polished-glass/download", "download link")</f>
        <v>download link</v>
      </c>
    </row>
    <row r="30">
      <c r="A30" s="432">
        <v>41263.0</v>
      </c>
      <c r="B30" s="181" t="s">
        <v>4320</v>
      </c>
      <c r="C30" s="181" t="s">
        <v>4302</v>
      </c>
      <c r="D30" s="105" t="str">
        <f>HYPERLINK("https://soundcloud.com/thunderburn/blue-and-shiny", "stream link")</f>
        <v>stream link</v>
      </c>
      <c r="E30" s="105" t="str">
        <f>HYPERLINK("https://soundcloud.com/thunderburn/blue-and-shiny/download", "download link")</f>
        <v>download link</v>
      </c>
    </row>
    <row r="31">
      <c r="A31" s="433">
        <v>41369.0</v>
      </c>
      <c r="B31" s="183" t="s">
        <v>4321</v>
      </c>
      <c r="C31" s="183" t="s">
        <v>4322</v>
      </c>
      <c r="D31" s="116" t="str">
        <f>HYPERLINK("https://soundcloud.com/thunderburn/hotbox", "stream link")</f>
        <v>stream link</v>
      </c>
      <c r="E31" s="116" t="str">
        <f>HYPERLINK("https://soundcloud.com/thunderburn/hotbox/download", "download link")</f>
        <v>download link</v>
      </c>
    </row>
    <row r="32">
      <c r="A32" s="432">
        <v>41419.0</v>
      </c>
      <c r="B32" s="181" t="s">
        <v>4323</v>
      </c>
      <c r="C32" s="181" t="s">
        <v>4324</v>
      </c>
      <c r="D32" s="105" t="str">
        <f>HYPERLINK("https://soundcloud.com/thunderburn/julius", "stream link")</f>
        <v>stream link</v>
      </c>
      <c r="E32" s="105" t="str">
        <f>HYPERLINK("https://soundcloud.com/thunderburn/julius/download", "download link")</f>
        <v>download link</v>
      </c>
    </row>
    <row r="33">
      <c r="A33" s="433">
        <v>41926.0</v>
      </c>
      <c r="B33" s="183" t="s">
        <v>4325</v>
      </c>
      <c r="C33" s="183" t="s">
        <v>4326</v>
      </c>
      <c r="D33" s="116" t="str">
        <f>HYPERLINK("https://soundcloud.com/thunderburn/cook-cabin", "stream link")</f>
        <v>stream link</v>
      </c>
      <c r="E33" s="116" t="str">
        <f>HYPERLINK("https://soundcloud.com/thunderburn/cook-cabin/download", "download link")</f>
        <v>download link</v>
      </c>
    </row>
    <row r="34">
      <c r="A34" s="432">
        <v>42026.0</v>
      </c>
      <c r="B34" s="181" t="s">
        <v>4327</v>
      </c>
      <c r="C34" s="181" t="s">
        <v>4328</v>
      </c>
      <c r="D34" s="105" t="str">
        <f>HYPERLINK("https://soundcloud.com/thunderburn/obstacle-of-course", "stream link")</f>
        <v>stream link</v>
      </c>
      <c r="E34" s="105" t="str">
        <f>HYPERLINK("https://soundcloud.com/thunderburn/obstacle-of-course/download", "download link")</f>
        <v>download link</v>
      </c>
    </row>
    <row r="35">
      <c r="A35" s="379"/>
      <c r="B35" s="273"/>
      <c r="C35" s="273"/>
      <c r="D35" s="145"/>
      <c r="E35" s="145"/>
    </row>
    <row r="36">
      <c r="A36" s="183" t="s">
        <v>4329</v>
      </c>
    </row>
    <row r="37">
      <c r="A37" s="435"/>
      <c r="B37" s="436"/>
      <c r="C37" s="436"/>
      <c r="D37" s="437"/>
      <c r="E37" s="437"/>
    </row>
    <row r="38">
      <c r="A38" s="60" t="s">
        <v>4270</v>
      </c>
      <c r="B38" s="60" t="s">
        <v>4271</v>
      </c>
      <c r="C38" s="83" t="s">
        <v>31</v>
      </c>
      <c r="D38" s="60" t="s">
        <v>4272</v>
      </c>
      <c r="E38" s="60" t="s">
        <v>29</v>
      </c>
    </row>
    <row r="39">
      <c r="A39" s="431">
        <v>41244.0</v>
      </c>
      <c r="B39" s="179" t="s">
        <v>4330</v>
      </c>
      <c r="C39" s="179" t="s">
        <v>4331</v>
      </c>
      <c r="D39" s="98" t="str">
        <f>HYPERLINK("http://soundcloud.com/dudeoflife17/show-of-life", "stream link")</f>
        <v>stream link</v>
      </c>
      <c r="E39" s="438" t="s">
        <v>4332</v>
      </c>
    </row>
    <row r="40">
      <c r="A40" s="432">
        <v>41251.0</v>
      </c>
      <c r="B40" s="181" t="s">
        <v>4333</v>
      </c>
      <c r="C40" s="181" t="s">
        <v>4334</v>
      </c>
      <c r="D40" s="105" t="str">
        <f>HYPERLINK("https://soundcloud.com/dudeoflife17/architect-original-demo", "stream link")</f>
        <v>stream link</v>
      </c>
      <c r="E40" s="155" t="s">
        <v>4332</v>
      </c>
    </row>
    <row r="41">
      <c r="A41" s="433">
        <v>41254.0</v>
      </c>
      <c r="B41" s="183" t="s">
        <v>4335</v>
      </c>
      <c r="C41" s="183" t="s">
        <v>4336</v>
      </c>
      <c r="D41" s="135" t="str">
        <f>HYPERLINK("https://soundcloud.com/dudeoflife17/01-snake-head-thumb", "stream link")</f>
        <v>stream link</v>
      </c>
      <c r="E41" s="369" t="s">
        <v>4332</v>
      </c>
    </row>
    <row r="42">
      <c r="A42" s="432">
        <v>41305.0</v>
      </c>
      <c r="B42" s="181" t="s">
        <v>4337</v>
      </c>
      <c r="C42" s="181" t="s">
        <v>4338</v>
      </c>
      <c r="D42" s="105" t="str">
        <f>HYPERLINK("https://soundcloud.com/dudeoflife17/edies-dream-1", "stream link")</f>
        <v>stream link</v>
      </c>
      <c r="E42" s="155" t="s">
        <v>4332</v>
      </c>
    </row>
  </sheetData>
  <mergeCells count="2">
    <mergeCell ref="A2:E2"/>
    <mergeCell ref="A36:E36"/>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6.88"/>
    <col customWidth="1" min="2" max="2" width="17.63"/>
  </cols>
  <sheetData>
    <row r="1">
      <c r="A1" s="237"/>
      <c r="B1" s="430"/>
    </row>
    <row r="2">
      <c r="A2" s="60" t="s">
        <v>2</v>
      </c>
      <c r="B2" s="60" t="s">
        <v>29</v>
      </c>
    </row>
    <row r="3">
      <c r="A3" s="439" t="s">
        <v>4339</v>
      </c>
      <c r="B3" s="98" t="str">
        <f>HYPERLINK("http://www.mediafire.com/download/zwn8erpu8pd0mox/1983-86_Cover_Art.rar", "download link")</f>
        <v>download link</v>
      </c>
    </row>
    <row r="4">
      <c r="A4" s="403">
        <v>1987.0</v>
      </c>
      <c r="B4" s="105" t="str">
        <f>HYPERLINK("http://www.mediafire.com/download/n2ht3u14jb2mqt0/1987_Cover_Art.rar", "download link")</f>
        <v>download link</v>
      </c>
    </row>
    <row r="5">
      <c r="A5" s="397">
        <v>1988.0</v>
      </c>
      <c r="B5" s="135" t="str">
        <f>HYPERLINK("http://www.mediafire.com/download/k3xx2ckftwdtkhy/1988_Cover_Art.rar", "download link")</f>
        <v>download link</v>
      </c>
    </row>
    <row r="6">
      <c r="A6" s="403">
        <v>1989.0</v>
      </c>
      <c r="B6" s="105" t="str">
        <f>HYPERLINK("http://www.mediafire.com/download/cbdzztuksbzsao1/1989_Cover_Art.rar", "download link")</f>
        <v>download link</v>
      </c>
    </row>
    <row r="7">
      <c r="A7" s="397">
        <v>1990.0</v>
      </c>
      <c r="B7" s="135" t="str">
        <f>HYPERLINK("http://www.mediafire.com/download/9an4m2yh7m5f1di/1990_Cover_Art.rar", "download link")</f>
        <v>download link</v>
      </c>
    </row>
    <row r="8">
      <c r="A8" s="403">
        <v>1991.0</v>
      </c>
      <c r="B8" s="105" t="str">
        <f>HYPERLINK("http://www.mediafire.com/download/n8p32q18p9cu3up/1991_Cover_Art.rar", "download link")</f>
        <v>download link</v>
      </c>
    </row>
    <row r="9">
      <c r="A9" s="397">
        <v>1992.0</v>
      </c>
      <c r="B9" s="135" t="str">
        <f>HYPERLINK("http://www.mediafire.com/download/srlkb6prj50v20b/1992_Cover_Art.rar", "download link")</f>
        <v>download link</v>
      </c>
    </row>
    <row r="10">
      <c r="A10" s="403">
        <v>1993.0</v>
      </c>
      <c r="B10" s="105" t="str">
        <f>HYPERLINK("http://www.mediafire.com/download/qsgswfpqcng9pjq/1993_Cover_Art.rar", "download link")</f>
        <v>download link</v>
      </c>
    </row>
    <row r="11">
      <c r="A11" s="440">
        <v>1994.0</v>
      </c>
      <c r="B11" s="135" t="str">
        <f>HYPERLINK("http://www.mediafire.com/download/9jn6tab6w0ytzl6/1994_Cover_Art.rar", "download link")</f>
        <v>download link</v>
      </c>
    </row>
    <row r="12">
      <c r="A12" s="403">
        <v>1995.0</v>
      </c>
      <c r="B12" s="105" t="str">
        <f>HYPERLINK("http://www.mediafire.com/download/loni343e1tixo14/1995_Cover_Art.rar", "download link")</f>
        <v>download link</v>
      </c>
    </row>
    <row r="13">
      <c r="A13" s="440">
        <v>1996.0</v>
      </c>
      <c r="B13" s="116" t="str">
        <f>HYPERLINK("http://www.mediafire.com/download/9f6rsgn3vm767jd/1996_Cover_Art.rar", "download link")</f>
        <v>download link</v>
      </c>
    </row>
    <row r="14">
      <c r="A14" s="403">
        <v>1997.0</v>
      </c>
      <c r="B14" s="105" t="str">
        <f>HYPERLINK("http://www.mediafire.com/download/q7k770099zcl0yr/1997_Cover_Art.rar", "download link")</f>
        <v>download link</v>
      </c>
    </row>
    <row r="15">
      <c r="A15" s="440">
        <v>1998.0</v>
      </c>
      <c r="B15" s="116" t="str">
        <f>HYPERLINK("http://www.mediafire.com/download/tgj6zzgot5hgn2y/1998_Cover_Art.rar", "download link")</f>
        <v>download link</v>
      </c>
    </row>
    <row r="16">
      <c r="A16" s="403">
        <v>1999.0</v>
      </c>
      <c r="B16" s="105" t="str">
        <f>HYPERLINK("http://www.mediafire.com/download/j0fb6gq2w72qw1f/1999_Cover_Art.rar", "download link")</f>
        <v>download link</v>
      </c>
    </row>
    <row r="17">
      <c r="A17" s="440">
        <v>2000.0</v>
      </c>
      <c r="B17" s="116" t="str">
        <f>HYPERLINK("http://www.mediafire.com/download/oc86gtd68cjctqc/2000_Cover_Art.rar", "download link")</f>
        <v>download link</v>
      </c>
    </row>
    <row r="18">
      <c r="A18" s="403">
        <v>2002.0</v>
      </c>
      <c r="B18" s="105" t="str">
        <f>HYPERLINK("http://www.mediafire.com/download/s31c159urk9dnp1/2002_Cover_Art.rar", "download link")</f>
        <v>download link</v>
      </c>
    </row>
    <row r="19">
      <c r="A19" s="440">
        <v>2003.0</v>
      </c>
      <c r="B19" s="116" t="str">
        <f>HYPERLINK("http://www.mediafire.com/download/cie8rgkgb87uh2e/2003_Cover_Art.rar", "download link")</f>
        <v>download link</v>
      </c>
    </row>
    <row r="20">
      <c r="A20" s="403">
        <v>2004.0</v>
      </c>
      <c r="B20" s="105" t="str">
        <f>HYPERLINK("http://www.mediafire.com/download/v95244kchx0b4qn/2004_Cover_Art.rar", "download link")</f>
        <v>download link</v>
      </c>
    </row>
    <row r="21">
      <c r="A21" s="440">
        <v>2009.0</v>
      </c>
      <c r="B21" s="116" t="str">
        <f>HYPERLINK("http://www.mediafire.com/download/427xz3baz08x1wc/2009_Cover_Art.rar", "download link")</f>
        <v>download link</v>
      </c>
    </row>
    <row r="22">
      <c r="A22" s="403">
        <v>2010.0</v>
      </c>
      <c r="B22" s="105" t="str">
        <f>HYPERLINK("http://www.mediafire.com/download/qndermaco9ae7mj/2010_Cover_Art.rar", "download link")</f>
        <v>download link</v>
      </c>
    </row>
    <row r="23">
      <c r="A23" s="440">
        <v>2011.0</v>
      </c>
      <c r="B23" s="116" t="str">
        <f>HYPERLINK("http://www.mediafire.com/download/krva779r351887g/2011_Cover_Art.rar", "download link")</f>
        <v>download link</v>
      </c>
    </row>
    <row r="24">
      <c r="A24" s="403">
        <v>2012.0</v>
      </c>
      <c r="B24" s="105" t="str">
        <f>HYPERLINK("http://www.mediafire.com/download/bs4r737aaxthdi3/2012_Cover_Art.rar", "download link")</f>
        <v>download link</v>
      </c>
    </row>
    <row r="25">
      <c r="A25" s="440">
        <v>2013.0</v>
      </c>
      <c r="B25" s="116" t="str">
        <f>HYPERLINK("http://www.mediafire.com/download/maxxldafuy827of/2013_Cover_Art.rar", "download link")</f>
        <v>download link</v>
      </c>
    </row>
    <row r="26">
      <c r="A26" s="403">
        <v>2014.0</v>
      </c>
      <c r="B26" s="105" t="str">
        <f>HYPERLINK("http://www.mediafire.com/download/46a89agrhd72d1z/2014_Cover_Art.rar", "download link")</f>
        <v>download link</v>
      </c>
    </row>
    <row r="27">
      <c r="A27" s="440">
        <v>2015.0</v>
      </c>
      <c r="B27" s="116" t="str">
        <f>HYPERLINK("http://www.mediafire.com/download/q5mmkuud6dd2wuz/2015_Cover_Art.rar", "download link")</f>
        <v>download link</v>
      </c>
    </row>
    <row r="28">
      <c r="A28" s="403" t="s">
        <v>4076</v>
      </c>
      <c r="B28" s="105" t="str">
        <f>HYPERLINK("http://www.mediafire.com/download/wc6ms05bch7jq3d/From_the_Archives_Cover_Art.rar", "download link")</f>
        <v>download link</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6.25"/>
    <col customWidth="1" min="5" max="5" width="15.25"/>
    <col customWidth="1" min="6" max="6" width="5.13"/>
    <col customWidth="1" min="7" max="7" width="4.38"/>
    <col customWidth="1" min="8" max="8" width="13.13"/>
    <col customWidth="1" min="9" max="9" width="37.63"/>
    <col customWidth="1" min="10" max="10" width="57.63"/>
  </cols>
  <sheetData>
    <row r="1">
      <c r="A1" s="77"/>
      <c r="B1" s="78"/>
      <c r="C1" s="78"/>
      <c r="D1" s="80"/>
      <c r="E1" s="80"/>
      <c r="F1" s="78"/>
      <c r="G1" s="78"/>
      <c r="H1" s="81"/>
      <c r="I1" s="82"/>
      <c r="J1" s="82"/>
    </row>
    <row r="2">
      <c r="A2" s="83" t="s">
        <v>22</v>
      </c>
      <c r="B2" s="60" t="s">
        <v>23</v>
      </c>
      <c r="C2" s="60" t="s">
        <v>24</v>
      </c>
      <c r="D2" s="56" t="s">
        <v>25</v>
      </c>
      <c r="E2" s="84" t="s">
        <v>26</v>
      </c>
      <c r="F2" s="60" t="s">
        <v>27</v>
      </c>
      <c r="G2" s="60" t="s">
        <v>28</v>
      </c>
      <c r="H2" s="60" t="s">
        <v>29</v>
      </c>
      <c r="I2" s="85" t="s">
        <v>30</v>
      </c>
      <c r="J2" s="83" t="s">
        <v>31</v>
      </c>
    </row>
    <row r="3">
      <c r="A3" s="160"/>
      <c r="B3" s="161"/>
      <c r="C3" s="162"/>
      <c r="D3" s="163"/>
      <c r="E3" s="163"/>
      <c r="F3" s="161"/>
      <c r="G3" s="161"/>
      <c r="H3" s="90"/>
      <c r="I3" s="91"/>
      <c r="J3" s="91"/>
    </row>
    <row r="4">
      <c r="A4" s="92"/>
      <c r="B4" s="93"/>
      <c r="C4" s="164"/>
      <c r="D4" s="83" t="s">
        <v>254</v>
      </c>
      <c r="E4" s="95"/>
      <c r="F4" s="93"/>
      <c r="G4" s="93"/>
      <c r="H4" s="94"/>
      <c r="I4" s="95"/>
      <c r="J4" s="95"/>
    </row>
    <row r="5">
      <c r="A5" s="125">
        <v>32526.0</v>
      </c>
      <c r="B5" s="126"/>
      <c r="C5" s="98" t="str">
        <f t="shared" ref="C5:C64" si="1">HYPERLINK("http://www.phish.net/setlists/?d="&amp;RIGHT(TEXT(A5,"mm/dd/yyyy"),4)&amp;"-"&amp;LEFT(TEXT(A5,"mm/dd/yyyy"),2)&amp;"-"&amp;MID(TEXT(A5,"mm/dd/yyyy"),4,2), "setlist")</f>
        <v>setlist</v>
      </c>
      <c r="D5" s="102" t="s">
        <v>142</v>
      </c>
      <c r="E5" s="102" t="s">
        <v>143</v>
      </c>
      <c r="F5" s="127" t="s">
        <v>35</v>
      </c>
      <c r="G5" s="126"/>
      <c r="H5" s="128"/>
      <c r="I5" s="129"/>
      <c r="J5" s="129"/>
    </row>
    <row r="6">
      <c r="A6" s="103">
        <v>32528.0</v>
      </c>
      <c r="B6" s="104"/>
      <c r="C6" s="105" t="str">
        <f t="shared" si="1"/>
        <v>setlist</v>
      </c>
      <c r="D6" s="106" t="s">
        <v>255</v>
      </c>
      <c r="E6" s="106" t="s">
        <v>256</v>
      </c>
      <c r="F6" s="107" t="s">
        <v>257</v>
      </c>
      <c r="G6" s="104"/>
      <c r="H6" s="108"/>
      <c r="I6" s="109"/>
      <c r="J6" s="109"/>
    </row>
    <row r="7">
      <c r="A7" s="110">
        <v>32529.0</v>
      </c>
      <c r="B7" s="111"/>
      <c r="C7" s="135" t="str">
        <f t="shared" si="1"/>
        <v>setlist</v>
      </c>
      <c r="D7" s="113" t="s">
        <v>258</v>
      </c>
      <c r="E7" s="113" t="s">
        <v>259</v>
      </c>
      <c r="F7" s="114" t="s">
        <v>257</v>
      </c>
      <c r="G7" s="111"/>
      <c r="H7" s="138"/>
      <c r="I7" s="80"/>
      <c r="J7" s="80"/>
    </row>
    <row r="8">
      <c r="A8" s="130">
        <v>32534.0</v>
      </c>
      <c r="B8" s="133" t="s">
        <v>32</v>
      </c>
      <c r="C8" s="105" t="str">
        <f t="shared" si="1"/>
        <v>setlist</v>
      </c>
      <c r="D8" s="140" t="s">
        <v>260</v>
      </c>
      <c r="E8" s="132" t="s">
        <v>94</v>
      </c>
      <c r="F8" s="133" t="s">
        <v>95</v>
      </c>
      <c r="G8" s="133" t="s">
        <v>36</v>
      </c>
      <c r="H8" s="105" t="str">
        <f>HYPERLINK("http://www.mediafire.com/download/38jcrdyy29ko6er/1989-01-26_-_The_Paradise_-_Boston%2C_MA.rar", "download link")</f>
        <v>download link</v>
      </c>
      <c r="I8" s="134" t="s">
        <v>261</v>
      </c>
      <c r="J8" s="106" t="s">
        <v>117</v>
      </c>
    </row>
    <row r="9">
      <c r="A9" s="142">
        <v>32536.0</v>
      </c>
      <c r="B9" s="144"/>
      <c r="C9" s="116" t="str">
        <f t="shared" si="1"/>
        <v>setlist</v>
      </c>
      <c r="D9" s="118" t="s">
        <v>262</v>
      </c>
      <c r="E9" s="118" t="s">
        <v>263</v>
      </c>
      <c r="F9" s="115" t="s">
        <v>182</v>
      </c>
      <c r="G9" s="144"/>
      <c r="H9" s="145"/>
      <c r="I9" s="146"/>
      <c r="J9" s="146"/>
    </row>
    <row r="10">
      <c r="A10" s="103">
        <v>32540.0</v>
      </c>
      <c r="B10" s="104"/>
      <c r="C10" s="105" t="str">
        <f t="shared" si="1"/>
        <v>setlist</v>
      </c>
      <c r="D10" s="106" t="s">
        <v>142</v>
      </c>
      <c r="E10" s="106" t="s">
        <v>143</v>
      </c>
      <c r="F10" s="107" t="s">
        <v>35</v>
      </c>
      <c r="G10" s="104"/>
      <c r="H10" s="108"/>
      <c r="I10" s="109"/>
      <c r="J10" s="109"/>
    </row>
    <row r="11">
      <c r="A11" s="142">
        <v>32544.0</v>
      </c>
      <c r="B11" s="144"/>
      <c r="C11" s="116" t="str">
        <f t="shared" si="1"/>
        <v>setlist</v>
      </c>
      <c r="D11" s="118" t="s">
        <v>178</v>
      </c>
      <c r="E11" s="118" t="s">
        <v>34</v>
      </c>
      <c r="F11" s="115" t="s">
        <v>35</v>
      </c>
      <c r="G11" s="144"/>
      <c r="H11" s="145"/>
      <c r="I11" s="146"/>
      <c r="J11" s="146"/>
    </row>
    <row r="12">
      <c r="A12" s="103">
        <v>32545.0</v>
      </c>
      <c r="B12" s="107" t="s">
        <v>32</v>
      </c>
      <c r="C12" s="105" t="str">
        <f t="shared" si="1"/>
        <v>setlist</v>
      </c>
      <c r="D12" s="106" t="s">
        <v>178</v>
      </c>
      <c r="E12" s="106" t="s">
        <v>34</v>
      </c>
      <c r="F12" s="107" t="s">
        <v>35</v>
      </c>
      <c r="G12" s="107" t="s">
        <v>36</v>
      </c>
      <c r="H12" s="105" t="str">
        <f>HYPERLINK("http://www.mediafire.com/download/47n4q8m7upjeskb/1989-02-06_-_The_Front_-_Burlington%2C_VT.rar", "download link")</f>
        <v>download link</v>
      </c>
      <c r="I12" s="134" t="s">
        <v>264</v>
      </c>
      <c r="J12" s="109"/>
    </row>
    <row r="13">
      <c r="A13" s="142">
        <v>32546.0</v>
      </c>
      <c r="B13" s="115" t="s">
        <v>32</v>
      </c>
      <c r="C13" s="116" t="str">
        <f t="shared" si="1"/>
        <v>setlist</v>
      </c>
      <c r="D13" s="118" t="s">
        <v>178</v>
      </c>
      <c r="E13" s="118" t="s">
        <v>34</v>
      </c>
      <c r="F13" s="115" t="s">
        <v>35</v>
      </c>
      <c r="G13" s="115" t="s">
        <v>36</v>
      </c>
      <c r="H13" s="116" t="str">
        <f>HYPERLINK("http://www.mediafire.com/download/0m5384wqu4527s0/1989-02-07_-_The_Front_-_Burlington%2C_VT.rar", "download link")</f>
        <v>download link</v>
      </c>
      <c r="I13" s="117" t="s">
        <v>265</v>
      </c>
      <c r="J13" s="146"/>
    </row>
    <row r="14">
      <c r="A14" s="103">
        <v>32549.0</v>
      </c>
      <c r="B14" s="104"/>
      <c r="C14" s="105" t="str">
        <f t="shared" si="1"/>
        <v>setlist</v>
      </c>
      <c r="D14" s="106" t="s">
        <v>266</v>
      </c>
      <c r="E14" s="106" t="s">
        <v>164</v>
      </c>
      <c r="F14" s="107" t="s">
        <v>95</v>
      </c>
      <c r="G14" s="104"/>
      <c r="H14" s="108"/>
      <c r="I14" s="109"/>
      <c r="J14" s="109"/>
    </row>
    <row r="15">
      <c r="A15" s="142">
        <v>32550.0</v>
      </c>
      <c r="B15" s="144"/>
      <c r="C15" s="116" t="str">
        <f t="shared" si="1"/>
        <v>setlist</v>
      </c>
      <c r="D15" s="118" t="s">
        <v>246</v>
      </c>
      <c r="E15" s="118" t="s">
        <v>247</v>
      </c>
      <c r="F15" s="115" t="s">
        <v>95</v>
      </c>
      <c r="G15" s="144"/>
      <c r="H15" s="145"/>
      <c r="I15" s="146"/>
      <c r="J15" s="146"/>
    </row>
    <row r="16">
      <c r="A16" s="103">
        <v>32556.0</v>
      </c>
      <c r="B16" s="104"/>
      <c r="C16" s="105" t="str">
        <f t="shared" si="1"/>
        <v>setlist</v>
      </c>
      <c r="D16" s="106" t="s">
        <v>242</v>
      </c>
      <c r="E16" s="106" t="s">
        <v>243</v>
      </c>
      <c r="F16" s="107" t="s">
        <v>182</v>
      </c>
      <c r="G16" s="104"/>
      <c r="H16" s="108"/>
      <c r="I16" s="109"/>
      <c r="J16" s="109"/>
    </row>
    <row r="17">
      <c r="A17" s="142">
        <v>32557.0</v>
      </c>
      <c r="B17" s="144"/>
      <c r="C17" s="116" t="str">
        <f t="shared" si="1"/>
        <v>setlist</v>
      </c>
      <c r="D17" s="118" t="s">
        <v>242</v>
      </c>
      <c r="E17" s="118" t="s">
        <v>243</v>
      </c>
      <c r="F17" s="115" t="s">
        <v>182</v>
      </c>
      <c r="G17" s="115" t="s">
        <v>36</v>
      </c>
      <c r="H17" s="116" t="str">
        <f>HYPERLINK("http://www.mediafire.com/download/45ompw2zoxxyuce/1989-02-18_-_Old_Stone_Church_-_Newmarket%2C_NH.rar", "download link")</f>
        <v>download link</v>
      </c>
      <c r="I17" s="117" t="s">
        <v>267</v>
      </c>
      <c r="J17" s="117" t="s">
        <v>268</v>
      </c>
    </row>
    <row r="18">
      <c r="A18" s="103">
        <v>32562.0</v>
      </c>
      <c r="B18" s="104"/>
      <c r="C18" s="105" t="str">
        <f t="shared" si="1"/>
        <v>setlist</v>
      </c>
      <c r="D18" s="106" t="s">
        <v>178</v>
      </c>
      <c r="E18" s="106" t="s">
        <v>34</v>
      </c>
      <c r="F18" s="107" t="s">
        <v>35</v>
      </c>
      <c r="G18" s="104"/>
      <c r="H18" s="108"/>
      <c r="I18" s="109"/>
      <c r="J18" s="109"/>
    </row>
    <row r="19">
      <c r="A19" s="142">
        <v>32563.0</v>
      </c>
      <c r="B19" s="115" t="s">
        <v>32</v>
      </c>
      <c r="C19" s="116" t="str">
        <f t="shared" si="1"/>
        <v>setlist</v>
      </c>
      <c r="D19" s="118" t="s">
        <v>178</v>
      </c>
      <c r="E19" s="118" t="s">
        <v>34</v>
      </c>
      <c r="F19" s="115" t="s">
        <v>35</v>
      </c>
      <c r="G19" s="115" t="s">
        <v>36</v>
      </c>
      <c r="H19" s="116" t="str">
        <f>HYPERLINK("http://www.mediafire.com/download/4mriqw5qz80zqmq/1989-02-24_-_The_Front_-_Burlington%2C_VT.rar", "download link")</f>
        <v>download link</v>
      </c>
      <c r="I19" s="117" t="s">
        <v>122</v>
      </c>
      <c r="J19" s="117" t="s">
        <v>269</v>
      </c>
    </row>
    <row r="20">
      <c r="A20" s="103">
        <v>32564.0</v>
      </c>
      <c r="B20" s="104"/>
      <c r="C20" s="105" t="str">
        <f t="shared" si="1"/>
        <v>setlist</v>
      </c>
      <c r="D20" s="106" t="s">
        <v>178</v>
      </c>
      <c r="E20" s="106" t="s">
        <v>34</v>
      </c>
      <c r="F20" s="107" t="s">
        <v>35</v>
      </c>
      <c r="G20" s="104"/>
      <c r="H20" s="108"/>
      <c r="I20" s="109"/>
      <c r="J20" s="109"/>
    </row>
    <row r="21">
      <c r="A21" s="142">
        <v>32568.0</v>
      </c>
      <c r="B21" s="144"/>
      <c r="C21" s="116" t="str">
        <f t="shared" si="1"/>
        <v>setlist</v>
      </c>
      <c r="D21" s="118" t="s">
        <v>142</v>
      </c>
      <c r="E21" s="118" t="s">
        <v>143</v>
      </c>
      <c r="F21" s="115" t="s">
        <v>35</v>
      </c>
      <c r="G21" s="144"/>
      <c r="H21" s="145"/>
      <c r="I21" s="146"/>
      <c r="J21" s="146"/>
    </row>
    <row r="22">
      <c r="A22" s="130">
        <v>32570.0</v>
      </c>
      <c r="B22" s="131"/>
      <c r="C22" s="105" t="str">
        <f t="shared" si="1"/>
        <v>setlist</v>
      </c>
      <c r="D22" s="132" t="s">
        <v>154</v>
      </c>
      <c r="E22" s="132" t="s">
        <v>34</v>
      </c>
      <c r="F22" s="133" t="s">
        <v>35</v>
      </c>
      <c r="G22" s="133" t="s">
        <v>36</v>
      </c>
      <c r="H22" s="105" t="str">
        <f>HYPERLINK("http://www.mediafire.com/download/12zv72j5mem87k6/1989-03-03_-_Living_and_Learning_Center%2C_University_of_Vermont_-_Burlington%2C_VT.rar", "download link")</f>
        <v>download link</v>
      </c>
      <c r="I22" s="134" t="s">
        <v>270</v>
      </c>
      <c r="J22" s="106" t="s">
        <v>117</v>
      </c>
    </row>
    <row r="23">
      <c r="A23" s="142">
        <v>32571.0</v>
      </c>
      <c r="B23" s="144"/>
      <c r="C23" s="116" t="str">
        <f t="shared" si="1"/>
        <v>setlist</v>
      </c>
      <c r="D23" s="118" t="s">
        <v>271</v>
      </c>
      <c r="E23" s="118" t="s">
        <v>162</v>
      </c>
      <c r="F23" s="115" t="s">
        <v>129</v>
      </c>
      <c r="G23" s="115" t="s">
        <v>36</v>
      </c>
      <c r="H23" s="116" t="str">
        <f>HYPERLINK("http://www.mediafire.com/download/y3brd6bc5t3h1i5/1989-03-04_-_The_Wetlands_Preserve_-_New_York%2C_NY.rar", "download link")</f>
        <v>download link</v>
      </c>
      <c r="I23" s="117" t="s">
        <v>272</v>
      </c>
      <c r="J23" s="118" t="s">
        <v>139</v>
      </c>
    </row>
    <row r="24">
      <c r="A24" s="103">
        <v>32572.0</v>
      </c>
      <c r="B24" s="104"/>
      <c r="C24" s="105" t="str">
        <f t="shared" si="1"/>
        <v>setlist</v>
      </c>
      <c r="D24" s="106" t="s">
        <v>273</v>
      </c>
      <c r="E24" s="134" t="s">
        <v>58</v>
      </c>
      <c r="F24" s="107" t="s">
        <v>43</v>
      </c>
      <c r="G24" s="104"/>
      <c r="H24" s="108"/>
      <c r="I24" s="109"/>
      <c r="J24" s="109"/>
    </row>
    <row r="25">
      <c r="A25" s="142">
        <v>32578.0</v>
      </c>
      <c r="B25" s="144"/>
      <c r="C25" s="116" t="str">
        <f t="shared" si="1"/>
        <v>setlist</v>
      </c>
      <c r="D25" s="118" t="s">
        <v>246</v>
      </c>
      <c r="E25" s="118" t="s">
        <v>247</v>
      </c>
      <c r="F25" s="115" t="s">
        <v>95</v>
      </c>
      <c r="G25" s="144"/>
      <c r="H25" s="145"/>
      <c r="I25" s="146"/>
      <c r="J25" s="146"/>
    </row>
    <row r="26">
      <c r="A26" s="103">
        <v>32579.0</v>
      </c>
      <c r="B26" s="107" t="s">
        <v>32</v>
      </c>
      <c r="C26" s="105" t="str">
        <f t="shared" si="1"/>
        <v>setlist</v>
      </c>
      <c r="D26" s="106" t="s">
        <v>54</v>
      </c>
      <c r="E26" s="106" t="s">
        <v>34</v>
      </c>
      <c r="F26" s="107" t="s">
        <v>35</v>
      </c>
      <c r="G26" s="107" t="s">
        <v>36</v>
      </c>
      <c r="H26" s="105" t="str">
        <f>HYPERLINK("http://www.mediafire.com/download/2c343zjuz2z2b6j/1989-03-12_-_Nectar%27s_-_Burlington%2C_VT.rar", "download link")</f>
        <v>download link</v>
      </c>
      <c r="I26" s="134" t="s">
        <v>274</v>
      </c>
      <c r="J26" s="134" t="s">
        <v>65</v>
      </c>
    </row>
    <row r="27">
      <c r="A27" s="142">
        <v>32580.0</v>
      </c>
      <c r="B27" s="144"/>
      <c r="C27" s="116" t="str">
        <f t="shared" si="1"/>
        <v>setlist</v>
      </c>
      <c r="D27" s="118" t="s">
        <v>54</v>
      </c>
      <c r="E27" s="118" t="s">
        <v>34</v>
      </c>
      <c r="F27" s="115" t="s">
        <v>35</v>
      </c>
      <c r="G27" s="144"/>
      <c r="H27" s="145"/>
      <c r="I27" s="146"/>
      <c r="J27" s="146"/>
    </row>
    <row r="28">
      <c r="A28" s="130">
        <v>32581.0</v>
      </c>
      <c r="B28" s="133" t="s">
        <v>32</v>
      </c>
      <c r="C28" s="105" t="str">
        <f t="shared" si="1"/>
        <v>setlist</v>
      </c>
      <c r="D28" s="132" t="s">
        <v>54</v>
      </c>
      <c r="E28" s="132" t="s">
        <v>34</v>
      </c>
      <c r="F28" s="133" t="s">
        <v>35</v>
      </c>
      <c r="G28" s="133" t="s">
        <v>36</v>
      </c>
      <c r="H28" s="105" t="str">
        <f>HYPERLINK("http://www.mediafire.com/download/0hzzialas7sreqw/1989-03-14_-_Nectar%27s_-_Burlington%2C_VT.rar", "download link")</f>
        <v>download link</v>
      </c>
      <c r="I28" s="134" t="s">
        <v>274</v>
      </c>
      <c r="J28" s="106" t="s">
        <v>275</v>
      </c>
    </row>
    <row r="29">
      <c r="A29" s="142">
        <v>32591.0</v>
      </c>
      <c r="B29" s="144"/>
      <c r="C29" s="116" t="str">
        <f t="shared" si="1"/>
        <v>setlist</v>
      </c>
      <c r="D29" s="117" t="s">
        <v>260</v>
      </c>
      <c r="E29" s="118" t="s">
        <v>94</v>
      </c>
      <c r="F29" s="115" t="s">
        <v>95</v>
      </c>
      <c r="G29" s="115" t="s">
        <v>36</v>
      </c>
      <c r="H29" s="116" t="str">
        <f>HYPERLINK("http://www.mediafire.com/download/4en1o12rrtus5eu/1989-03-24_-_The_Paradise_-_Boston%2C_MA.rar", "download link")</f>
        <v>download link</v>
      </c>
      <c r="I29" s="117" t="s">
        <v>276</v>
      </c>
      <c r="J29" s="117" t="s">
        <v>277</v>
      </c>
    </row>
    <row r="30">
      <c r="A30" s="103">
        <v>32592.0</v>
      </c>
      <c r="B30" s="104"/>
      <c r="C30" s="105" t="str">
        <f t="shared" si="1"/>
        <v>setlist</v>
      </c>
      <c r="D30" s="134" t="s">
        <v>278</v>
      </c>
      <c r="E30" s="106" t="s">
        <v>279</v>
      </c>
      <c r="F30" s="107" t="s">
        <v>257</v>
      </c>
      <c r="G30" s="104"/>
      <c r="H30" s="108"/>
      <c r="I30" s="109"/>
      <c r="J30" s="109"/>
    </row>
    <row r="31">
      <c r="A31" s="142">
        <v>32597.0</v>
      </c>
      <c r="B31" s="115" t="s">
        <v>32</v>
      </c>
      <c r="C31" s="116" t="str">
        <f t="shared" si="1"/>
        <v>setlist</v>
      </c>
      <c r="D31" s="118" t="s">
        <v>178</v>
      </c>
      <c r="E31" s="118" t="s">
        <v>34</v>
      </c>
      <c r="F31" s="115" t="s">
        <v>35</v>
      </c>
      <c r="G31" s="115" t="s">
        <v>36</v>
      </c>
      <c r="H31" s="116" t="str">
        <f>HYPERLINK("http://www.mediafire.com/download/832099hh5qkl6w4/1989-03-30_-_The_Front_-_Burlington%2C_VT.rar", "download link")</f>
        <v>download link</v>
      </c>
      <c r="I31" s="117" t="s">
        <v>280</v>
      </c>
      <c r="J31" s="146"/>
    </row>
    <row r="32">
      <c r="A32" s="103">
        <v>32598.0</v>
      </c>
      <c r="B32" s="104"/>
      <c r="C32" s="105" t="str">
        <f t="shared" si="1"/>
        <v>setlist</v>
      </c>
      <c r="D32" s="106" t="s">
        <v>178</v>
      </c>
      <c r="E32" s="106" t="s">
        <v>34</v>
      </c>
      <c r="F32" s="107" t="s">
        <v>35</v>
      </c>
      <c r="G32" s="104"/>
      <c r="H32" s="108"/>
      <c r="I32" s="109"/>
      <c r="J32" s="109"/>
    </row>
    <row r="33">
      <c r="A33" s="142">
        <v>32599.0</v>
      </c>
      <c r="B33" s="144"/>
      <c r="C33" s="116" t="str">
        <f t="shared" si="1"/>
        <v>setlist</v>
      </c>
      <c r="D33" s="117" t="s">
        <v>281</v>
      </c>
      <c r="E33" s="118" t="s">
        <v>247</v>
      </c>
      <c r="F33" s="115" t="s">
        <v>95</v>
      </c>
      <c r="G33" s="144"/>
      <c r="H33" s="145"/>
      <c r="I33" s="146"/>
      <c r="J33" s="146"/>
    </row>
    <row r="34">
      <c r="A34" s="103">
        <v>32600.0</v>
      </c>
      <c r="B34" s="104"/>
      <c r="C34" s="105" t="str">
        <f t="shared" si="1"/>
        <v>setlist</v>
      </c>
      <c r="D34" s="134" t="s">
        <v>282</v>
      </c>
      <c r="E34" s="106" t="s">
        <v>283</v>
      </c>
      <c r="F34" s="107" t="s">
        <v>171</v>
      </c>
      <c r="G34" s="104"/>
      <c r="H34" s="108"/>
      <c r="I34" s="109"/>
      <c r="J34" s="109"/>
    </row>
    <row r="35">
      <c r="A35" s="142">
        <v>32605.0</v>
      </c>
      <c r="B35" s="144"/>
      <c r="C35" s="116" t="str">
        <f t="shared" si="1"/>
        <v>setlist</v>
      </c>
      <c r="D35" s="118" t="s">
        <v>242</v>
      </c>
      <c r="E35" s="118" t="s">
        <v>243</v>
      </c>
      <c r="F35" s="115" t="s">
        <v>182</v>
      </c>
      <c r="G35" s="144"/>
      <c r="H35" s="145"/>
      <c r="I35" s="146"/>
      <c r="J35" s="146"/>
    </row>
    <row r="36">
      <c r="A36" s="103">
        <v>32611.0</v>
      </c>
      <c r="B36" s="104"/>
      <c r="C36" s="105" t="str">
        <f t="shared" si="1"/>
        <v>setlist</v>
      </c>
      <c r="D36" s="106" t="s">
        <v>284</v>
      </c>
      <c r="E36" s="106" t="s">
        <v>285</v>
      </c>
      <c r="F36" s="107" t="s">
        <v>35</v>
      </c>
      <c r="G36" s="104"/>
      <c r="H36" s="108"/>
      <c r="I36" s="109"/>
      <c r="J36" s="109"/>
    </row>
    <row r="37">
      <c r="A37" s="142">
        <v>32612.0</v>
      </c>
      <c r="B37" s="115" t="s">
        <v>32</v>
      </c>
      <c r="C37" s="116" t="str">
        <f t="shared" si="1"/>
        <v>setlist</v>
      </c>
      <c r="D37" s="117" t="s">
        <v>156</v>
      </c>
      <c r="E37" s="118" t="s">
        <v>96</v>
      </c>
      <c r="F37" s="115" t="s">
        <v>35</v>
      </c>
      <c r="G37" s="115" t="s">
        <v>36</v>
      </c>
      <c r="H37" s="116" t="str">
        <f>HYPERLINK("http://www.mediafire.com/download/a54pn34k3awv2ot/1989-04-14_-_The_Base_Lodge%2C_Stearns_Hall%2C_Johnson_State_College_-_Stearns%2C_VT.rar", "download link")</f>
        <v>download link</v>
      </c>
      <c r="I37" s="117" t="s">
        <v>286</v>
      </c>
      <c r="J37" s="118" t="s">
        <v>287</v>
      </c>
    </row>
    <row r="38">
      <c r="A38" s="103">
        <v>32613.0</v>
      </c>
      <c r="B38" s="104"/>
      <c r="C38" s="105" t="str">
        <f t="shared" si="1"/>
        <v>setlist</v>
      </c>
      <c r="D38" s="134" t="s">
        <v>116</v>
      </c>
      <c r="E38" s="106" t="s">
        <v>34</v>
      </c>
      <c r="F38" s="107" t="s">
        <v>35</v>
      </c>
      <c r="G38" s="107" t="s">
        <v>36</v>
      </c>
      <c r="H38" s="105" t="str">
        <f>HYPERLINK("http://www.mediafire.com/download/3fz33dbdw1u5w7f/1989-04-15_-_Billings_Lounge%2C_University_of_Vermont_-_Burlington%2C_VT.rar", "download link")</f>
        <v>download link</v>
      </c>
      <c r="I38" s="134" t="s">
        <v>288</v>
      </c>
      <c r="J38" s="106" t="s">
        <v>287</v>
      </c>
    </row>
    <row r="39">
      <c r="A39" s="142">
        <v>32617.0</v>
      </c>
      <c r="B39" s="144"/>
      <c r="C39" s="116" t="str">
        <f t="shared" si="1"/>
        <v>setlist</v>
      </c>
      <c r="D39" s="118" t="s">
        <v>289</v>
      </c>
      <c r="E39" s="118" t="s">
        <v>290</v>
      </c>
      <c r="F39" s="115" t="s">
        <v>95</v>
      </c>
      <c r="G39" s="144"/>
      <c r="H39" s="145"/>
      <c r="I39" s="146"/>
      <c r="J39" s="146"/>
    </row>
    <row r="40">
      <c r="A40" s="103">
        <v>32618.0</v>
      </c>
      <c r="B40" s="107" t="s">
        <v>32</v>
      </c>
      <c r="C40" s="105" t="str">
        <f t="shared" si="1"/>
        <v>setlist</v>
      </c>
      <c r="D40" s="134" t="s">
        <v>163</v>
      </c>
      <c r="E40" s="106" t="s">
        <v>164</v>
      </c>
      <c r="F40" s="107" t="s">
        <v>95</v>
      </c>
      <c r="G40" s="107" t="s">
        <v>36</v>
      </c>
      <c r="H40" s="105" t="str">
        <f>HYPERLINK("http://www.mediafire.com/download/9mf7bb56vyjtq9n/1989-04-20_-_Humphries_House_%28The_Zoo%29%2C_Amherst_College_-_Amherst%2C_MA.rar", "download link")</f>
        <v>download link</v>
      </c>
      <c r="I40" s="134" t="s">
        <v>291</v>
      </c>
      <c r="J40" s="109"/>
    </row>
    <row r="41">
      <c r="A41" s="142">
        <v>32619.0</v>
      </c>
      <c r="B41" s="144"/>
      <c r="C41" s="116" t="str">
        <f t="shared" si="1"/>
        <v>setlist</v>
      </c>
      <c r="D41" s="118" t="s">
        <v>178</v>
      </c>
      <c r="E41" s="118" t="s">
        <v>34</v>
      </c>
      <c r="F41" s="115" t="s">
        <v>35</v>
      </c>
      <c r="G41" s="144"/>
      <c r="H41" s="145"/>
      <c r="I41" s="146"/>
      <c r="J41" s="146"/>
    </row>
    <row r="42">
      <c r="A42" s="103">
        <v>32620.0</v>
      </c>
      <c r="B42" s="104"/>
      <c r="C42" s="105" t="str">
        <f t="shared" si="1"/>
        <v>setlist</v>
      </c>
      <c r="D42" s="106" t="s">
        <v>178</v>
      </c>
      <c r="E42" s="106" t="s">
        <v>34</v>
      </c>
      <c r="F42" s="107" t="s">
        <v>35</v>
      </c>
      <c r="G42" s="104"/>
      <c r="H42" s="108"/>
      <c r="I42" s="109"/>
      <c r="J42" s="109"/>
    </row>
    <row r="43">
      <c r="A43" s="142">
        <v>32625.0</v>
      </c>
      <c r="B43" s="144"/>
      <c r="C43" s="116" t="str">
        <f t="shared" si="1"/>
        <v>setlist</v>
      </c>
      <c r="D43" s="118" t="s">
        <v>292</v>
      </c>
      <c r="E43" s="118" t="s">
        <v>225</v>
      </c>
      <c r="F43" s="115" t="s">
        <v>182</v>
      </c>
      <c r="G43" s="115" t="s">
        <v>36</v>
      </c>
      <c r="H43" s="116" t="str">
        <f>HYPERLINK("http://www.mediafire.com/download/o03ginzhlheeld4/1989-04-27_-_Memorial_Union_Building%2C_University_of_New_Hampshire_-_Durham%2C_NH.rar", "download link")</f>
        <v>download link</v>
      </c>
      <c r="I43" s="117" t="s">
        <v>293</v>
      </c>
      <c r="J43" s="146"/>
    </row>
    <row r="44">
      <c r="A44" s="103">
        <v>32626.0</v>
      </c>
      <c r="B44" s="104"/>
      <c r="C44" s="105" t="str">
        <f t="shared" si="1"/>
        <v>setlist</v>
      </c>
      <c r="D44" s="106" t="s">
        <v>294</v>
      </c>
      <c r="E44" s="106" t="s">
        <v>295</v>
      </c>
      <c r="F44" s="107" t="s">
        <v>257</v>
      </c>
      <c r="G44" s="104"/>
      <c r="H44" s="108"/>
      <c r="I44" s="109"/>
      <c r="J44" s="109"/>
    </row>
    <row r="45">
      <c r="A45" s="142">
        <v>32627.0</v>
      </c>
      <c r="B45" s="144"/>
      <c r="C45" s="116" t="str">
        <f t="shared" si="1"/>
        <v>setlist</v>
      </c>
      <c r="D45" s="118" t="s">
        <v>296</v>
      </c>
      <c r="E45" s="118" t="s">
        <v>297</v>
      </c>
      <c r="F45" s="115" t="s">
        <v>298</v>
      </c>
      <c r="G45" s="144"/>
      <c r="H45" s="145"/>
      <c r="I45" s="146"/>
      <c r="J45" s="146"/>
    </row>
    <row r="46">
      <c r="A46" s="103">
        <v>32628.0</v>
      </c>
      <c r="B46" s="104"/>
      <c r="C46" s="105" t="str">
        <f t="shared" si="1"/>
        <v>setlist</v>
      </c>
      <c r="D46" s="134" t="s">
        <v>299</v>
      </c>
      <c r="E46" s="106" t="s">
        <v>300</v>
      </c>
      <c r="F46" s="107" t="s">
        <v>95</v>
      </c>
      <c r="G46" s="107" t="s">
        <v>36</v>
      </c>
      <c r="H46" s="105" t="str">
        <f>HYPERLINK("http://www.mediafire.com/download/4m4gtdrcrrsnscg/1989-04-30_-_Night_Stage_-_Cambridge%2C_MA.rar", "download link")</f>
        <v>download link</v>
      </c>
      <c r="I46" s="134" t="s">
        <v>138</v>
      </c>
      <c r="J46" s="109"/>
    </row>
    <row r="47">
      <c r="A47" s="142">
        <v>32629.0</v>
      </c>
      <c r="B47" s="144"/>
      <c r="C47" s="116" t="str">
        <f t="shared" si="1"/>
        <v>setlist</v>
      </c>
      <c r="D47" s="118" t="s">
        <v>301</v>
      </c>
      <c r="E47" s="118" t="s">
        <v>247</v>
      </c>
      <c r="F47" s="115" t="s">
        <v>95</v>
      </c>
      <c r="G47" s="115" t="s">
        <v>36</v>
      </c>
      <c r="H47" s="116" t="str">
        <f>HYPERLINK("http://www.mediafire.com/download/ya8h8wb1969f29x/1989-05-01_-_Pearl_Street_Ballroom_-_Northampton%2C_MA.rar", "download link")</f>
        <v>download link</v>
      </c>
      <c r="I47" s="117" t="s">
        <v>302</v>
      </c>
      <c r="J47" s="117" t="s">
        <v>117</v>
      </c>
    </row>
    <row r="48">
      <c r="A48" s="103">
        <v>32631.0</v>
      </c>
      <c r="B48" s="104"/>
      <c r="C48" s="105" t="str">
        <f t="shared" si="1"/>
        <v>setlist</v>
      </c>
      <c r="D48" s="106" t="s">
        <v>303</v>
      </c>
      <c r="E48" s="106" t="s">
        <v>304</v>
      </c>
      <c r="F48" s="107" t="s">
        <v>212</v>
      </c>
      <c r="G48" s="104"/>
      <c r="H48" s="108"/>
      <c r="I48" s="109"/>
      <c r="J48" s="109"/>
    </row>
    <row r="49">
      <c r="A49" s="142">
        <v>32633.0</v>
      </c>
      <c r="B49" s="115" t="s">
        <v>32</v>
      </c>
      <c r="C49" s="116" t="str">
        <f t="shared" si="1"/>
        <v>setlist</v>
      </c>
      <c r="D49" s="117" t="s">
        <v>305</v>
      </c>
      <c r="E49" s="118" t="s">
        <v>240</v>
      </c>
      <c r="F49" s="115" t="s">
        <v>129</v>
      </c>
      <c r="G49" s="115" t="s">
        <v>36</v>
      </c>
      <c r="H49" s="116" t="str">
        <f>HYPERLINK("http://www.mediafire.com/download/vpbxx9tlhqcd9b9/1989-05-05_-_Sigma_Phi_House%2C_Hamilton_College_-_Clinton%2C_NY.rar", "download link")</f>
        <v>download link</v>
      </c>
      <c r="I49" s="117" t="s">
        <v>155</v>
      </c>
      <c r="J49" s="146"/>
    </row>
    <row r="50">
      <c r="A50" s="103">
        <v>32634.0</v>
      </c>
      <c r="B50" s="104"/>
      <c r="C50" s="105" t="str">
        <f t="shared" si="1"/>
        <v>setlist</v>
      </c>
      <c r="D50" s="134" t="s">
        <v>306</v>
      </c>
      <c r="E50" s="106" t="s">
        <v>263</v>
      </c>
      <c r="F50" s="107" t="s">
        <v>182</v>
      </c>
      <c r="G50" s="107" t="s">
        <v>36</v>
      </c>
      <c r="H50" s="105" t="str">
        <f>HYPERLINK("http://www.mediafire.com/download/j05wdmveu2z2p9h/1989-05-06_-_Collis_Center%2C_Dartmouth_College_-_Hanover%2C_NH.rar", "download link")</f>
        <v>download link</v>
      </c>
      <c r="I50" s="134" t="s">
        <v>124</v>
      </c>
      <c r="J50" s="109"/>
    </row>
    <row r="51">
      <c r="A51" s="142">
        <v>32635.0</v>
      </c>
      <c r="B51" s="144"/>
      <c r="C51" s="116" t="str">
        <f t="shared" si="1"/>
        <v>setlist</v>
      </c>
      <c r="D51" s="118" t="s">
        <v>178</v>
      </c>
      <c r="E51" s="118" t="s">
        <v>34</v>
      </c>
      <c r="F51" s="115" t="s">
        <v>35</v>
      </c>
      <c r="G51" s="144"/>
      <c r="H51" s="145"/>
      <c r="I51" s="146"/>
      <c r="J51" s="146"/>
    </row>
    <row r="52">
      <c r="A52" s="103">
        <v>32636.0</v>
      </c>
      <c r="B52" s="104"/>
      <c r="C52" s="105" t="str">
        <f t="shared" si="1"/>
        <v>setlist</v>
      </c>
      <c r="D52" s="106" t="s">
        <v>178</v>
      </c>
      <c r="E52" s="106" t="s">
        <v>34</v>
      </c>
      <c r="F52" s="107" t="s">
        <v>35</v>
      </c>
      <c r="G52" s="104"/>
      <c r="H52" s="108"/>
      <c r="I52" s="109"/>
      <c r="J52" s="109"/>
    </row>
    <row r="53">
      <c r="A53" s="150">
        <v>32637.0</v>
      </c>
      <c r="B53" s="151" t="s">
        <v>32</v>
      </c>
      <c r="C53" s="116" t="str">
        <f t="shared" si="1"/>
        <v>setlist</v>
      </c>
      <c r="D53" s="153" t="s">
        <v>178</v>
      </c>
      <c r="E53" s="153" t="s">
        <v>34</v>
      </c>
      <c r="F53" s="151" t="s">
        <v>35</v>
      </c>
      <c r="G53" s="151" t="s">
        <v>36</v>
      </c>
      <c r="H53" s="116" t="str">
        <f>HYPERLINK("http://www.mediafire.com/download/c04jevi1k6as77h/1989-05-09_-_The_Front_-_Burlington%2C_VT.rar", "download link")</f>
        <v>download link</v>
      </c>
      <c r="I53" s="117" t="s">
        <v>213</v>
      </c>
      <c r="J53" s="118" t="s">
        <v>307</v>
      </c>
    </row>
    <row r="54">
      <c r="A54" s="103">
        <v>32639.0</v>
      </c>
      <c r="B54" s="104"/>
      <c r="C54" s="105" t="str">
        <f t="shared" si="1"/>
        <v>setlist</v>
      </c>
      <c r="D54" s="106" t="s">
        <v>308</v>
      </c>
      <c r="E54" s="106" t="s">
        <v>309</v>
      </c>
      <c r="F54" s="107" t="s">
        <v>129</v>
      </c>
      <c r="G54" s="104"/>
      <c r="H54" s="108"/>
      <c r="I54" s="109"/>
      <c r="J54" s="109"/>
    </row>
    <row r="55">
      <c r="A55" s="142">
        <v>32641.0</v>
      </c>
      <c r="B55" s="115" t="s">
        <v>32</v>
      </c>
      <c r="C55" s="116" t="str">
        <f t="shared" si="1"/>
        <v>setlist</v>
      </c>
      <c r="D55" s="117" t="s">
        <v>310</v>
      </c>
      <c r="E55" s="118" t="s">
        <v>311</v>
      </c>
      <c r="F55" s="115" t="s">
        <v>129</v>
      </c>
      <c r="G55" s="115" t="s">
        <v>36</v>
      </c>
      <c r="H55" s="116" t="str">
        <f>HYPERLINK("http://www.mediafire.com/download/t3wb3861be7u36w/1989-05-13_-_The_Orange_Grove_-_Syracuse%2C_NY.rar", "download link")</f>
        <v>download link</v>
      </c>
      <c r="I55" s="117" t="s">
        <v>312</v>
      </c>
      <c r="J55" s="146"/>
    </row>
    <row r="56">
      <c r="A56" s="103">
        <v>32642.0</v>
      </c>
      <c r="B56" s="104"/>
      <c r="C56" s="105" t="str">
        <f t="shared" si="1"/>
        <v>setlist</v>
      </c>
      <c r="D56" s="134" t="s">
        <v>313</v>
      </c>
      <c r="E56" s="106" t="s">
        <v>164</v>
      </c>
      <c r="F56" s="107" t="s">
        <v>95</v>
      </c>
      <c r="G56" s="104"/>
      <c r="H56" s="108"/>
      <c r="I56" s="109"/>
      <c r="J56" s="109"/>
    </row>
    <row r="57">
      <c r="A57" s="142">
        <v>32646.0</v>
      </c>
      <c r="B57" s="144"/>
      <c r="C57" s="116" t="str">
        <f t="shared" si="1"/>
        <v>setlist</v>
      </c>
      <c r="D57" s="117" t="s">
        <v>278</v>
      </c>
      <c r="E57" s="118" t="s">
        <v>279</v>
      </c>
      <c r="F57" s="115" t="s">
        <v>257</v>
      </c>
      <c r="G57" s="144"/>
      <c r="H57" s="145"/>
      <c r="I57" s="146"/>
      <c r="J57" s="146"/>
    </row>
    <row r="58">
      <c r="A58" s="103">
        <v>32647.0</v>
      </c>
      <c r="B58" s="104"/>
      <c r="C58" s="105" t="str">
        <f t="shared" si="1"/>
        <v>setlist</v>
      </c>
      <c r="D58" s="106" t="s">
        <v>314</v>
      </c>
      <c r="E58" s="106" t="s">
        <v>315</v>
      </c>
      <c r="F58" s="107" t="s">
        <v>298</v>
      </c>
      <c r="G58" s="104"/>
      <c r="H58" s="108"/>
      <c r="I58" s="109"/>
      <c r="J58" s="109"/>
    </row>
    <row r="59">
      <c r="A59" s="142">
        <v>32648.0</v>
      </c>
      <c r="B59" s="115" t="s">
        <v>32</v>
      </c>
      <c r="C59" s="116" t="str">
        <f t="shared" si="1"/>
        <v>setlist</v>
      </c>
      <c r="D59" s="117" t="s">
        <v>316</v>
      </c>
      <c r="E59" s="118" t="s">
        <v>317</v>
      </c>
      <c r="F59" s="115" t="s">
        <v>95</v>
      </c>
      <c r="G59" s="115" t="s">
        <v>36</v>
      </c>
      <c r="H59" s="116" t="str">
        <f>HYPERLINK("http://www.mediafire.com/download/l1s733ezd7mk5cw/1989-05-20_-_Northfield-Mt._Hermon_School_Gymnasium_-_Northfield%2C_MA.rar", "download link")</f>
        <v>download link</v>
      </c>
      <c r="I59" s="117" t="s">
        <v>312</v>
      </c>
      <c r="J59" s="146"/>
    </row>
    <row r="60">
      <c r="A60" s="103">
        <v>32649.0</v>
      </c>
      <c r="B60" s="107" t="s">
        <v>32</v>
      </c>
      <c r="C60" s="105" t="str">
        <f t="shared" si="1"/>
        <v>setlist</v>
      </c>
      <c r="D60" s="134" t="s">
        <v>318</v>
      </c>
      <c r="E60" s="106" t="s">
        <v>34</v>
      </c>
      <c r="F60" s="107" t="s">
        <v>35</v>
      </c>
      <c r="G60" s="107" t="s">
        <v>36</v>
      </c>
      <c r="H60" s="105" t="str">
        <f>HYPERLINK("http://www.mediafire.com/download/xi5or8k545gil6l/1989-05-21_-_320_Spear_Street_-_Burlington%2C_VT.rar", "download link")</f>
        <v>download link</v>
      </c>
      <c r="I60" s="134" t="s">
        <v>158</v>
      </c>
      <c r="J60" s="106" t="s">
        <v>319</v>
      </c>
    </row>
    <row r="61">
      <c r="A61" s="142">
        <v>32654.0</v>
      </c>
      <c r="B61" s="115" t="s">
        <v>32</v>
      </c>
      <c r="C61" s="116" t="str">
        <f t="shared" si="1"/>
        <v>setlist</v>
      </c>
      <c r="D61" s="118" t="s">
        <v>320</v>
      </c>
      <c r="E61" s="118" t="s">
        <v>321</v>
      </c>
      <c r="F61" s="115" t="s">
        <v>35</v>
      </c>
      <c r="G61" s="115" t="s">
        <v>36</v>
      </c>
      <c r="H61" s="116" t="str">
        <f>HYPERLINK("http://www.mediafire.com/download/coru3amfdsq1oxf/1989-05-26_-_Valley_Club_Cafe_-_Rutland%2C_VT.rar", "download link")</f>
        <v>download link</v>
      </c>
      <c r="I61" s="117" t="s">
        <v>280</v>
      </c>
      <c r="J61" s="146"/>
    </row>
    <row r="62">
      <c r="A62" s="103">
        <v>32655.0</v>
      </c>
      <c r="B62" s="107" t="s">
        <v>32</v>
      </c>
      <c r="C62" s="105" t="str">
        <f t="shared" si="1"/>
        <v>setlist</v>
      </c>
      <c r="D62" s="106" t="s">
        <v>322</v>
      </c>
      <c r="E62" s="106" t="s">
        <v>323</v>
      </c>
      <c r="F62" s="107" t="s">
        <v>171</v>
      </c>
      <c r="G62" s="107" t="s">
        <v>36</v>
      </c>
      <c r="H62" s="105" t="str">
        <f>HYPERLINK("http://www.mediafire.com/download/tby5mj47n7ng4bc/1989-05-27_-_Alpha_Delta_Phi_Fraternity%2C_Trinity_College_-_West_Hartford%2C_CT.rar", "download link")</f>
        <v>download link</v>
      </c>
      <c r="I62" s="134" t="s">
        <v>324</v>
      </c>
      <c r="J62" s="134" t="s">
        <v>325</v>
      </c>
    </row>
    <row r="63">
      <c r="A63" s="142">
        <v>32656.0</v>
      </c>
      <c r="B63" s="115" t="s">
        <v>32</v>
      </c>
      <c r="C63" s="116" t="str">
        <f t="shared" si="1"/>
        <v>setlist</v>
      </c>
      <c r="D63" s="117" t="s">
        <v>326</v>
      </c>
      <c r="E63" s="118" t="s">
        <v>128</v>
      </c>
      <c r="F63" s="115" t="s">
        <v>129</v>
      </c>
      <c r="G63" s="115" t="s">
        <v>36</v>
      </c>
      <c r="H63" s="116" t="str">
        <f>HYPERLINK("http://www.mediafire.com/download/cf03su3ys9nnnd5/1989-05-28_-_Ian_McLean%27s_Party%2C_Connie_Condon%27s_Farm_-_Hebron%2C_NY.rar", "download link")</f>
        <v>download link</v>
      </c>
      <c r="I63" s="117" t="s">
        <v>327</v>
      </c>
      <c r="J63" s="146"/>
    </row>
    <row r="64">
      <c r="A64" s="103">
        <v>32658.0</v>
      </c>
      <c r="B64" s="104"/>
      <c r="C64" s="105" t="str">
        <f t="shared" si="1"/>
        <v>setlist</v>
      </c>
      <c r="D64" s="106" t="s">
        <v>301</v>
      </c>
      <c r="E64" s="106" t="s">
        <v>247</v>
      </c>
      <c r="F64" s="107" t="s">
        <v>95</v>
      </c>
      <c r="G64" s="104"/>
      <c r="H64" s="108"/>
      <c r="I64" s="109"/>
      <c r="J64" s="109"/>
    </row>
    <row r="65">
      <c r="A65" s="92"/>
      <c r="B65" s="93"/>
      <c r="C65" s="94"/>
      <c r="D65" s="83" t="s">
        <v>328</v>
      </c>
      <c r="E65" s="95"/>
      <c r="F65" s="93"/>
      <c r="G65" s="93"/>
      <c r="H65" s="94"/>
      <c r="I65" s="95"/>
      <c r="J65" s="95"/>
    </row>
    <row r="66">
      <c r="A66" s="125">
        <v>32662.0</v>
      </c>
      <c r="B66" s="126"/>
      <c r="C66" s="98" t="str">
        <f t="shared" ref="C66:C84" si="2">HYPERLINK("http://www.phish.net/setlists/?d="&amp;RIGHT(TEXT(A66,"mm/dd/yyyy"),4)&amp;"-"&amp;LEFT(TEXT(A66,"mm/dd/yyyy"),2)&amp;"-"&amp;MID(TEXT(A66,"mm/dd/yyyy"),4,2), "setlist")</f>
        <v>setlist</v>
      </c>
      <c r="D66" s="102" t="s">
        <v>271</v>
      </c>
      <c r="E66" s="102" t="s">
        <v>162</v>
      </c>
      <c r="F66" s="127" t="s">
        <v>129</v>
      </c>
      <c r="G66" s="126"/>
      <c r="H66" s="128"/>
      <c r="I66" s="129"/>
      <c r="J66" s="129"/>
    </row>
    <row r="67">
      <c r="A67" s="103">
        <v>32667.0</v>
      </c>
      <c r="B67" s="104"/>
      <c r="C67" s="105" t="str">
        <f t="shared" si="2"/>
        <v>setlist</v>
      </c>
      <c r="D67" s="106" t="s">
        <v>329</v>
      </c>
      <c r="E67" s="106" t="s">
        <v>330</v>
      </c>
      <c r="F67" s="107" t="s">
        <v>129</v>
      </c>
      <c r="G67" s="104"/>
      <c r="H67" s="108"/>
      <c r="I67" s="109"/>
      <c r="J67" s="109"/>
    </row>
    <row r="68">
      <c r="A68" s="110">
        <v>32669.0</v>
      </c>
      <c r="B68" s="114" t="s">
        <v>32</v>
      </c>
      <c r="C68" s="135" t="str">
        <f t="shared" si="2"/>
        <v>setlist</v>
      </c>
      <c r="D68" s="113" t="s">
        <v>296</v>
      </c>
      <c r="E68" s="113" t="s">
        <v>297</v>
      </c>
      <c r="F68" s="114" t="s">
        <v>298</v>
      </c>
      <c r="G68" s="114" t="s">
        <v>36</v>
      </c>
      <c r="H68" s="135" t="str">
        <f>HYPERLINK("http://www.mediafire.com/download/xaj898qb8hzz3bv/1989-06-10_-_The_Living_Room_-_Providence%2C_RI.rar", "download link")</f>
        <v>download link</v>
      </c>
      <c r="I68" s="136" t="s">
        <v>331</v>
      </c>
      <c r="J68" s="113" t="s">
        <v>332</v>
      </c>
    </row>
    <row r="69">
      <c r="A69" s="103">
        <v>32673.0</v>
      </c>
      <c r="B69" s="104"/>
      <c r="C69" s="105" t="str">
        <f t="shared" si="2"/>
        <v>setlist</v>
      </c>
      <c r="D69" s="134" t="s">
        <v>333</v>
      </c>
      <c r="E69" s="106" t="s">
        <v>34</v>
      </c>
      <c r="F69" s="107" t="s">
        <v>35</v>
      </c>
      <c r="G69" s="104"/>
      <c r="H69" s="108"/>
      <c r="I69" s="109"/>
      <c r="J69" s="109"/>
    </row>
    <row r="70">
      <c r="A70" s="110">
        <v>32675.0</v>
      </c>
      <c r="B70" s="111"/>
      <c r="C70" s="135" t="str">
        <f t="shared" si="2"/>
        <v>setlist</v>
      </c>
      <c r="D70" s="136" t="s">
        <v>278</v>
      </c>
      <c r="E70" s="113" t="s">
        <v>279</v>
      </c>
      <c r="F70" s="114" t="s">
        <v>257</v>
      </c>
      <c r="G70" s="111"/>
      <c r="H70" s="138"/>
      <c r="I70" s="80"/>
      <c r="J70" s="80"/>
    </row>
    <row r="71">
      <c r="A71" s="103">
        <v>32676.0</v>
      </c>
      <c r="B71" s="104"/>
      <c r="C71" s="105" t="str">
        <f t="shared" si="2"/>
        <v>setlist</v>
      </c>
      <c r="D71" s="134" t="s">
        <v>278</v>
      </c>
      <c r="E71" s="106" t="s">
        <v>279</v>
      </c>
      <c r="F71" s="107" t="s">
        <v>257</v>
      </c>
      <c r="G71" s="104"/>
      <c r="H71" s="108"/>
      <c r="I71" s="109"/>
      <c r="J71" s="109"/>
    </row>
    <row r="72">
      <c r="A72" s="150">
        <v>32682.0</v>
      </c>
      <c r="B72" s="151" t="s">
        <v>32</v>
      </c>
      <c r="C72" s="116" t="str">
        <f t="shared" si="2"/>
        <v>setlist</v>
      </c>
      <c r="D72" s="152" t="s">
        <v>260</v>
      </c>
      <c r="E72" s="153" t="s">
        <v>94</v>
      </c>
      <c r="F72" s="151" t="s">
        <v>95</v>
      </c>
      <c r="G72" s="151" t="s">
        <v>36</v>
      </c>
      <c r="H72" s="116" t="str">
        <f>HYPERLINK("http://www.mediafire.com/download/i627b9hyfzb4kru/1989-06-23_-_The_Paradise_-_Boston%2C_MA.rar", "download link")</f>
        <v>download link</v>
      </c>
      <c r="I72" s="117" t="s">
        <v>334</v>
      </c>
      <c r="J72" s="118" t="s">
        <v>319</v>
      </c>
    </row>
    <row r="73">
      <c r="A73" s="103">
        <v>32688.0</v>
      </c>
      <c r="B73" s="107" t="s">
        <v>32</v>
      </c>
      <c r="C73" s="105" t="str">
        <f t="shared" si="2"/>
        <v>setlist</v>
      </c>
      <c r="D73" s="106" t="s">
        <v>178</v>
      </c>
      <c r="E73" s="106" t="s">
        <v>34</v>
      </c>
      <c r="F73" s="107" t="s">
        <v>35</v>
      </c>
      <c r="G73" s="107" t="s">
        <v>36</v>
      </c>
      <c r="H73" s="105" t="str">
        <f>HYPERLINK("http://www.mediafire.com/download/505d3lpcxzlxs54/1989-06-29_-_The_Front_-_Burlington%2C_VT.rar", "download link")</f>
        <v>download link</v>
      </c>
      <c r="I73" s="134" t="s">
        <v>334</v>
      </c>
      <c r="J73" s="106" t="s">
        <v>65</v>
      </c>
    </row>
    <row r="74">
      <c r="A74" s="142">
        <v>32689.0</v>
      </c>
      <c r="B74" s="115" t="s">
        <v>32</v>
      </c>
      <c r="C74" s="116" t="str">
        <f t="shared" si="2"/>
        <v>setlist</v>
      </c>
      <c r="D74" s="118" t="s">
        <v>301</v>
      </c>
      <c r="E74" s="118" t="s">
        <v>247</v>
      </c>
      <c r="F74" s="115" t="s">
        <v>95</v>
      </c>
      <c r="G74" s="115" t="s">
        <v>36</v>
      </c>
      <c r="H74" s="116" t="str">
        <f>HYPERLINK("http://www.mediafire.com/download/1gmwdyugz99r89c/1989-06-30_-_Pearl_Street_Ballroom_-_Northampton%2C_MA.rar", "download link")</f>
        <v>download link</v>
      </c>
      <c r="I74" s="117" t="s">
        <v>335</v>
      </c>
      <c r="J74" s="146"/>
    </row>
    <row r="75">
      <c r="A75" s="103">
        <v>32690.0</v>
      </c>
      <c r="B75" s="141" t="s">
        <v>32</v>
      </c>
      <c r="C75" s="105" t="str">
        <f t="shared" si="2"/>
        <v>setlist</v>
      </c>
      <c r="D75" s="106" t="s">
        <v>336</v>
      </c>
      <c r="E75" s="106" t="s">
        <v>337</v>
      </c>
      <c r="F75" s="107" t="s">
        <v>338</v>
      </c>
      <c r="G75" s="141" t="s">
        <v>36</v>
      </c>
      <c r="H75" s="105" t="str">
        <f>HYPERLINK("http://www.mediafire.com/file/e91g36ulpce9hyr/1989-07-01_-_Les_Foufounes_Electriques_-_Montreal%252C_Quebec%252C_Canada.rar/file", "download link")</f>
        <v>download link</v>
      </c>
      <c r="I75" s="134" t="s">
        <v>339</v>
      </c>
      <c r="J75" s="134" t="s">
        <v>340</v>
      </c>
    </row>
    <row r="76">
      <c r="A76" s="142">
        <v>32731.0</v>
      </c>
      <c r="B76" s="144"/>
      <c r="C76" s="116" t="str">
        <f t="shared" si="2"/>
        <v>setlist</v>
      </c>
      <c r="D76" s="117" t="s">
        <v>278</v>
      </c>
      <c r="E76" s="118" t="s">
        <v>279</v>
      </c>
      <c r="F76" s="115" t="s">
        <v>257</v>
      </c>
      <c r="G76" s="144"/>
      <c r="H76" s="145"/>
      <c r="I76" s="146"/>
      <c r="J76" s="146"/>
    </row>
    <row r="77">
      <c r="A77" s="130">
        <v>32732.0</v>
      </c>
      <c r="B77" s="131"/>
      <c r="C77" s="105" t="str">
        <f t="shared" si="2"/>
        <v>setlist</v>
      </c>
      <c r="D77" s="140" t="s">
        <v>341</v>
      </c>
      <c r="E77" s="132" t="s">
        <v>34</v>
      </c>
      <c r="F77" s="133" t="s">
        <v>35</v>
      </c>
      <c r="G77" s="133" t="s">
        <v>36</v>
      </c>
      <c r="H77" s="105" t="str">
        <f>HYPERLINK("http://www.mediafire.com/download/ozggtjs51r15wwt/1989-08-12_-_Burlington_Boat_House_-_Burlington%2C_VT.rar", "download link")</f>
        <v>download link</v>
      </c>
      <c r="I77" s="134" t="s">
        <v>342</v>
      </c>
      <c r="J77" s="134" t="s">
        <v>343</v>
      </c>
    </row>
    <row r="78">
      <c r="A78" s="142">
        <v>32733.0</v>
      </c>
      <c r="B78" s="144"/>
      <c r="C78" s="116" t="str">
        <f t="shared" si="2"/>
        <v>setlist</v>
      </c>
      <c r="D78" s="117" t="s">
        <v>344</v>
      </c>
      <c r="E78" s="118" t="s">
        <v>345</v>
      </c>
      <c r="F78" s="115" t="s">
        <v>95</v>
      </c>
      <c r="G78" s="144"/>
      <c r="H78" s="145"/>
      <c r="I78" s="146"/>
      <c r="J78" s="146"/>
    </row>
    <row r="79">
      <c r="A79" s="103">
        <v>32737.0</v>
      </c>
      <c r="B79" s="107" t="s">
        <v>32</v>
      </c>
      <c r="C79" s="105" t="str">
        <f t="shared" si="2"/>
        <v>setlist</v>
      </c>
      <c r="D79" s="106" t="s">
        <v>178</v>
      </c>
      <c r="E79" s="106" t="s">
        <v>34</v>
      </c>
      <c r="F79" s="107" t="s">
        <v>35</v>
      </c>
      <c r="G79" s="107" t="s">
        <v>36</v>
      </c>
      <c r="H79" s="105" t="str">
        <f>HYPERLINK("http://www.mediafire.com/download/5wj9ycj463ri081/1989-08-17_-_The_Front_-_Burlington%2C_VT.rar", "download link")</f>
        <v>download link</v>
      </c>
      <c r="I79" s="134" t="s">
        <v>177</v>
      </c>
      <c r="J79" s="109"/>
    </row>
    <row r="80">
      <c r="A80" s="142">
        <v>32738.0</v>
      </c>
      <c r="B80" s="144"/>
      <c r="C80" s="116" t="str">
        <f t="shared" si="2"/>
        <v>setlist</v>
      </c>
      <c r="D80" s="118" t="s">
        <v>301</v>
      </c>
      <c r="E80" s="118" t="s">
        <v>247</v>
      </c>
      <c r="F80" s="115" t="s">
        <v>95</v>
      </c>
      <c r="G80" s="144"/>
      <c r="H80" s="145"/>
      <c r="I80" s="146"/>
      <c r="J80" s="146"/>
    </row>
    <row r="81">
      <c r="A81" s="130">
        <v>32739.0</v>
      </c>
      <c r="B81" s="133" t="s">
        <v>32</v>
      </c>
      <c r="C81" s="105" t="str">
        <f t="shared" si="2"/>
        <v>setlist</v>
      </c>
      <c r="D81" s="140" t="s">
        <v>306</v>
      </c>
      <c r="E81" s="132" t="s">
        <v>263</v>
      </c>
      <c r="F81" s="133" t="s">
        <v>182</v>
      </c>
      <c r="G81" s="133" t="s">
        <v>36</v>
      </c>
      <c r="H81" s="105" t="str">
        <f>HYPERLINK("http://www.mediafire.com/download/zboff1e2ccwhhbo/1989-08-19_-_Collis_Center%2C_Dartmouth_College_-_Hanover%2C_NH.rar", "download link")</f>
        <v>download link</v>
      </c>
      <c r="I81" s="134" t="s">
        <v>346</v>
      </c>
      <c r="J81" s="106" t="s">
        <v>347</v>
      </c>
    </row>
    <row r="82">
      <c r="A82" s="142">
        <v>32743.0</v>
      </c>
      <c r="B82" s="165" t="s">
        <v>32</v>
      </c>
      <c r="C82" s="116" t="str">
        <f t="shared" si="2"/>
        <v>setlist</v>
      </c>
      <c r="D82" s="118" t="s">
        <v>296</v>
      </c>
      <c r="E82" s="118" t="s">
        <v>297</v>
      </c>
      <c r="F82" s="115" t="s">
        <v>298</v>
      </c>
      <c r="G82" s="165" t="s">
        <v>36</v>
      </c>
      <c r="H82" s="166" t="str">
        <f>HYPERLINK("https://www.mediafire.com/file/zkaxl0r0lgzw75b/1989-08-23_-_The_Living_Room_-_Providence%252C_RI.rar/file", "download link")</f>
        <v>download link</v>
      </c>
      <c r="I82" s="117" t="s">
        <v>23</v>
      </c>
      <c r="J82" s="117" t="s">
        <v>348</v>
      </c>
    </row>
    <row r="83">
      <c r="A83" s="103">
        <v>32745.0</v>
      </c>
      <c r="B83" s="104"/>
      <c r="C83" s="105" t="str">
        <f t="shared" si="2"/>
        <v>setlist</v>
      </c>
      <c r="D83" s="134" t="s">
        <v>314</v>
      </c>
      <c r="E83" s="106" t="s">
        <v>315</v>
      </c>
      <c r="F83" s="107" t="s">
        <v>298</v>
      </c>
      <c r="G83" s="104"/>
      <c r="H83" s="108"/>
      <c r="I83" s="109"/>
      <c r="J83" s="109"/>
    </row>
    <row r="84">
      <c r="A84" s="167">
        <v>32746.0</v>
      </c>
      <c r="B84" s="168" t="s">
        <v>32</v>
      </c>
      <c r="C84" s="166" t="str">
        <f t="shared" si="2"/>
        <v>setlist</v>
      </c>
      <c r="D84" s="169" t="s">
        <v>349</v>
      </c>
      <c r="E84" s="169" t="s">
        <v>350</v>
      </c>
      <c r="F84" s="168" t="s">
        <v>35</v>
      </c>
      <c r="G84" s="168" t="s">
        <v>36</v>
      </c>
      <c r="H84" s="166" t="str">
        <f>HYPERLINK("http://www.mediafire.com/download/61vf856313ujxa4/1989-08-26_-_Townshend_Family_Park_-_Townshend%2C_VT.rar", "download link")</f>
        <v>download link</v>
      </c>
      <c r="I84" s="170" t="s">
        <v>351</v>
      </c>
      <c r="J84" s="171" t="s">
        <v>352</v>
      </c>
    </row>
    <row r="85">
      <c r="A85" s="92"/>
      <c r="B85" s="93"/>
      <c r="C85" s="94"/>
      <c r="D85" s="83" t="s">
        <v>353</v>
      </c>
      <c r="E85" s="95"/>
      <c r="F85" s="93"/>
      <c r="G85" s="93"/>
      <c r="H85" s="94"/>
      <c r="I85" s="95"/>
      <c r="J85" s="95"/>
    </row>
    <row r="86">
      <c r="A86" s="125">
        <v>32752.0</v>
      </c>
      <c r="B86" s="126"/>
      <c r="C86" s="98" t="str">
        <f t="shared" ref="C86:C128" si="3">HYPERLINK("http://www.phish.net/setlists/?d="&amp;RIGHT(TEXT(A86,"mm/dd/yyyy"),4)&amp;"-"&amp;LEFT(TEXT(A86,"mm/dd/yyyy"),2)&amp;"-"&amp;MID(TEXT(A86,"mm/dd/yyyy"),4,2), "setlist")</f>
        <v>setlist</v>
      </c>
      <c r="D86" s="101" t="s">
        <v>354</v>
      </c>
      <c r="E86" s="102" t="s">
        <v>295</v>
      </c>
      <c r="F86" s="127" t="s">
        <v>257</v>
      </c>
      <c r="G86" s="126"/>
      <c r="H86" s="128"/>
      <c r="I86" s="129"/>
      <c r="J86" s="129"/>
    </row>
    <row r="87">
      <c r="A87" s="103">
        <v>32753.0</v>
      </c>
      <c r="B87" s="104"/>
      <c r="C87" s="105" t="str">
        <f t="shared" si="3"/>
        <v>setlist</v>
      </c>
      <c r="D87" s="106" t="s">
        <v>271</v>
      </c>
      <c r="E87" s="106" t="s">
        <v>162</v>
      </c>
      <c r="F87" s="107" t="s">
        <v>129</v>
      </c>
      <c r="G87" s="104"/>
      <c r="H87" s="108"/>
      <c r="I87" s="109"/>
      <c r="J87" s="109"/>
    </row>
    <row r="88">
      <c r="A88" s="110">
        <v>32757.0</v>
      </c>
      <c r="B88" s="111"/>
      <c r="C88" s="135" t="str">
        <f t="shared" si="3"/>
        <v>setlist</v>
      </c>
      <c r="D88" s="113" t="s">
        <v>296</v>
      </c>
      <c r="E88" s="113" t="s">
        <v>297</v>
      </c>
      <c r="F88" s="114" t="s">
        <v>298</v>
      </c>
      <c r="G88" s="111"/>
      <c r="H88" s="138"/>
      <c r="I88" s="80"/>
      <c r="J88" s="80"/>
    </row>
    <row r="89">
      <c r="A89" s="103">
        <v>32758.0</v>
      </c>
      <c r="B89" s="104"/>
      <c r="C89" s="105" t="str">
        <f t="shared" si="3"/>
        <v>setlist</v>
      </c>
      <c r="D89" s="106" t="s">
        <v>178</v>
      </c>
      <c r="E89" s="106" t="s">
        <v>34</v>
      </c>
      <c r="F89" s="107" t="s">
        <v>35</v>
      </c>
      <c r="G89" s="104"/>
      <c r="H89" s="108"/>
      <c r="I89" s="109"/>
      <c r="J89" s="109"/>
    </row>
    <row r="90">
      <c r="A90" s="110">
        <v>32759.0</v>
      </c>
      <c r="B90" s="111"/>
      <c r="C90" s="135" t="str">
        <f t="shared" si="3"/>
        <v>setlist</v>
      </c>
      <c r="D90" s="113" t="s">
        <v>178</v>
      </c>
      <c r="E90" s="113" t="s">
        <v>34</v>
      </c>
      <c r="F90" s="114" t="s">
        <v>35</v>
      </c>
      <c r="G90" s="111"/>
      <c r="H90" s="138"/>
      <c r="I90" s="80"/>
      <c r="J90" s="80"/>
    </row>
    <row r="91">
      <c r="A91" s="103">
        <v>32760.0</v>
      </c>
      <c r="B91" s="107" t="s">
        <v>32</v>
      </c>
      <c r="C91" s="105" t="str">
        <f t="shared" si="3"/>
        <v>setlist</v>
      </c>
      <c r="D91" s="106" t="s">
        <v>355</v>
      </c>
      <c r="E91" s="106" t="s">
        <v>356</v>
      </c>
      <c r="F91" s="107" t="s">
        <v>35</v>
      </c>
      <c r="G91" s="107" t="s">
        <v>36</v>
      </c>
      <c r="H91" s="105" t="str">
        <f>HYPERLINK("http://www.mediafire.com/download/zv36z5c3faha5uc/1989-09-09_-_Dining_Commons%2C_Bennington_College_-_Bennington%2C_VT.rar", "download link")</f>
        <v>download link</v>
      </c>
      <c r="I91" s="134" t="s">
        <v>357</v>
      </c>
      <c r="J91" s="109"/>
    </row>
    <row r="92">
      <c r="A92" s="110">
        <v>32764.0</v>
      </c>
      <c r="B92" s="111"/>
      <c r="C92" s="135" t="str">
        <f t="shared" si="3"/>
        <v>setlist</v>
      </c>
      <c r="D92" s="113" t="s">
        <v>296</v>
      </c>
      <c r="E92" s="113" t="s">
        <v>297</v>
      </c>
      <c r="F92" s="114" t="s">
        <v>298</v>
      </c>
      <c r="G92" s="111"/>
      <c r="H92" s="138"/>
      <c r="I92" s="80"/>
      <c r="J92" s="80"/>
    </row>
    <row r="93">
      <c r="A93" s="130">
        <v>32765.0</v>
      </c>
      <c r="B93" s="131"/>
      <c r="C93" s="105" t="str">
        <f t="shared" si="3"/>
        <v>setlist</v>
      </c>
      <c r="D93" s="132" t="s">
        <v>358</v>
      </c>
      <c r="E93" s="132" t="s">
        <v>359</v>
      </c>
      <c r="F93" s="133" t="s">
        <v>95</v>
      </c>
      <c r="G93" s="133" t="s">
        <v>36</v>
      </c>
      <c r="H93" s="105" t="str">
        <f>HYPERLINK("http://www.mediafire.com/download/ru7qn52urnldnqi/1989-09-14_-_MacPhie_Pub%2C_Tufts_University_-_Medford%2C_MA.rar", "download link")</f>
        <v>download link</v>
      </c>
      <c r="I93" s="134" t="s">
        <v>360</v>
      </c>
      <c r="J93" s="106" t="s">
        <v>319</v>
      </c>
    </row>
    <row r="94">
      <c r="A94" s="147">
        <v>32767.0</v>
      </c>
      <c r="B94" s="158"/>
      <c r="C94" s="135" t="str">
        <f t="shared" si="3"/>
        <v>setlist</v>
      </c>
      <c r="D94" s="172" t="s">
        <v>278</v>
      </c>
      <c r="E94" s="149" t="s">
        <v>279</v>
      </c>
      <c r="F94" s="148" t="s">
        <v>257</v>
      </c>
      <c r="G94" s="158"/>
      <c r="H94" s="138"/>
      <c r="I94" s="173"/>
      <c r="J94" s="173"/>
    </row>
    <row r="95">
      <c r="A95" s="130">
        <v>32771.0</v>
      </c>
      <c r="B95" s="131"/>
      <c r="C95" s="105" t="str">
        <f t="shared" si="3"/>
        <v>setlist</v>
      </c>
      <c r="D95" s="132" t="s">
        <v>296</v>
      </c>
      <c r="E95" s="132" t="s">
        <v>297</v>
      </c>
      <c r="F95" s="133" t="s">
        <v>298</v>
      </c>
      <c r="G95" s="131"/>
      <c r="H95" s="108"/>
      <c r="I95" s="174"/>
      <c r="J95" s="174"/>
    </row>
    <row r="96">
      <c r="A96" s="147">
        <v>32772.0</v>
      </c>
      <c r="B96" s="148" t="s">
        <v>32</v>
      </c>
      <c r="C96" s="135" t="str">
        <f t="shared" si="3"/>
        <v>setlist</v>
      </c>
      <c r="D96" s="149" t="s">
        <v>301</v>
      </c>
      <c r="E96" s="149" t="s">
        <v>247</v>
      </c>
      <c r="F96" s="148" t="s">
        <v>95</v>
      </c>
      <c r="G96" s="148" t="s">
        <v>36</v>
      </c>
      <c r="H96" s="135" t="str">
        <f>HYPERLINK("http://www.mediafire.com/download/gide3guc2kb55v7/1989-09-21_-_Pearl_Street_Ballroom_-_Northampton%2C_MA.rar", "download link")</f>
        <v>download link</v>
      </c>
      <c r="I96" s="136" t="s">
        <v>158</v>
      </c>
      <c r="J96" s="113" t="s">
        <v>361</v>
      </c>
    </row>
    <row r="97">
      <c r="A97" s="103">
        <v>32782.0</v>
      </c>
      <c r="B97" s="107" t="s">
        <v>32</v>
      </c>
      <c r="C97" s="105" t="str">
        <f t="shared" si="3"/>
        <v>setlist</v>
      </c>
      <c r="D97" s="106" t="s">
        <v>178</v>
      </c>
      <c r="E97" s="106" t="s">
        <v>34</v>
      </c>
      <c r="F97" s="107" t="s">
        <v>35</v>
      </c>
      <c r="G97" s="107" t="s">
        <v>36</v>
      </c>
      <c r="H97" s="105" t="str">
        <f>HYPERLINK("http://www.mediafire.com/download/6ouzquc2lq8msii/1989-10-01_-_The_Front_-_Burlington%2C_VT.rar", "download link")</f>
        <v>download link</v>
      </c>
      <c r="I97" s="134" t="s">
        <v>122</v>
      </c>
      <c r="J97" s="109"/>
    </row>
    <row r="98">
      <c r="A98" s="110">
        <v>32787.0</v>
      </c>
      <c r="B98" s="111"/>
      <c r="C98" s="135" t="str">
        <f t="shared" si="3"/>
        <v>setlist</v>
      </c>
      <c r="D98" s="136" t="s">
        <v>260</v>
      </c>
      <c r="E98" s="113" t="s">
        <v>94</v>
      </c>
      <c r="F98" s="114" t="s">
        <v>95</v>
      </c>
      <c r="G98" s="111"/>
      <c r="H98" s="138"/>
      <c r="I98" s="80"/>
      <c r="J98" s="80"/>
    </row>
    <row r="99">
      <c r="A99" s="103">
        <v>32788.0</v>
      </c>
      <c r="B99" s="107" t="s">
        <v>32</v>
      </c>
      <c r="C99" s="105" t="str">
        <f t="shared" si="3"/>
        <v>setlist</v>
      </c>
      <c r="D99" s="134" t="s">
        <v>362</v>
      </c>
      <c r="E99" s="106" t="s">
        <v>363</v>
      </c>
      <c r="F99" s="107" t="s">
        <v>257</v>
      </c>
      <c r="G99" s="107" t="s">
        <v>36</v>
      </c>
      <c r="H99" s="105" t="str">
        <f>HYPERLINK("http://www.mediafire.com/download/2lv9dcxtf113s5t/1989-10-07_-_Chase_Hall%2C_Bates_College_-_Lewiston%2C_ME.rar", "download link")</f>
        <v>download link</v>
      </c>
      <c r="I99" s="134" t="s">
        <v>364</v>
      </c>
      <c r="J99" s="109"/>
    </row>
    <row r="100">
      <c r="A100" s="110">
        <v>32791.0</v>
      </c>
      <c r="B100" s="114" t="s">
        <v>32</v>
      </c>
      <c r="C100" s="135" t="str">
        <f t="shared" si="3"/>
        <v>setlist</v>
      </c>
      <c r="D100" s="113" t="s">
        <v>178</v>
      </c>
      <c r="E100" s="113" t="s">
        <v>34</v>
      </c>
      <c r="F100" s="114" t="s">
        <v>35</v>
      </c>
      <c r="G100" s="114" t="s">
        <v>36</v>
      </c>
      <c r="H100" s="135" t="str">
        <f>HYPERLINK("http://www.mediafire.com/download/kd927c70pyyr55k/1989-10-10_-_The_Front_-_Burlington%2C_VT.rar", "download link")</f>
        <v>download link</v>
      </c>
      <c r="I100" s="136" t="s">
        <v>365</v>
      </c>
      <c r="J100" s="113"/>
    </row>
    <row r="101">
      <c r="A101" s="103">
        <v>32793.0</v>
      </c>
      <c r="B101" s="104"/>
      <c r="C101" s="105" t="str">
        <f t="shared" si="3"/>
        <v>setlist</v>
      </c>
      <c r="D101" s="106" t="s">
        <v>366</v>
      </c>
      <c r="E101" s="106" t="s">
        <v>367</v>
      </c>
      <c r="F101" s="107" t="s">
        <v>182</v>
      </c>
      <c r="G101" s="104"/>
      <c r="H101" s="108"/>
      <c r="I101" s="109"/>
      <c r="J101" s="109"/>
    </row>
    <row r="102">
      <c r="A102" s="110">
        <v>32794.0</v>
      </c>
      <c r="B102" s="111"/>
      <c r="C102" s="135" t="str">
        <f t="shared" si="3"/>
        <v>setlist</v>
      </c>
      <c r="D102" s="113" t="s">
        <v>368</v>
      </c>
      <c r="E102" s="113" t="s">
        <v>311</v>
      </c>
      <c r="F102" s="114" t="s">
        <v>129</v>
      </c>
      <c r="G102" s="111"/>
      <c r="H102" s="138"/>
      <c r="I102" s="80"/>
      <c r="J102" s="80"/>
    </row>
    <row r="103">
      <c r="A103" s="103">
        <v>32795.0</v>
      </c>
      <c r="B103" s="104"/>
      <c r="C103" s="105" t="str">
        <f t="shared" si="3"/>
        <v>setlist</v>
      </c>
      <c r="D103" s="106" t="s">
        <v>369</v>
      </c>
      <c r="E103" s="106" t="s">
        <v>330</v>
      </c>
      <c r="F103" s="107" t="s">
        <v>129</v>
      </c>
      <c r="G103" s="107" t="s">
        <v>36</v>
      </c>
      <c r="H103" s="105" t="str">
        <f>HYPERLINK("http://www.mediafire.com/download/ta5w3f9d2r34d29/1989-10-14_-_The_Barn%2C_Hobart_College_-_Geneva%2C_NY.rar", "download link")</f>
        <v>download link</v>
      </c>
      <c r="I103" s="134" t="s">
        <v>370</v>
      </c>
      <c r="J103" s="106" t="s">
        <v>81</v>
      </c>
    </row>
    <row r="104">
      <c r="A104" s="110">
        <v>32801.0</v>
      </c>
      <c r="B104" s="114" t="s">
        <v>32</v>
      </c>
      <c r="C104" s="135" t="str">
        <f t="shared" si="3"/>
        <v>setlist</v>
      </c>
      <c r="D104" s="113" t="s">
        <v>178</v>
      </c>
      <c r="E104" s="113" t="s">
        <v>34</v>
      </c>
      <c r="F104" s="114" t="s">
        <v>35</v>
      </c>
      <c r="G104" s="114" t="s">
        <v>36</v>
      </c>
      <c r="H104" s="135" t="str">
        <f>HYPERLINK("http://www.mediafire.com/download/sxgso4ipftyvvic/1989-10-20_-_The_Front_-_Burlington%2C_VT.rar", "download link")</f>
        <v>download link</v>
      </c>
      <c r="I104" s="136" t="s">
        <v>371</v>
      </c>
      <c r="J104" s="80"/>
    </row>
    <row r="105">
      <c r="A105" s="130">
        <v>32802.0</v>
      </c>
      <c r="B105" s="133" t="s">
        <v>32</v>
      </c>
      <c r="C105" s="105" t="str">
        <f t="shared" si="3"/>
        <v>setlist</v>
      </c>
      <c r="D105" s="132" t="s">
        <v>178</v>
      </c>
      <c r="E105" s="132" t="s">
        <v>34</v>
      </c>
      <c r="F105" s="133" t="s">
        <v>35</v>
      </c>
      <c r="G105" s="133" t="s">
        <v>36</v>
      </c>
      <c r="H105" s="105" t="str">
        <f>HYPERLINK("http://www.mediafire.com/download/f9lm3ooxa0xb0n9/1989-10-21_-_The_Front_-_Burlington%2C_VT.rar", "download link")</f>
        <v>download link</v>
      </c>
      <c r="I105" s="134" t="s">
        <v>92</v>
      </c>
      <c r="J105" s="109"/>
    </row>
    <row r="106">
      <c r="A106" s="110">
        <v>32803.0</v>
      </c>
      <c r="B106" s="114" t="s">
        <v>32</v>
      </c>
      <c r="C106" s="135" t="str">
        <f t="shared" si="3"/>
        <v>setlist</v>
      </c>
      <c r="D106" s="113" t="s">
        <v>178</v>
      </c>
      <c r="E106" s="113" t="s">
        <v>34</v>
      </c>
      <c r="F106" s="114" t="s">
        <v>35</v>
      </c>
      <c r="G106" s="114" t="s">
        <v>36</v>
      </c>
      <c r="H106" s="135" t="str">
        <f>HYPERLINK("http://www.mediafire.com/download/t9yzs8bs1df54lu/1989-10-22_-_The_Front_-_Burlington%2C_VT.rar", "download link")</f>
        <v>download link</v>
      </c>
      <c r="I106" s="136" t="s">
        <v>372</v>
      </c>
      <c r="J106" s="136" t="s">
        <v>373</v>
      </c>
    </row>
    <row r="107">
      <c r="A107" s="103">
        <v>32807.0</v>
      </c>
      <c r="B107" s="107" t="s">
        <v>32</v>
      </c>
      <c r="C107" s="105" t="str">
        <f t="shared" si="3"/>
        <v>setlist</v>
      </c>
      <c r="D107" s="106" t="s">
        <v>271</v>
      </c>
      <c r="E107" s="106" t="s">
        <v>162</v>
      </c>
      <c r="F107" s="107" t="s">
        <v>129</v>
      </c>
      <c r="G107" s="107" t="s">
        <v>36</v>
      </c>
      <c r="H107" s="105" t="str">
        <f>HYPERLINK("http://www.mediafire.com/download/04pztep3i6vbm3s/1989-10-26_-_The_Wetlands_Preserve_-_New_York%2C_NY.rar", "download link")</f>
        <v>download link</v>
      </c>
      <c r="I107" s="134" t="s">
        <v>374</v>
      </c>
      <c r="J107" s="109"/>
    </row>
    <row r="108">
      <c r="A108" s="110">
        <v>32809.0</v>
      </c>
      <c r="B108" s="111"/>
      <c r="C108" s="135" t="str">
        <f t="shared" si="3"/>
        <v>setlist</v>
      </c>
      <c r="D108" s="113" t="s">
        <v>375</v>
      </c>
      <c r="E108" s="113" t="s">
        <v>376</v>
      </c>
      <c r="F108" s="114" t="s">
        <v>129</v>
      </c>
      <c r="G108" s="111"/>
      <c r="H108" s="138"/>
      <c r="I108" s="80"/>
      <c r="J108" s="80"/>
    </row>
    <row r="109">
      <c r="A109" s="103">
        <v>32812.0</v>
      </c>
      <c r="B109" s="107" t="s">
        <v>32</v>
      </c>
      <c r="C109" s="105" t="str">
        <f t="shared" si="3"/>
        <v>setlist</v>
      </c>
      <c r="D109" s="134" t="s">
        <v>70</v>
      </c>
      <c r="E109" s="106" t="s">
        <v>71</v>
      </c>
      <c r="F109" s="107" t="s">
        <v>35</v>
      </c>
      <c r="G109" s="107" t="s">
        <v>36</v>
      </c>
      <c r="H109" s="105" t="str">
        <f>HYPERLINK("http://www.mediafire.com/download/2ba65ab7ubpb0g2/1989-10-31_-_Goddard_College_-_Plainfield%2C_VT.rar", "download link")</f>
        <v>download link</v>
      </c>
      <c r="I109" s="134" t="s">
        <v>377</v>
      </c>
      <c r="J109" s="134" t="s">
        <v>378</v>
      </c>
    </row>
    <row r="110">
      <c r="A110" s="110">
        <v>32814.0</v>
      </c>
      <c r="B110" s="111"/>
      <c r="C110" s="135" t="str">
        <f t="shared" si="3"/>
        <v>setlist</v>
      </c>
      <c r="D110" s="113" t="s">
        <v>292</v>
      </c>
      <c r="E110" s="113" t="s">
        <v>225</v>
      </c>
      <c r="F110" s="114" t="s">
        <v>182</v>
      </c>
      <c r="G110" s="114" t="s">
        <v>36</v>
      </c>
      <c r="H110" s="135" t="str">
        <f>HYPERLINK("http://www.mediafire.com/download/96qxjczb479e5ig/1989-11-02_-_Memorial_Union_Building%2C_University_of_New_Hampshire_-_Durham%2C_NH.rar", "download link")</f>
        <v>download link</v>
      </c>
      <c r="I110" s="136" t="s">
        <v>379</v>
      </c>
      <c r="J110" s="80"/>
    </row>
    <row r="111">
      <c r="A111" s="103">
        <v>32815.0</v>
      </c>
      <c r="B111" s="107" t="s">
        <v>32</v>
      </c>
      <c r="C111" s="105" t="str">
        <f t="shared" si="3"/>
        <v>setlist</v>
      </c>
      <c r="D111" s="134" t="s">
        <v>278</v>
      </c>
      <c r="E111" s="106" t="s">
        <v>279</v>
      </c>
      <c r="F111" s="107" t="s">
        <v>257</v>
      </c>
      <c r="G111" s="107" t="s">
        <v>36</v>
      </c>
      <c r="H111" s="105" t="str">
        <f>HYPERLINK("http://www.mediafire.com/download/sd2mzt4i360y03u/1989-11-03_-_Tree_Cafe_-_Portland%2C_ME.rar", "download link")</f>
        <v>download link</v>
      </c>
      <c r="I111" s="134" t="s">
        <v>23</v>
      </c>
      <c r="J111" s="134" t="s">
        <v>139</v>
      </c>
    </row>
    <row r="112">
      <c r="A112" s="110">
        <v>32816.0</v>
      </c>
      <c r="B112" s="111"/>
      <c r="C112" s="135" t="str">
        <f t="shared" si="3"/>
        <v>setlist</v>
      </c>
      <c r="D112" s="113" t="s">
        <v>380</v>
      </c>
      <c r="E112" s="113" t="s">
        <v>256</v>
      </c>
      <c r="F112" s="114" t="s">
        <v>257</v>
      </c>
      <c r="G112" s="111"/>
      <c r="H112" s="138"/>
      <c r="I112" s="80"/>
      <c r="J112" s="80"/>
    </row>
    <row r="113">
      <c r="A113" s="103">
        <v>32821.0</v>
      </c>
      <c r="B113" s="107" t="s">
        <v>32</v>
      </c>
      <c r="C113" s="105" t="str">
        <f t="shared" si="3"/>
        <v>setlist</v>
      </c>
      <c r="D113" s="106" t="s">
        <v>381</v>
      </c>
      <c r="E113" s="106" t="s">
        <v>382</v>
      </c>
      <c r="F113" s="107" t="s">
        <v>95</v>
      </c>
      <c r="G113" s="107" t="s">
        <v>36</v>
      </c>
      <c r="H113" s="105" t="str">
        <f>HYPERLINK("http://www.mediafire.com/download/ox8x2h530zij0xu/1989-11-09_-_Mission_Park_Dining_Hall%2C_Williams_College_-_Williamstown%2C_MA.rar", "download link")</f>
        <v>download link</v>
      </c>
      <c r="I113" s="134" t="s">
        <v>383</v>
      </c>
      <c r="J113" s="106" t="s">
        <v>287</v>
      </c>
    </row>
    <row r="114">
      <c r="A114" s="147">
        <v>32822.0</v>
      </c>
      <c r="B114" s="148" t="s">
        <v>32</v>
      </c>
      <c r="C114" s="135" t="str">
        <f t="shared" si="3"/>
        <v>setlist</v>
      </c>
      <c r="D114" s="172" t="s">
        <v>305</v>
      </c>
      <c r="E114" s="149" t="s">
        <v>240</v>
      </c>
      <c r="F114" s="148" t="s">
        <v>129</v>
      </c>
      <c r="G114" s="148" t="s">
        <v>36</v>
      </c>
      <c r="H114" s="135" t="str">
        <f>HYPERLINK("http://www.mediafire.com/download/n6i4747ng400ovp/1989-11-10_-_Sigma_Phi_House%2C_Hamilton_College_-_Clinton%2C_NY.rar", "download link")</f>
        <v>download link</v>
      </c>
      <c r="I114" s="136" t="s">
        <v>23</v>
      </c>
      <c r="J114" s="80"/>
    </row>
    <row r="115">
      <c r="A115" s="103">
        <v>32823.0</v>
      </c>
      <c r="B115" s="107" t="s">
        <v>32</v>
      </c>
      <c r="C115" s="105" t="str">
        <f t="shared" si="3"/>
        <v>setlist</v>
      </c>
      <c r="D115" s="106" t="s">
        <v>384</v>
      </c>
      <c r="E115" s="106" t="s">
        <v>34</v>
      </c>
      <c r="F115" s="107" t="s">
        <v>35</v>
      </c>
      <c r="G115" s="107" t="s">
        <v>36</v>
      </c>
      <c r="H115" s="105" t="str">
        <f>HYPERLINK("http://www.mediafire.com/download/mzks3xdkl02h83d/1989-11-11_-_Patrick_Gymnasium%2C_University_of_Vermont_-_Burlington%2C_VT.rar", "download link")</f>
        <v>download link</v>
      </c>
      <c r="I115" s="134" t="s">
        <v>385</v>
      </c>
      <c r="J115" s="109"/>
    </row>
    <row r="116">
      <c r="A116" s="110">
        <v>32828.0</v>
      </c>
      <c r="B116" s="114" t="s">
        <v>32</v>
      </c>
      <c r="C116" s="135" t="str">
        <f t="shared" si="3"/>
        <v>setlist</v>
      </c>
      <c r="D116" s="113" t="s">
        <v>301</v>
      </c>
      <c r="E116" s="113" t="s">
        <v>247</v>
      </c>
      <c r="F116" s="114" t="s">
        <v>95</v>
      </c>
      <c r="G116" s="114" t="s">
        <v>36</v>
      </c>
      <c r="H116" s="135" t="str">
        <f>HYPERLINK("http://www.mediafire.com/download/ait5h6aje15c89a/1989-11-16_-_Pearl_Street_Ballroom_-_Northampton%2C_MA.rar", "download link")</f>
        <v>download link</v>
      </c>
      <c r="I116" s="136" t="s">
        <v>331</v>
      </c>
      <c r="J116" s="80"/>
    </row>
    <row r="117">
      <c r="A117" s="103">
        <v>32830.0</v>
      </c>
      <c r="B117" s="104"/>
      <c r="C117" s="105" t="str">
        <f t="shared" si="3"/>
        <v>setlist</v>
      </c>
      <c r="D117" s="134" t="s">
        <v>386</v>
      </c>
      <c r="E117" s="106" t="s">
        <v>387</v>
      </c>
      <c r="F117" s="107" t="s">
        <v>212</v>
      </c>
      <c r="G117" s="104"/>
      <c r="H117" s="108"/>
      <c r="I117" s="109"/>
      <c r="J117" s="109"/>
    </row>
    <row r="118">
      <c r="A118" s="110">
        <v>32842.0</v>
      </c>
      <c r="B118" s="114" t="s">
        <v>32</v>
      </c>
      <c r="C118" s="135" t="str">
        <f t="shared" si="3"/>
        <v>setlist</v>
      </c>
      <c r="D118" s="136" t="s">
        <v>260</v>
      </c>
      <c r="E118" s="113" t="s">
        <v>94</v>
      </c>
      <c r="F118" s="114" t="s">
        <v>95</v>
      </c>
      <c r="G118" s="114" t="s">
        <v>36</v>
      </c>
      <c r="H118" s="135" t="str">
        <f>HYPERLINK("http://www.mediafire.com/download/44qy29eggbch55i/1989-11-30_-_The_Paradise_-_Boston%2C_MA.rar", "download link")</f>
        <v>download link</v>
      </c>
      <c r="I118" s="136" t="s">
        <v>55</v>
      </c>
      <c r="J118" s="80"/>
    </row>
    <row r="119">
      <c r="A119" s="103">
        <v>32843.0</v>
      </c>
      <c r="B119" s="107" t="s">
        <v>32</v>
      </c>
      <c r="C119" s="105" t="str">
        <f t="shared" si="3"/>
        <v>setlist</v>
      </c>
      <c r="D119" s="134" t="s">
        <v>260</v>
      </c>
      <c r="E119" s="106" t="s">
        <v>94</v>
      </c>
      <c r="F119" s="107" t="s">
        <v>95</v>
      </c>
      <c r="G119" s="107" t="s">
        <v>36</v>
      </c>
      <c r="H119" s="105" t="str">
        <f>HYPERLINK("http://www.mediafire.com/download/udvyjnoelbq8q59/1989-12-01_-_The_Paradise_-_Boston%2C_MA.rar", "download link")</f>
        <v>download link</v>
      </c>
      <c r="I119" s="134" t="s">
        <v>388</v>
      </c>
      <c r="J119" s="109"/>
    </row>
    <row r="120">
      <c r="A120" s="110">
        <v>32844.0</v>
      </c>
      <c r="B120" s="111"/>
      <c r="C120" s="116" t="str">
        <f t="shared" si="3"/>
        <v>setlist</v>
      </c>
      <c r="D120" s="113" t="s">
        <v>389</v>
      </c>
      <c r="E120" s="113" t="s">
        <v>390</v>
      </c>
      <c r="F120" s="114" t="s">
        <v>35</v>
      </c>
      <c r="G120" s="111"/>
      <c r="H120" s="138"/>
      <c r="I120" s="80"/>
      <c r="J120" s="80"/>
    </row>
    <row r="121">
      <c r="A121" s="130">
        <v>32845.0</v>
      </c>
      <c r="B121" s="133" t="s">
        <v>32</v>
      </c>
      <c r="C121" s="105" t="str">
        <f t="shared" si="3"/>
        <v>setlist</v>
      </c>
      <c r="D121" s="132" t="s">
        <v>178</v>
      </c>
      <c r="E121" s="132" t="s">
        <v>34</v>
      </c>
      <c r="F121" s="133" t="s">
        <v>35</v>
      </c>
      <c r="G121" s="133" t="s">
        <v>36</v>
      </c>
      <c r="H121" s="105" t="str">
        <f>HYPERLINK("http://www.mediafire.com/download/gr363wfwvfci6g6/1989-12-03_-_The_Front_-_Burlington%2C_VT.rar", "download link")</f>
        <v>download link</v>
      </c>
      <c r="I121" s="134" t="s">
        <v>391</v>
      </c>
      <c r="J121" s="109"/>
    </row>
    <row r="122">
      <c r="A122" s="142">
        <v>32846.0</v>
      </c>
      <c r="B122" s="144"/>
      <c r="C122" s="116" t="str">
        <f t="shared" si="3"/>
        <v>setlist</v>
      </c>
      <c r="D122" s="118" t="s">
        <v>178</v>
      </c>
      <c r="E122" s="118" t="s">
        <v>34</v>
      </c>
      <c r="F122" s="115" t="s">
        <v>35</v>
      </c>
      <c r="G122" s="144"/>
      <c r="H122" s="145"/>
      <c r="I122" s="146"/>
      <c r="J122" s="146"/>
    </row>
    <row r="123">
      <c r="A123" s="103">
        <v>32848.0</v>
      </c>
      <c r="B123" s="104"/>
      <c r="C123" s="105" t="str">
        <f t="shared" si="3"/>
        <v>setlist</v>
      </c>
      <c r="D123" s="106" t="s">
        <v>392</v>
      </c>
      <c r="E123" s="106" t="s">
        <v>393</v>
      </c>
      <c r="F123" s="107" t="s">
        <v>394</v>
      </c>
      <c r="G123" s="104"/>
      <c r="H123" s="108"/>
      <c r="I123" s="109"/>
      <c r="J123" s="109"/>
    </row>
    <row r="124">
      <c r="A124" s="142">
        <v>32849.0</v>
      </c>
      <c r="B124" s="115" t="s">
        <v>32</v>
      </c>
      <c r="C124" s="116" t="str">
        <f t="shared" si="3"/>
        <v>setlist</v>
      </c>
      <c r="D124" s="118" t="s">
        <v>395</v>
      </c>
      <c r="E124" s="118" t="s">
        <v>396</v>
      </c>
      <c r="F124" s="115" t="s">
        <v>397</v>
      </c>
      <c r="G124" s="115" t="s">
        <v>36</v>
      </c>
      <c r="H124" s="116" t="str">
        <f>HYPERLINK("http://www.mediafire.com/download/zdjx987j4oja95k/1989-12-07_-_8x10_Club_-_Baltimore%2C_MD.rar", "download link")</f>
        <v>download link</v>
      </c>
      <c r="I124" s="117" t="s">
        <v>398</v>
      </c>
      <c r="J124" s="118"/>
    </row>
    <row r="125">
      <c r="A125" s="130">
        <v>32850.0</v>
      </c>
      <c r="B125" s="133" t="s">
        <v>32</v>
      </c>
      <c r="C125" s="105" t="str">
        <f t="shared" si="3"/>
        <v>setlist</v>
      </c>
      <c r="D125" s="132" t="s">
        <v>399</v>
      </c>
      <c r="E125" s="132" t="s">
        <v>400</v>
      </c>
      <c r="F125" s="133" t="s">
        <v>35</v>
      </c>
      <c r="G125" s="133" t="s">
        <v>36</v>
      </c>
      <c r="H125" s="105" t="str">
        <f>HYPERLINK("http://www.mediafire.com/download/lk59kcrczi88anj/1989-12-08_-_Withey_Hall_Dining_Room%2C_Green_Mountain_College_-_Poultney%2C_VT.rar", "download link")</f>
        <v>download link</v>
      </c>
      <c r="I125" s="134" t="s">
        <v>401</v>
      </c>
      <c r="J125" s="134" t="s">
        <v>402</v>
      </c>
    </row>
    <row r="126">
      <c r="A126" s="142">
        <v>32851.0</v>
      </c>
      <c r="B126" s="115" t="s">
        <v>32</v>
      </c>
      <c r="C126" s="116" t="str">
        <f t="shared" si="3"/>
        <v>setlist</v>
      </c>
      <c r="D126" s="118" t="s">
        <v>403</v>
      </c>
      <c r="E126" s="118" t="s">
        <v>404</v>
      </c>
      <c r="F126" s="115" t="s">
        <v>35</v>
      </c>
      <c r="G126" s="115" t="s">
        <v>36</v>
      </c>
      <c r="H126" s="116" t="str">
        <f>HYPERLINK("http://www.mediafire.com/download/lkblq3mo2cc73yx/1989-12-09_-_Huden_Dining_Hall%2C_Castleton_State_College_-_Castleton%2C_VT.rar", "download link")</f>
        <v>download link</v>
      </c>
      <c r="I126" s="117" t="s">
        <v>383</v>
      </c>
      <c r="J126" s="146"/>
    </row>
    <row r="127">
      <c r="A127" s="103">
        <v>32857.0</v>
      </c>
      <c r="B127" s="107" t="s">
        <v>32</v>
      </c>
      <c r="C127" s="105" t="str">
        <f t="shared" si="3"/>
        <v>setlist</v>
      </c>
      <c r="D127" s="134" t="s">
        <v>405</v>
      </c>
      <c r="E127" s="106" t="s">
        <v>162</v>
      </c>
      <c r="F127" s="107" t="s">
        <v>129</v>
      </c>
      <c r="G127" s="107" t="s">
        <v>36</v>
      </c>
      <c r="H127" s="105" t="str">
        <f>HYPERLINK("http://www.mediafire.com/download/0eolq6lp722jlzl/1989-12-15_-_Ukrainian_National_Home_-_New_York%2C_NY.rar", "download link")</f>
        <v>download link</v>
      </c>
      <c r="I127" s="134" t="s">
        <v>406</v>
      </c>
      <c r="J127" s="109"/>
    </row>
    <row r="128">
      <c r="A128" s="167">
        <v>32858.0</v>
      </c>
      <c r="B128" s="175"/>
      <c r="C128" s="166" t="str">
        <f t="shared" si="3"/>
        <v>setlist</v>
      </c>
      <c r="D128" s="171" t="s">
        <v>407</v>
      </c>
      <c r="E128" s="169" t="s">
        <v>34</v>
      </c>
      <c r="F128" s="168" t="s">
        <v>35</v>
      </c>
      <c r="G128" s="168" t="s">
        <v>36</v>
      </c>
      <c r="H128" s="166" t="str">
        <f>HYPERLINK("http://www.mediafire.com/download/oh7bae6i0skt587/1989-12-16_-_Contois_Auditorium%2C_City_Hall_-_Burlington%2C_VT.rar", "download link")</f>
        <v>download link</v>
      </c>
      <c r="I128" s="171" t="s">
        <v>408</v>
      </c>
      <c r="J128" s="176"/>
    </row>
    <row r="129">
      <c r="A129" s="92"/>
      <c r="B129" s="93"/>
      <c r="C129" s="94"/>
      <c r="D129" s="83" t="s">
        <v>409</v>
      </c>
      <c r="E129" s="95"/>
      <c r="F129" s="93"/>
      <c r="G129" s="93"/>
      <c r="H129" s="94"/>
      <c r="I129" s="95"/>
      <c r="J129" s="95"/>
    </row>
    <row r="130">
      <c r="A130" s="125">
        <v>32871.0</v>
      </c>
      <c r="B130" s="127" t="s">
        <v>32</v>
      </c>
      <c r="C130" s="98" t="str">
        <f t="shared" ref="C130:C132" si="4">HYPERLINK("http://www.phish.net/setlists/?d="&amp;RIGHT(TEXT(A130,"mm/dd/yyyy"),4)&amp;"-"&amp;LEFT(TEXT(A130,"mm/dd/yyyy"),2)&amp;"-"&amp;MID(TEXT(A130,"mm/dd/yyyy"),4,2), "setlist")</f>
        <v>setlist</v>
      </c>
      <c r="D130" s="101" t="s">
        <v>386</v>
      </c>
      <c r="E130" s="102" t="s">
        <v>387</v>
      </c>
      <c r="F130" s="127" t="s">
        <v>212</v>
      </c>
      <c r="G130" s="127" t="s">
        <v>36</v>
      </c>
      <c r="H130" s="98" t="str">
        <f>HYPERLINK("http://www.mediafire.com/download/ckbn65fzdu7s0gg/1989-12-29_-_23_East_Caberet_-_Ardmore%2C_PA.rar", "download link")</f>
        <v>download link</v>
      </c>
      <c r="I130" s="101" t="s">
        <v>158</v>
      </c>
      <c r="J130" s="102" t="s">
        <v>319</v>
      </c>
    </row>
    <row r="131">
      <c r="A131" s="130">
        <v>32872.0</v>
      </c>
      <c r="B131" s="133" t="s">
        <v>32</v>
      </c>
      <c r="C131" s="105" t="str">
        <f t="shared" si="4"/>
        <v>setlist</v>
      </c>
      <c r="D131" s="132" t="s">
        <v>271</v>
      </c>
      <c r="E131" s="132" t="s">
        <v>162</v>
      </c>
      <c r="F131" s="133" t="s">
        <v>129</v>
      </c>
      <c r="G131" s="133" t="s">
        <v>36</v>
      </c>
      <c r="H131" s="105" t="str">
        <f>HYPERLINK("http://www.mediafire.com/download/qnkyq5i8ufpq87s/1989-12-30_-_The_Wetlands_Preserve_-_New_York%2C_NY.rar", "download link")</f>
        <v>download link</v>
      </c>
      <c r="I131" s="134" t="s">
        <v>92</v>
      </c>
      <c r="J131" s="106" t="s">
        <v>111</v>
      </c>
    </row>
    <row r="132">
      <c r="A132" s="110">
        <v>32873.0</v>
      </c>
      <c r="B132" s="111"/>
      <c r="C132" s="135" t="str">
        <f t="shared" si="4"/>
        <v>setlist</v>
      </c>
      <c r="D132" s="136" t="s">
        <v>410</v>
      </c>
      <c r="E132" s="113" t="s">
        <v>94</v>
      </c>
      <c r="F132" s="114" t="s">
        <v>95</v>
      </c>
      <c r="G132" s="114" t="s">
        <v>36</v>
      </c>
      <c r="H132" s="135" t="str">
        <f>HYPERLINK("http://www.mediafire.com/download/3dm1y3dpybdwb4w/1989-12-31_-_Boston_World_Trade_Center_Exhibition_Hall_-_Boston%2C_MA.rar", "download link")</f>
        <v>download link</v>
      </c>
      <c r="I132" s="136" t="s">
        <v>411</v>
      </c>
      <c r="J132" s="8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66.38"/>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3" t="s">
        <v>31</v>
      </c>
    </row>
    <row r="3">
      <c r="A3" s="86"/>
      <c r="B3" s="87"/>
      <c r="C3" s="87"/>
      <c r="D3" s="89"/>
      <c r="E3" s="87"/>
      <c r="F3" s="87"/>
      <c r="G3" s="87"/>
      <c r="H3" s="177"/>
      <c r="I3" s="91"/>
      <c r="J3" s="91"/>
    </row>
    <row r="4">
      <c r="A4" s="92"/>
      <c r="B4" s="93"/>
      <c r="C4" s="93"/>
      <c r="D4" s="83" t="s">
        <v>412</v>
      </c>
      <c r="E4" s="93"/>
      <c r="F4" s="93"/>
      <c r="G4" s="93"/>
      <c r="H4" s="93"/>
      <c r="I4" s="95"/>
      <c r="J4" s="95"/>
    </row>
    <row r="5">
      <c r="A5" s="125">
        <v>32875.0</v>
      </c>
      <c r="B5" s="126"/>
      <c r="C5" s="178" t="str">
        <f t="shared" ref="C5:C96" si="1">HYPERLINK("http://www.phish.net/setlists/?d="&amp;RIGHT(TEXT(A5,"mm/dd/yyyy"),4)&amp;"-"&amp;LEFT(TEXT(A5,"mm/dd/yyyy"),2)&amp;"-"&amp;MID(TEXT(A5,"mm/dd/yyyy"),4,2), "setlist")</f>
        <v>setlist</v>
      </c>
      <c r="D5" s="102" t="s">
        <v>413</v>
      </c>
      <c r="E5" s="179" t="s">
        <v>225</v>
      </c>
      <c r="F5" s="127" t="s">
        <v>182</v>
      </c>
      <c r="G5" s="126"/>
      <c r="H5" s="180"/>
      <c r="I5" s="129"/>
      <c r="J5" s="129"/>
    </row>
    <row r="6">
      <c r="A6" s="103">
        <v>32886.0</v>
      </c>
      <c r="B6" s="104"/>
      <c r="C6" s="105" t="str">
        <f t="shared" si="1"/>
        <v>setlist</v>
      </c>
      <c r="D6" s="106" t="s">
        <v>414</v>
      </c>
      <c r="E6" s="181" t="s">
        <v>415</v>
      </c>
      <c r="F6" s="107" t="s">
        <v>182</v>
      </c>
      <c r="G6" s="104"/>
      <c r="H6" s="182"/>
      <c r="I6" s="109"/>
      <c r="J6" s="109"/>
    </row>
    <row r="7">
      <c r="A7" s="110">
        <v>32892.0</v>
      </c>
      <c r="B7" s="111"/>
      <c r="C7" s="116" t="str">
        <f t="shared" si="1"/>
        <v>setlist</v>
      </c>
      <c r="D7" s="113" t="s">
        <v>416</v>
      </c>
      <c r="E7" s="183" t="s">
        <v>417</v>
      </c>
      <c r="F7" s="114" t="s">
        <v>95</v>
      </c>
      <c r="G7" s="111"/>
      <c r="H7" s="184"/>
      <c r="I7" s="80"/>
      <c r="J7" s="80"/>
    </row>
    <row r="8">
      <c r="A8" s="103">
        <v>32893.0</v>
      </c>
      <c r="B8" s="107" t="s">
        <v>32</v>
      </c>
      <c r="C8" s="105" t="str">
        <f t="shared" si="1"/>
        <v>setlist</v>
      </c>
      <c r="D8" s="106" t="s">
        <v>418</v>
      </c>
      <c r="E8" s="106" t="s">
        <v>263</v>
      </c>
      <c r="F8" s="107" t="s">
        <v>182</v>
      </c>
      <c r="G8" s="107" t="s">
        <v>36</v>
      </c>
      <c r="H8" s="105" t="str">
        <f>HYPERLINK("http://www.mediafire.com/download/81b0i12zj791974/1990-01-20_-_Webster_Hall%2C_Dartmouth_College_-_Hanover%2C_NH.rar", "download link")</f>
        <v>download link</v>
      </c>
      <c r="I8" s="134" t="s">
        <v>23</v>
      </c>
      <c r="J8" s="106" t="s">
        <v>419</v>
      </c>
    </row>
    <row r="9">
      <c r="A9" s="142">
        <v>32898.0</v>
      </c>
      <c r="B9" s="144"/>
      <c r="C9" s="116" t="str">
        <f t="shared" si="1"/>
        <v>setlist</v>
      </c>
      <c r="D9" s="117" t="s">
        <v>420</v>
      </c>
      <c r="E9" s="117" t="s">
        <v>421</v>
      </c>
      <c r="F9" s="115" t="s">
        <v>257</v>
      </c>
      <c r="G9" s="165" t="s">
        <v>36</v>
      </c>
      <c r="H9" s="116" t="str">
        <f>HYPERLINK("http://www.mediafire.com/download/g39xykq5yi21qn9/1990-01-25_-_Penny_Post_-_Old_Town%2C_ME.rar", "download link")</f>
        <v>download link</v>
      </c>
      <c r="I9" s="117" t="s">
        <v>422</v>
      </c>
      <c r="J9" s="118" t="s">
        <v>423</v>
      </c>
    </row>
    <row r="10">
      <c r="A10" s="103">
        <v>32899.0</v>
      </c>
      <c r="B10" s="107" t="s">
        <v>32</v>
      </c>
      <c r="C10" s="105" t="str">
        <f t="shared" si="1"/>
        <v>setlist</v>
      </c>
      <c r="D10" s="134" t="s">
        <v>424</v>
      </c>
      <c r="E10" s="106" t="s">
        <v>279</v>
      </c>
      <c r="F10" s="107" t="s">
        <v>257</v>
      </c>
      <c r="G10" s="107" t="s">
        <v>36</v>
      </c>
      <c r="H10" s="105" t="str">
        <f>HYPERLINK("http://www.mediafire.com/download/xbjyscja3ytrbu8/1990-01-26_-_Tree_Cafe_-_Portland%2C_ME.rar", "download link")</f>
        <v>download link</v>
      </c>
      <c r="I10" s="134" t="s">
        <v>425</v>
      </c>
      <c r="J10" s="106" t="s">
        <v>348</v>
      </c>
    </row>
    <row r="11">
      <c r="A11" s="150">
        <v>32900.0</v>
      </c>
      <c r="B11" s="151" t="s">
        <v>32</v>
      </c>
      <c r="C11" s="116" t="str">
        <f t="shared" si="1"/>
        <v>setlist</v>
      </c>
      <c r="D11" s="153" t="s">
        <v>178</v>
      </c>
      <c r="E11" s="153" t="s">
        <v>34</v>
      </c>
      <c r="F11" s="151" t="s">
        <v>35</v>
      </c>
      <c r="G11" s="151" t="s">
        <v>36</v>
      </c>
      <c r="H11" s="116" t="str">
        <f>HYPERLINK("http://www.mediafire.com/download/6z8et53b4vcnyba/1990-01-27_-_The_Front_-_Burlington%2C_VT.rar", "download link")</f>
        <v>download link</v>
      </c>
      <c r="I11" s="117" t="s">
        <v>244</v>
      </c>
      <c r="J11" s="146"/>
    </row>
    <row r="12">
      <c r="A12" s="103">
        <v>32901.0</v>
      </c>
      <c r="B12" s="107" t="s">
        <v>32</v>
      </c>
      <c r="C12" s="105" t="str">
        <f t="shared" si="1"/>
        <v>setlist</v>
      </c>
      <c r="D12" s="106" t="s">
        <v>178</v>
      </c>
      <c r="E12" s="106" t="s">
        <v>34</v>
      </c>
      <c r="F12" s="107" t="s">
        <v>35</v>
      </c>
      <c r="G12" s="107" t="s">
        <v>36</v>
      </c>
      <c r="H12" s="105" t="str">
        <f>HYPERLINK("http://www.mediafire.com/download/yvi8av9c32c8dd9/1990-01-28_-_The_Front_-_Burlington%2C_VT.rar", "download link")</f>
        <v>download link</v>
      </c>
      <c r="I12" s="134" t="s">
        <v>426</v>
      </c>
      <c r="J12" s="109"/>
    </row>
    <row r="13">
      <c r="A13" s="150">
        <v>32902.0</v>
      </c>
      <c r="B13" s="156"/>
      <c r="C13" s="116" t="str">
        <f t="shared" si="1"/>
        <v>setlist</v>
      </c>
      <c r="D13" s="153" t="s">
        <v>167</v>
      </c>
      <c r="E13" s="153" t="s">
        <v>168</v>
      </c>
      <c r="F13" s="151" t="s">
        <v>129</v>
      </c>
      <c r="G13" s="151" t="s">
        <v>36</v>
      </c>
      <c r="H13" s="116" t="str">
        <f>HYPERLINK("http://www.mediafire.com/download/ab6w192am0a99ra/1990-01-29_-_The_Haunt_-_Ithaca%2C_NY.rar", "download link")</f>
        <v>download link</v>
      </c>
      <c r="I13" s="117" t="s">
        <v>427</v>
      </c>
      <c r="J13" s="118" t="s">
        <v>206</v>
      </c>
    </row>
    <row r="14">
      <c r="A14" s="103">
        <v>32904.0</v>
      </c>
      <c r="B14" s="104"/>
      <c r="C14" s="105" t="str">
        <f t="shared" si="1"/>
        <v>setlist</v>
      </c>
      <c r="D14" s="134" t="s">
        <v>428</v>
      </c>
      <c r="E14" s="106" t="s">
        <v>429</v>
      </c>
      <c r="F14" s="107" t="s">
        <v>430</v>
      </c>
      <c r="G14" s="104"/>
      <c r="H14" s="182"/>
      <c r="I14" s="109"/>
      <c r="J14" s="109"/>
    </row>
    <row r="15">
      <c r="A15" s="142">
        <v>32905.0</v>
      </c>
      <c r="B15" s="144"/>
      <c r="C15" s="116" t="str">
        <f t="shared" si="1"/>
        <v>setlist</v>
      </c>
      <c r="D15" s="117" t="s">
        <v>431</v>
      </c>
      <c r="E15" s="118" t="s">
        <v>432</v>
      </c>
      <c r="F15" s="115" t="s">
        <v>433</v>
      </c>
      <c r="G15" s="115" t="s">
        <v>36</v>
      </c>
      <c r="H15" s="116" t="str">
        <f>HYPERLINK("http://www.mediafire.com/download/1wgkod5parhlwt9/1990-02-01_-_The_Georgia_Theatre_-_Athens%2C_GA.rar", "download link")</f>
        <v>download link</v>
      </c>
      <c r="I15" s="117" t="s">
        <v>434</v>
      </c>
      <c r="J15" s="118" t="s">
        <v>435</v>
      </c>
    </row>
    <row r="16">
      <c r="A16" s="103">
        <v>32906.0</v>
      </c>
      <c r="B16" s="104"/>
      <c r="C16" s="105" t="str">
        <f t="shared" si="1"/>
        <v>setlist</v>
      </c>
      <c r="D16" s="134" t="s">
        <v>431</v>
      </c>
      <c r="E16" s="106" t="s">
        <v>432</v>
      </c>
      <c r="F16" s="107" t="s">
        <v>433</v>
      </c>
      <c r="G16" s="104"/>
      <c r="H16" s="182"/>
      <c r="I16" s="109"/>
      <c r="J16" s="109"/>
    </row>
    <row r="17">
      <c r="A17" s="142">
        <v>32907.0</v>
      </c>
      <c r="B17" s="144"/>
      <c r="C17" s="116" t="str">
        <f t="shared" si="1"/>
        <v>setlist</v>
      </c>
      <c r="D17" s="117" t="s">
        <v>436</v>
      </c>
      <c r="E17" s="118" t="s">
        <v>437</v>
      </c>
      <c r="F17" s="115" t="s">
        <v>433</v>
      </c>
      <c r="G17" s="144"/>
      <c r="H17" s="185"/>
      <c r="I17" s="146"/>
      <c r="J17" s="146"/>
    </row>
    <row r="18">
      <c r="A18" s="103">
        <v>32908.0</v>
      </c>
      <c r="B18" s="104"/>
      <c r="C18" s="105" t="str">
        <f t="shared" si="1"/>
        <v>setlist</v>
      </c>
      <c r="D18" s="106" t="s">
        <v>438</v>
      </c>
      <c r="E18" s="106" t="s">
        <v>439</v>
      </c>
      <c r="F18" s="107" t="s">
        <v>430</v>
      </c>
      <c r="G18" s="104"/>
      <c r="H18" s="182"/>
      <c r="I18" s="109"/>
      <c r="J18" s="109"/>
    </row>
    <row r="19">
      <c r="A19" s="142">
        <v>32909.0</v>
      </c>
      <c r="B19" s="115" t="s">
        <v>32</v>
      </c>
      <c r="C19" s="116" t="str">
        <f t="shared" si="1"/>
        <v>setlist</v>
      </c>
      <c r="D19" s="117" t="s">
        <v>428</v>
      </c>
      <c r="E19" s="118" t="s">
        <v>429</v>
      </c>
      <c r="F19" s="115" t="s">
        <v>430</v>
      </c>
      <c r="G19" s="115" t="s">
        <v>36</v>
      </c>
      <c r="H19" s="116" t="str">
        <f>HYPERLINK("http://www.mediafire.com/download/20lak8orfvbfeid/1990-02-05_-_Myskyn%27s_-_Charleston%2C_SC.rar", "download link")</f>
        <v>download link</v>
      </c>
      <c r="I19" s="117" t="s">
        <v>122</v>
      </c>
      <c r="J19" s="118" t="s">
        <v>440</v>
      </c>
    </row>
    <row r="20">
      <c r="A20" s="103">
        <v>32911.0</v>
      </c>
      <c r="B20" s="104"/>
      <c r="C20" s="105" t="str">
        <f t="shared" si="1"/>
        <v>setlist</v>
      </c>
      <c r="D20" s="106" t="s">
        <v>441</v>
      </c>
      <c r="E20" s="106" t="s">
        <v>442</v>
      </c>
      <c r="F20" s="107" t="s">
        <v>443</v>
      </c>
      <c r="G20" s="104"/>
      <c r="H20" s="182"/>
      <c r="I20" s="109"/>
      <c r="J20" s="109"/>
    </row>
    <row r="21">
      <c r="A21" s="142">
        <v>32912.0</v>
      </c>
      <c r="B21" s="144"/>
      <c r="C21" s="116" t="str">
        <f t="shared" si="1"/>
        <v>setlist</v>
      </c>
      <c r="D21" s="118" t="s">
        <v>444</v>
      </c>
      <c r="E21" s="118" t="s">
        <v>445</v>
      </c>
      <c r="F21" s="115" t="s">
        <v>446</v>
      </c>
      <c r="G21" s="144"/>
      <c r="H21" s="185"/>
      <c r="I21" s="146"/>
      <c r="J21" s="146"/>
    </row>
    <row r="22">
      <c r="A22" s="103">
        <v>32913.0</v>
      </c>
      <c r="B22" s="107" t="s">
        <v>32</v>
      </c>
      <c r="C22" s="105" t="str">
        <f t="shared" si="1"/>
        <v>setlist</v>
      </c>
      <c r="D22" s="106" t="s">
        <v>447</v>
      </c>
      <c r="E22" s="106" t="s">
        <v>304</v>
      </c>
      <c r="F22" s="107" t="s">
        <v>212</v>
      </c>
      <c r="G22" s="107" t="s">
        <v>36</v>
      </c>
      <c r="H22" s="105" t="str">
        <f>HYPERLINK("http://www.mediafire.com/download/9fpgn7i7gigtk3h/1990-02-09_-_Chameleon_Club_-_Lancaster%2C_PA.rar", "download link")</f>
        <v>download link</v>
      </c>
      <c r="I22" s="134" t="s">
        <v>140</v>
      </c>
      <c r="J22" s="109"/>
    </row>
    <row r="23">
      <c r="A23" s="142">
        <v>32914.0</v>
      </c>
      <c r="B23" s="115" t="s">
        <v>32</v>
      </c>
      <c r="C23" s="116" t="str">
        <f t="shared" si="1"/>
        <v>setlist</v>
      </c>
      <c r="D23" s="117" t="s">
        <v>386</v>
      </c>
      <c r="E23" s="118" t="s">
        <v>387</v>
      </c>
      <c r="F23" s="115" t="s">
        <v>212</v>
      </c>
      <c r="G23" s="115" t="s">
        <v>36</v>
      </c>
      <c r="H23" s="116" t="str">
        <f>HYPERLINK("http://www.mediafire.com/download/essve2ussu6bbad/1990-02-10_-_23_East_Caberet_-_Ardmore%2C_PA.rar", "download link")</f>
        <v>download link</v>
      </c>
      <c r="I23" s="117" t="s">
        <v>448</v>
      </c>
      <c r="J23" s="118"/>
    </row>
    <row r="24">
      <c r="A24" s="103">
        <v>32919.0</v>
      </c>
      <c r="B24" s="107" t="s">
        <v>32</v>
      </c>
      <c r="C24" s="105" t="str">
        <f t="shared" si="1"/>
        <v>setlist</v>
      </c>
      <c r="D24" s="106" t="s">
        <v>296</v>
      </c>
      <c r="E24" s="106" t="s">
        <v>297</v>
      </c>
      <c r="F24" s="107" t="s">
        <v>298</v>
      </c>
      <c r="G24" s="107" t="s">
        <v>36</v>
      </c>
      <c r="H24" s="105" t="str">
        <f>HYPERLINK("http://www.mediafire.com/download/lwo3666bb2m52is/1990-02-15_-_The_Living_Room_-_Providence%2C_RI.rar", "download link")</f>
        <v>download link</v>
      </c>
      <c r="I24" s="134" t="s">
        <v>449</v>
      </c>
      <c r="J24" s="106" t="s">
        <v>450</v>
      </c>
    </row>
    <row r="25">
      <c r="A25" s="142">
        <v>32920.0</v>
      </c>
      <c r="B25" s="115" t="s">
        <v>32</v>
      </c>
      <c r="C25" s="116" t="str">
        <f t="shared" si="1"/>
        <v>setlist</v>
      </c>
      <c r="D25" s="118" t="s">
        <v>260</v>
      </c>
      <c r="E25" s="118" t="s">
        <v>94</v>
      </c>
      <c r="F25" s="115" t="s">
        <v>95</v>
      </c>
      <c r="G25" s="115" t="s">
        <v>36</v>
      </c>
      <c r="H25" s="116" t="str">
        <f>HYPERLINK("http://www.mediafire.com/download/t8r3jcfkyrqwxd5/1990-02-16_-_The_Paradise_-_Boston%2C_MA.rar", "download link")</f>
        <v>download link</v>
      </c>
      <c r="I25" s="117" t="s">
        <v>23</v>
      </c>
      <c r="J25" s="146"/>
    </row>
    <row r="26">
      <c r="A26" s="103">
        <v>32921.0</v>
      </c>
      <c r="B26" s="107" t="s">
        <v>32</v>
      </c>
      <c r="C26" s="105" t="str">
        <f t="shared" si="1"/>
        <v>setlist</v>
      </c>
      <c r="D26" s="106" t="s">
        <v>266</v>
      </c>
      <c r="E26" s="106" t="s">
        <v>164</v>
      </c>
      <c r="F26" s="107" t="s">
        <v>95</v>
      </c>
      <c r="G26" s="107" t="s">
        <v>36</v>
      </c>
      <c r="H26" s="105" t="str">
        <f>HYPERLINK("http://www.mediafire.com/download/8ogcsne4hwudw1c/1990-02-17_-_Student_Union_Ballroom%2C_University_of_Massachusetts_-_Amherst%2C_MA.rar", "download link")</f>
        <v>download link</v>
      </c>
      <c r="I26" s="134" t="s">
        <v>449</v>
      </c>
      <c r="J26" s="109"/>
    </row>
    <row r="27">
      <c r="A27" s="142">
        <v>32926.0</v>
      </c>
      <c r="B27" s="115" t="s">
        <v>32</v>
      </c>
      <c r="C27" s="116" t="str">
        <f t="shared" si="1"/>
        <v>setlist</v>
      </c>
      <c r="D27" s="118" t="s">
        <v>366</v>
      </c>
      <c r="E27" s="118" t="s">
        <v>367</v>
      </c>
      <c r="F27" s="115" t="s">
        <v>182</v>
      </c>
      <c r="G27" s="115" t="s">
        <v>36</v>
      </c>
      <c r="H27" s="116" t="str">
        <f>HYPERLINK("http://www.mediafire.com/download/oc2cad2y43xdr0b/1990-02-22_-_Mabel_Brown_Room%2C_Keene_State_College_-_Keene%2C_NH.rar", "download link")</f>
        <v>download link</v>
      </c>
      <c r="I27" s="117" t="s">
        <v>451</v>
      </c>
      <c r="J27" s="146"/>
    </row>
    <row r="28">
      <c r="A28" s="103">
        <v>32927.0</v>
      </c>
      <c r="B28" s="107" t="s">
        <v>32</v>
      </c>
      <c r="C28" s="105" t="str">
        <f t="shared" si="1"/>
        <v>setlist</v>
      </c>
      <c r="D28" s="106" t="s">
        <v>452</v>
      </c>
      <c r="E28" s="106" t="s">
        <v>453</v>
      </c>
      <c r="F28" s="107" t="s">
        <v>212</v>
      </c>
      <c r="G28" s="107" t="s">
        <v>36</v>
      </c>
      <c r="H28" s="105" t="str">
        <f>HYPERLINK("http://www.mediafire.com/download/8vjd5zc4p7frgs2/1990-02-23_-_Dining_Center%2C_Haverford_College_-_Haverford%2C_PA.rar", "download link")</f>
        <v>download link</v>
      </c>
      <c r="I28" s="134" t="s">
        <v>454</v>
      </c>
      <c r="J28" s="109"/>
    </row>
    <row r="29">
      <c r="A29" s="142">
        <v>32928.0</v>
      </c>
      <c r="B29" s="115" t="s">
        <v>32</v>
      </c>
      <c r="C29" s="116" t="str">
        <f t="shared" si="1"/>
        <v>setlist</v>
      </c>
      <c r="D29" s="118" t="s">
        <v>455</v>
      </c>
      <c r="E29" s="118" t="s">
        <v>393</v>
      </c>
      <c r="F29" s="115" t="s">
        <v>394</v>
      </c>
      <c r="G29" s="115" t="s">
        <v>36</v>
      </c>
      <c r="H29" s="116" t="str">
        <f>HYPERLINK("http://www.mediafire.com/download/0r2wyt0cpsxf3vp/1990-02-24_-_The_Bayou_-_Washington%2C_DC.rar", "download link")</f>
        <v>download link</v>
      </c>
      <c r="I29" s="117" t="s">
        <v>456</v>
      </c>
      <c r="J29" s="146"/>
    </row>
    <row r="30">
      <c r="A30" s="103">
        <v>32929.0</v>
      </c>
      <c r="B30" s="104"/>
      <c r="C30" s="105" t="str">
        <f t="shared" si="1"/>
        <v>setlist</v>
      </c>
      <c r="D30" s="106" t="s">
        <v>395</v>
      </c>
      <c r="E30" s="106" t="s">
        <v>396</v>
      </c>
      <c r="F30" s="107" t="s">
        <v>397</v>
      </c>
      <c r="G30" s="107" t="s">
        <v>36</v>
      </c>
      <c r="H30" s="105" t="str">
        <f>HYPERLINK("http://www.mediafire.com/download/b11d4pa3spacnbr/1990-02-25_-_8x10_Club_-_Baltimore%2C_MD.rar", "download link")</f>
        <v>download link</v>
      </c>
      <c r="I30" s="134" t="s">
        <v>457</v>
      </c>
      <c r="J30" s="106" t="s">
        <v>287</v>
      </c>
    </row>
    <row r="31">
      <c r="A31" s="142">
        <v>32933.0</v>
      </c>
      <c r="B31" s="115" t="s">
        <v>32</v>
      </c>
      <c r="C31" s="116" t="str">
        <f t="shared" si="1"/>
        <v>setlist</v>
      </c>
      <c r="D31" s="118" t="s">
        <v>458</v>
      </c>
      <c r="E31" s="118" t="s">
        <v>459</v>
      </c>
      <c r="F31" s="115" t="s">
        <v>171</v>
      </c>
      <c r="G31" s="115" t="s">
        <v>36</v>
      </c>
      <c r="H31" s="116" t="str">
        <f>HYPERLINK("http://www.mediafire.com/download/tlxgr8bev9nn27g/1990-03-01_-_Toad%27s_Place_-_New_Haven%2C_CT.rar", "download link")</f>
        <v>download link</v>
      </c>
      <c r="I31" s="117" t="s">
        <v>158</v>
      </c>
      <c r="J31" s="146"/>
    </row>
    <row r="32">
      <c r="A32" s="103">
        <v>32934.0</v>
      </c>
      <c r="B32" s="104"/>
      <c r="C32" s="105" t="str">
        <f t="shared" si="1"/>
        <v>setlist</v>
      </c>
      <c r="D32" s="106" t="s">
        <v>375</v>
      </c>
      <c r="E32" s="106" t="s">
        <v>376</v>
      </c>
      <c r="F32" s="107" t="s">
        <v>129</v>
      </c>
      <c r="G32" s="104"/>
      <c r="H32" s="182"/>
      <c r="I32" s="109"/>
      <c r="J32" s="109"/>
    </row>
    <row r="33">
      <c r="A33" s="142">
        <v>32935.0</v>
      </c>
      <c r="B33" s="115" t="s">
        <v>32</v>
      </c>
      <c r="C33" s="116" t="str">
        <f t="shared" si="1"/>
        <v>setlist</v>
      </c>
      <c r="D33" s="118" t="s">
        <v>271</v>
      </c>
      <c r="E33" s="118" t="s">
        <v>162</v>
      </c>
      <c r="F33" s="115" t="s">
        <v>129</v>
      </c>
      <c r="G33" s="115" t="s">
        <v>36</v>
      </c>
      <c r="H33" s="116" t="str">
        <f>HYPERLINK("http://www.mediafire.com/download/06h5s7jbbonnndw/1990-03-03_-_The_Wetlands_Preserve_-_New_York%2C_NY.rar", "download link")</f>
        <v>download link</v>
      </c>
      <c r="I33" s="117" t="s">
        <v>460</v>
      </c>
      <c r="J33" s="146"/>
    </row>
    <row r="34">
      <c r="A34" s="103">
        <v>32937.0</v>
      </c>
      <c r="B34" s="104"/>
      <c r="C34" s="105" t="str">
        <f t="shared" si="1"/>
        <v>setlist</v>
      </c>
      <c r="D34" s="106" t="s">
        <v>167</v>
      </c>
      <c r="E34" s="106" t="s">
        <v>168</v>
      </c>
      <c r="F34" s="107" t="s">
        <v>129</v>
      </c>
      <c r="G34" s="104"/>
      <c r="H34" s="182"/>
      <c r="I34" s="109"/>
      <c r="J34" s="109"/>
    </row>
    <row r="35">
      <c r="A35" s="150">
        <v>32939.0</v>
      </c>
      <c r="B35" s="151" t="s">
        <v>32</v>
      </c>
      <c r="C35" s="116" t="str">
        <f t="shared" si="1"/>
        <v>setlist</v>
      </c>
      <c r="D35" s="152" t="s">
        <v>461</v>
      </c>
      <c r="E35" s="153" t="s">
        <v>225</v>
      </c>
      <c r="F35" s="151" t="s">
        <v>182</v>
      </c>
      <c r="G35" s="151" t="s">
        <v>36</v>
      </c>
      <c r="H35" s="116" t="str">
        <f>HYPERLINK("http://www.mediafire.com/download/b37v0hq7cdrqn7k/1990-03-07_-_Field_House%2C_University_of_New_Hampshire_-_Durham%2C_NH.rar", "download link")</f>
        <v>download link</v>
      </c>
      <c r="I35" s="117" t="s">
        <v>462</v>
      </c>
      <c r="J35" s="118" t="s">
        <v>463</v>
      </c>
    </row>
    <row r="36">
      <c r="A36" s="103">
        <v>32940.0</v>
      </c>
      <c r="B36" s="107" t="s">
        <v>32</v>
      </c>
      <c r="C36" s="105" t="str">
        <f t="shared" si="1"/>
        <v>setlist</v>
      </c>
      <c r="D36" s="106" t="s">
        <v>464</v>
      </c>
      <c r="E36" s="106" t="s">
        <v>465</v>
      </c>
      <c r="F36" s="107" t="s">
        <v>129</v>
      </c>
      <c r="G36" s="107" t="s">
        <v>36</v>
      </c>
      <c r="H36" s="105" t="str">
        <f>HYPERLINK("http://www.mediafire.com/download/hkb5v9i75q57ff9/1990-03-08_-_Aiko%27s_-_Saratoga_Springs%2C_NY.rar", "download link")</f>
        <v>download link</v>
      </c>
      <c r="I36" s="134" t="s">
        <v>466</v>
      </c>
      <c r="J36" s="109"/>
    </row>
    <row r="37">
      <c r="A37" s="142">
        <v>32941.0</v>
      </c>
      <c r="B37" s="115" t="s">
        <v>32</v>
      </c>
      <c r="C37" s="116" t="str">
        <f t="shared" si="1"/>
        <v>setlist</v>
      </c>
      <c r="D37" s="118" t="s">
        <v>178</v>
      </c>
      <c r="E37" s="118" t="s">
        <v>34</v>
      </c>
      <c r="F37" s="115" t="s">
        <v>35</v>
      </c>
      <c r="G37" s="115" t="s">
        <v>36</v>
      </c>
      <c r="H37" s="116" t="str">
        <f>HYPERLINK("http://www.mediafire.com/download/gtdc3jc0mn0dy94/1990-03-09_-_The_Front_-_Burlington%2C_VT.rar", "download link")</f>
        <v>download link</v>
      </c>
      <c r="I37" s="117" t="s">
        <v>467</v>
      </c>
      <c r="J37" s="146"/>
    </row>
    <row r="38">
      <c r="A38" s="103">
        <v>32942.0</v>
      </c>
      <c r="B38" s="107" t="s">
        <v>32</v>
      </c>
      <c r="C38" s="105" t="str">
        <f t="shared" si="1"/>
        <v>setlist</v>
      </c>
      <c r="D38" s="106" t="s">
        <v>178</v>
      </c>
      <c r="E38" s="106" t="s">
        <v>34</v>
      </c>
      <c r="F38" s="107" t="s">
        <v>35</v>
      </c>
      <c r="G38" s="107" t="s">
        <v>36</v>
      </c>
      <c r="H38" s="105" t="str">
        <f>HYPERLINK("http://www.mediafire.com/download/th96ok93xath3ss/1990-03-10_-_The_Front_-_Burlington%2C_VT.rar", "download link")</f>
        <v>download link</v>
      </c>
      <c r="I38" s="134" t="s">
        <v>462</v>
      </c>
      <c r="J38" s="106" t="s">
        <v>319</v>
      </c>
    </row>
    <row r="39">
      <c r="A39" s="142">
        <v>32943.0</v>
      </c>
      <c r="B39" s="115" t="s">
        <v>32</v>
      </c>
      <c r="C39" s="116" t="str">
        <f t="shared" si="1"/>
        <v>setlist</v>
      </c>
      <c r="D39" s="118" t="s">
        <v>178</v>
      </c>
      <c r="E39" s="118" t="s">
        <v>34</v>
      </c>
      <c r="F39" s="115" t="s">
        <v>35</v>
      </c>
      <c r="G39" s="115" t="s">
        <v>36</v>
      </c>
      <c r="H39" s="116" t="str">
        <f>HYPERLINK("http://www.mediafire.com/download/8xfv13azj8rmb87/1990-03-11_-_The_Front_-_Burlington%2C_VT.rar", "download link")</f>
        <v>download link</v>
      </c>
      <c r="I39" s="117" t="s">
        <v>155</v>
      </c>
      <c r="J39" s="118" t="s">
        <v>468</v>
      </c>
    </row>
    <row r="40">
      <c r="A40" s="103">
        <v>32948.0</v>
      </c>
      <c r="B40" s="104"/>
      <c r="C40" s="105" t="str">
        <f t="shared" si="1"/>
        <v>setlist</v>
      </c>
      <c r="D40" s="134" t="s">
        <v>386</v>
      </c>
      <c r="E40" s="106" t="s">
        <v>387</v>
      </c>
      <c r="F40" s="107" t="s">
        <v>212</v>
      </c>
      <c r="G40" s="104"/>
      <c r="H40" s="182"/>
      <c r="I40" s="109"/>
      <c r="J40" s="109"/>
    </row>
    <row r="41">
      <c r="A41" s="150">
        <v>32949.0</v>
      </c>
      <c r="B41" s="151" t="s">
        <v>32</v>
      </c>
      <c r="C41" s="116" t="str">
        <f t="shared" si="1"/>
        <v>setlist</v>
      </c>
      <c r="D41" s="152" t="s">
        <v>386</v>
      </c>
      <c r="E41" s="153" t="s">
        <v>387</v>
      </c>
      <c r="F41" s="151" t="s">
        <v>212</v>
      </c>
      <c r="G41" s="151" t="s">
        <v>36</v>
      </c>
      <c r="H41" s="116" t="str">
        <f>HYPERLINK("http://www.mediafire.com/download/tf486m82orcf7y8/1990-03-17_-_23_East_Caberet_-_Ardmore%2C_PA.rar", "download link")</f>
        <v>download link</v>
      </c>
      <c r="I41" s="117" t="s">
        <v>469</v>
      </c>
      <c r="J41" s="118" t="s">
        <v>319</v>
      </c>
    </row>
    <row r="42">
      <c r="A42" s="103">
        <v>32959.0</v>
      </c>
      <c r="B42" s="104"/>
      <c r="C42" s="105" t="str">
        <f t="shared" si="1"/>
        <v>setlist</v>
      </c>
      <c r="D42" s="106" t="s">
        <v>470</v>
      </c>
      <c r="E42" s="106" t="s">
        <v>471</v>
      </c>
      <c r="F42" s="107" t="s">
        <v>472</v>
      </c>
      <c r="G42" s="104"/>
      <c r="H42" s="182"/>
      <c r="I42" s="109"/>
      <c r="J42" s="109"/>
    </row>
    <row r="43">
      <c r="A43" s="150">
        <v>32960.0</v>
      </c>
      <c r="B43" s="151" t="s">
        <v>32</v>
      </c>
      <c r="C43" s="116" t="str">
        <f t="shared" si="1"/>
        <v>setlist</v>
      </c>
      <c r="D43" s="152" t="s">
        <v>473</v>
      </c>
      <c r="E43" s="153" t="s">
        <v>474</v>
      </c>
      <c r="F43" s="151" t="s">
        <v>472</v>
      </c>
      <c r="G43" s="151" t="s">
        <v>36</v>
      </c>
      <c r="H43" s="116" t="str">
        <f>HYPERLINK("http://www.mediafire.com/download/5oj05dor3dqtsdx/1990-03-28_-_Beta_Intramural_Hockey_Team_Party%2C_Denison_University_-_Granville%2C_OH.rar", "download link")</f>
        <v>download link</v>
      </c>
      <c r="I43" s="117" t="s">
        <v>475</v>
      </c>
      <c r="J43" s="146"/>
    </row>
    <row r="44">
      <c r="A44" s="103">
        <v>32961.0</v>
      </c>
      <c r="B44" s="104"/>
      <c r="C44" s="105" t="str">
        <f t="shared" si="1"/>
        <v>setlist</v>
      </c>
      <c r="D44" s="106" t="s">
        <v>476</v>
      </c>
      <c r="E44" s="106" t="s">
        <v>477</v>
      </c>
      <c r="F44" s="107" t="s">
        <v>472</v>
      </c>
      <c r="G44" s="104"/>
      <c r="H44" s="182"/>
      <c r="I44" s="109"/>
      <c r="J44" s="109"/>
    </row>
    <row r="45">
      <c r="A45" s="142">
        <v>32962.0</v>
      </c>
      <c r="B45" s="144"/>
      <c r="C45" s="116" t="str">
        <f t="shared" si="1"/>
        <v>setlist</v>
      </c>
      <c r="D45" s="118" t="s">
        <v>478</v>
      </c>
      <c r="E45" s="118" t="s">
        <v>479</v>
      </c>
      <c r="F45" s="115" t="s">
        <v>480</v>
      </c>
      <c r="G45" s="144"/>
      <c r="H45" s="185"/>
      <c r="I45" s="146"/>
      <c r="J45" s="146"/>
    </row>
    <row r="46">
      <c r="A46" s="103">
        <v>32963.0</v>
      </c>
      <c r="B46" s="104"/>
      <c r="C46" s="105" t="str">
        <f t="shared" si="1"/>
        <v>setlist</v>
      </c>
      <c r="D46" s="106" t="s">
        <v>481</v>
      </c>
      <c r="E46" s="106" t="s">
        <v>482</v>
      </c>
      <c r="F46" s="107" t="s">
        <v>483</v>
      </c>
      <c r="G46" s="104"/>
      <c r="H46" s="182"/>
      <c r="I46" s="109"/>
      <c r="J46" s="109"/>
    </row>
    <row r="47">
      <c r="A47" s="142">
        <v>32964.0</v>
      </c>
      <c r="B47" s="144"/>
      <c r="C47" s="116" t="str">
        <f t="shared" si="1"/>
        <v>setlist</v>
      </c>
      <c r="D47" s="118" t="s">
        <v>484</v>
      </c>
      <c r="E47" s="118" t="s">
        <v>485</v>
      </c>
      <c r="F47" s="115" t="s">
        <v>486</v>
      </c>
      <c r="G47" s="144"/>
      <c r="H47" s="185"/>
      <c r="I47" s="146"/>
      <c r="J47" s="146"/>
    </row>
    <row r="48">
      <c r="A48" s="130">
        <v>32967.0</v>
      </c>
      <c r="B48" s="133" t="s">
        <v>32</v>
      </c>
      <c r="C48" s="105" t="str">
        <f t="shared" si="1"/>
        <v>setlist</v>
      </c>
      <c r="D48" s="140" t="s">
        <v>487</v>
      </c>
      <c r="E48" s="132" t="s">
        <v>488</v>
      </c>
      <c r="F48" s="133" t="s">
        <v>203</v>
      </c>
      <c r="G48" s="133" t="s">
        <v>36</v>
      </c>
      <c r="H48" s="105" t="str">
        <f>HYPERLINK("http://www.mediafire.com/download/qfi1l0zcx8k2y9f/1990-04-04_-_Quigley%27s%2C_University_of_Colorado_-_Boulder%2C_CO.rar", "download link")</f>
        <v>download link</v>
      </c>
      <c r="I48" s="134" t="s">
        <v>23</v>
      </c>
      <c r="J48" s="109"/>
    </row>
    <row r="49">
      <c r="A49" s="142">
        <v>32968.0</v>
      </c>
      <c r="B49" s="115" t="s">
        <v>32</v>
      </c>
      <c r="C49" s="116" t="str">
        <f t="shared" si="1"/>
        <v>setlist</v>
      </c>
      <c r="D49" s="118" t="s">
        <v>489</v>
      </c>
      <c r="E49" s="118" t="s">
        <v>488</v>
      </c>
      <c r="F49" s="115" t="s">
        <v>203</v>
      </c>
      <c r="G49" s="115" t="s">
        <v>36</v>
      </c>
      <c r="H49" s="116" t="str">
        <f>HYPERLINK("http://www.mediafire.com/download/q7ru35r1wq5pglg/1990-04-05_-_J.J._McCabe%27s_-_Boulder%2C_CO.rar", "download link")</f>
        <v>download link</v>
      </c>
      <c r="I49" s="117" t="s">
        <v>158</v>
      </c>
      <c r="J49" s="146"/>
    </row>
    <row r="50">
      <c r="A50" s="103">
        <v>32969.0</v>
      </c>
      <c r="B50" s="107" t="s">
        <v>32</v>
      </c>
      <c r="C50" s="105" t="str">
        <f t="shared" si="1"/>
        <v>setlist</v>
      </c>
      <c r="D50" s="106" t="s">
        <v>490</v>
      </c>
      <c r="E50" s="106" t="s">
        <v>491</v>
      </c>
      <c r="F50" s="107" t="s">
        <v>203</v>
      </c>
      <c r="G50" s="107" t="s">
        <v>36</v>
      </c>
      <c r="H50" s="105" t="str">
        <f>HYPERLINK("http://www.mediafire.com/download/85ak8hp927uya6l/1990-04-06_-_El_Dorado_Cafe_-_Crested_Butte%2C_CO.rar", "download link")</f>
        <v>download link</v>
      </c>
      <c r="I50" s="134" t="s">
        <v>492</v>
      </c>
      <c r="J50" s="109"/>
    </row>
    <row r="51">
      <c r="A51" s="142">
        <v>32970.0</v>
      </c>
      <c r="B51" s="115" t="s">
        <v>32</v>
      </c>
      <c r="C51" s="116" t="str">
        <f t="shared" si="1"/>
        <v>setlist</v>
      </c>
      <c r="D51" s="118" t="s">
        <v>490</v>
      </c>
      <c r="E51" s="118" t="s">
        <v>491</v>
      </c>
      <c r="F51" s="115" t="s">
        <v>203</v>
      </c>
      <c r="G51" s="115" t="s">
        <v>36</v>
      </c>
      <c r="H51" s="116" t="str">
        <f>HYPERLINK("http://www.mediafire.com/download/6jdp4tkgewc4og7/1990-04-07_-_El_Dorado_Cafe_-_Crested_Butte%2C_CO.rar", "download link")</f>
        <v>download link</v>
      </c>
      <c r="I51" s="117" t="s">
        <v>492</v>
      </c>
      <c r="J51" s="118" t="s">
        <v>493</v>
      </c>
    </row>
    <row r="52">
      <c r="A52" s="103">
        <v>32971.0</v>
      </c>
      <c r="B52" s="141" t="s">
        <v>32</v>
      </c>
      <c r="C52" s="105" t="str">
        <f t="shared" si="1"/>
        <v>setlist</v>
      </c>
      <c r="D52" s="106" t="s">
        <v>204</v>
      </c>
      <c r="E52" s="106" t="s">
        <v>202</v>
      </c>
      <c r="F52" s="107" t="s">
        <v>203</v>
      </c>
      <c r="G52" s="141" t="s">
        <v>36</v>
      </c>
      <c r="H52" s="105" t="str">
        <f>HYPERLINK("http://www.mediafire.com/file/kwl94y79995yfcv/1990-04-08_-_Fly_Me_to_the_Moon_Saloon_-_Telluride%2C_CO.rar", "download link")</f>
        <v>download link</v>
      </c>
      <c r="I52" s="134" t="s">
        <v>23</v>
      </c>
      <c r="J52" s="134" t="s">
        <v>494</v>
      </c>
    </row>
    <row r="53">
      <c r="A53" s="150">
        <v>32972.0</v>
      </c>
      <c r="B53" s="151" t="s">
        <v>32</v>
      </c>
      <c r="C53" s="116" t="str">
        <f t="shared" si="1"/>
        <v>setlist</v>
      </c>
      <c r="D53" s="153" t="s">
        <v>204</v>
      </c>
      <c r="E53" s="153" t="s">
        <v>202</v>
      </c>
      <c r="F53" s="151" t="s">
        <v>203</v>
      </c>
      <c r="G53" s="151" t="s">
        <v>36</v>
      </c>
      <c r="H53" s="116" t="str">
        <f>HYPERLINK("https://www.mediafire.com/file/s86dndxaj9n6g7o/1990-04-09_-_Fly_Me_to_the_Moon_Saloon_-_Telluride%252C_CO.rar/file", "download link")</f>
        <v>download link</v>
      </c>
      <c r="I53" s="117" t="s">
        <v>385</v>
      </c>
      <c r="J53" s="117" t="s">
        <v>495</v>
      </c>
    </row>
    <row r="54">
      <c r="A54" s="103">
        <v>32975.0</v>
      </c>
      <c r="B54" s="104"/>
      <c r="C54" s="105" t="str">
        <f t="shared" si="1"/>
        <v>setlist</v>
      </c>
      <c r="D54" s="106" t="s">
        <v>496</v>
      </c>
      <c r="E54" s="106" t="s">
        <v>497</v>
      </c>
      <c r="F54" s="107" t="s">
        <v>203</v>
      </c>
      <c r="G54" s="104"/>
      <c r="H54" s="182"/>
      <c r="I54" s="109"/>
      <c r="J54" s="109"/>
    </row>
    <row r="55">
      <c r="A55" s="142">
        <v>32976.0</v>
      </c>
      <c r="B55" s="144"/>
      <c r="C55" s="116" t="str">
        <f t="shared" si="1"/>
        <v>setlist</v>
      </c>
      <c r="D55" s="118" t="s">
        <v>496</v>
      </c>
      <c r="E55" s="118" t="s">
        <v>497</v>
      </c>
      <c r="F55" s="115" t="s">
        <v>203</v>
      </c>
      <c r="G55" s="144"/>
      <c r="H55" s="185"/>
      <c r="I55" s="146"/>
      <c r="J55" s="146"/>
    </row>
    <row r="56">
      <c r="A56" s="103">
        <v>32977.0</v>
      </c>
      <c r="B56" s="104"/>
      <c r="C56" s="105" t="str">
        <f t="shared" si="1"/>
        <v>setlist</v>
      </c>
      <c r="D56" s="106" t="s">
        <v>496</v>
      </c>
      <c r="E56" s="106" t="s">
        <v>497</v>
      </c>
      <c r="F56" s="107" t="s">
        <v>203</v>
      </c>
      <c r="G56" s="104"/>
      <c r="H56" s="182"/>
      <c r="I56" s="109"/>
      <c r="J56" s="109"/>
    </row>
    <row r="57">
      <c r="A57" s="142">
        <v>32981.0</v>
      </c>
      <c r="B57" s="115" t="s">
        <v>32</v>
      </c>
      <c r="C57" s="116" t="str">
        <f t="shared" si="1"/>
        <v>setlist</v>
      </c>
      <c r="D57" s="118" t="s">
        <v>498</v>
      </c>
      <c r="E57" s="118" t="s">
        <v>499</v>
      </c>
      <c r="F57" s="115" t="s">
        <v>203</v>
      </c>
      <c r="G57" s="115" t="s">
        <v>36</v>
      </c>
      <c r="H57" s="116" t="str">
        <f>HYPERLINK("http://www.mediafire.com/download/05if1isjp7a37vv/1990-04-18_-_Herman%27s_Hideaway_-_Denver%2C_CO.rar", "download link")</f>
        <v>download link</v>
      </c>
      <c r="I57" s="117" t="s">
        <v>158</v>
      </c>
      <c r="J57" s="146"/>
    </row>
    <row r="58">
      <c r="A58" s="103">
        <v>32982.0</v>
      </c>
      <c r="B58" s="104"/>
      <c r="C58" s="105" t="str">
        <f t="shared" si="1"/>
        <v>setlist</v>
      </c>
      <c r="D58" s="106" t="s">
        <v>500</v>
      </c>
      <c r="E58" s="106" t="s">
        <v>488</v>
      </c>
      <c r="F58" s="107" t="s">
        <v>203</v>
      </c>
      <c r="G58" s="104"/>
      <c r="H58" s="182"/>
      <c r="I58" s="109"/>
      <c r="J58" s="109"/>
    </row>
    <row r="59">
      <c r="A59" s="142">
        <v>32983.0</v>
      </c>
      <c r="B59" s="115" t="s">
        <v>32</v>
      </c>
      <c r="C59" s="116" t="str">
        <f t="shared" si="1"/>
        <v>setlist</v>
      </c>
      <c r="D59" s="117" t="s">
        <v>501</v>
      </c>
      <c r="E59" s="118" t="s">
        <v>502</v>
      </c>
      <c r="F59" s="115" t="s">
        <v>203</v>
      </c>
      <c r="G59" s="115" t="s">
        <v>36</v>
      </c>
      <c r="H59" s="116" t="str">
        <f>HYPERLINK("http://www.mediafire.com/download/57vwc8yjjkimdux/1990-04-20_-_Ramskeller%2C_Colorado_State_University_-_Fort_Collins%2C_CO.rar", "download link")</f>
        <v>download link</v>
      </c>
      <c r="I59" s="117" t="s">
        <v>122</v>
      </c>
      <c r="J59" s="146"/>
    </row>
    <row r="60">
      <c r="A60" s="103">
        <v>32984.0</v>
      </c>
      <c r="B60" s="107" t="s">
        <v>32</v>
      </c>
      <c r="C60" s="105" t="str">
        <f t="shared" si="1"/>
        <v>setlist</v>
      </c>
      <c r="D60" s="106" t="s">
        <v>503</v>
      </c>
      <c r="E60" s="106" t="s">
        <v>502</v>
      </c>
      <c r="F60" s="107" t="s">
        <v>203</v>
      </c>
      <c r="G60" s="107" t="s">
        <v>36</v>
      </c>
      <c r="H60" s="105" t="str">
        <f>HYPERLINK("http://www.mediafire.com/download/bd2377314op9dib/1990-04-21_-_Canyon_West_Room%2C_Lincoln_Center_-_Fort_Collins%2C_CO.rar", "download link")</f>
        <v>download link</v>
      </c>
      <c r="I60" s="134" t="s">
        <v>504</v>
      </c>
      <c r="J60" s="109"/>
    </row>
    <row r="61">
      <c r="A61" s="142">
        <v>32985.0</v>
      </c>
      <c r="B61" s="115" t="s">
        <v>32</v>
      </c>
      <c r="C61" s="116" t="str">
        <f t="shared" si="1"/>
        <v>setlist</v>
      </c>
      <c r="D61" s="118" t="s">
        <v>505</v>
      </c>
      <c r="E61" s="118" t="s">
        <v>506</v>
      </c>
      <c r="F61" s="115" t="s">
        <v>203</v>
      </c>
      <c r="G61" s="115" t="s">
        <v>36</v>
      </c>
      <c r="H61" s="116" t="str">
        <f>HYPERLINK("http://www.mediafire.com/download/ewpikebb26dyy71/1990-04-22_-_Cutler_Quad%2C_Colorado_College_-_Colorado_Springs%2C_CO.rar", "download link")</f>
        <v>download link</v>
      </c>
      <c r="I61" s="117" t="s">
        <v>23</v>
      </c>
      <c r="J61" s="146"/>
    </row>
    <row r="62">
      <c r="A62" s="103">
        <v>32987.0</v>
      </c>
      <c r="B62" s="104"/>
      <c r="C62" s="105" t="str">
        <f t="shared" si="1"/>
        <v>setlist</v>
      </c>
      <c r="D62" s="106" t="s">
        <v>507</v>
      </c>
      <c r="E62" s="106" t="s">
        <v>445</v>
      </c>
      <c r="F62" s="107" t="s">
        <v>508</v>
      </c>
      <c r="G62" s="104"/>
      <c r="H62" s="182"/>
      <c r="I62" s="109"/>
      <c r="J62" s="109"/>
    </row>
    <row r="63">
      <c r="A63" s="150">
        <v>32988.0</v>
      </c>
      <c r="B63" s="151" t="s">
        <v>32</v>
      </c>
      <c r="C63" s="116" t="str">
        <f t="shared" si="1"/>
        <v>setlist</v>
      </c>
      <c r="D63" s="152" t="s">
        <v>509</v>
      </c>
      <c r="E63" s="153" t="s">
        <v>510</v>
      </c>
      <c r="F63" s="151" t="s">
        <v>508</v>
      </c>
      <c r="G63" s="151" t="s">
        <v>36</v>
      </c>
      <c r="H63" s="116" t="str">
        <f>HYPERLINK("http://www.mediafire.com/download/yccurjvcl958tyk/1990-04-25_-_The_Clarke_Memorial_Fountain%2C_Notre_Dame_University_-_South_Bend%2C_IN.rar", "download link")</f>
        <v>download link</v>
      </c>
      <c r="I63" s="117" t="s">
        <v>511</v>
      </c>
      <c r="J63" s="117" t="s">
        <v>512</v>
      </c>
    </row>
    <row r="64">
      <c r="A64" s="130">
        <v>32989.0</v>
      </c>
      <c r="B64" s="133" t="s">
        <v>32</v>
      </c>
      <c r="C64" s="105" t="str">
        <f t="shared" si="1"/>
        <v>setlist</v>
      </c>
      <c r="D64" s="140" t="s">
        <v>513</v>
      </c>
      <c r="E64" s="132" t="s">
        <v>514</v>
      </c>
      <c r="F64" s="133" t="s">
        <v>472</v>
      </c>
      <c r="G64" s="133" t="s">
        <v>36</v>
      </c>
      <c r="H64" s="105" t="str">
        <f>HYPERLINK("http://www.mediafire.com/download/54rzddyw2gudehk/1990-04-26_-_Dionysus_Club%2C_The_%27Sco%2C_Oberlin_College_-_Oberlin%2C_OH.rar", "download link")</f>
        <v>download link</v>
      </c>
      <c r="I64" s="134" t="s">
        <v>122</v>
      </c>
      <c r="J64" s="106" t="s">
        <v>515</v>
      </c>
    </row>
    <row r="65">
      <c r="A65" s="150">
        <v>32991.0</v>
      </c>
      <c r="B65" s="156"/>
      <c r="C65" s="116" t="str">
        <f t="shared" si="1"/>
        <v>setlist</v>
      </c>
      <c r="D65" s="152" t="s">
        <v>516</v>
      </c>
      <c r="E65" s="153" t="s">
        <v>94</v>
      </c>
      <c r="F65" s="151" t="s">
        <v>95</v>
      </c>
      <c r="G65" s="151" t="s">
        <v>36</v>
      </c>
      <c r="H65" s="116" t="str">
        <f>HYPERLINK("http://www.mediafire.com/download/bb8et88daxaghyz/1990-04-28_-_The_Strand_Theater_-_Dorchester%2C_MA.rar", "download link")</f>
        <v>download link</v>
      </c>
      <c r="I65" s="117" t="s">
        <v>517</v>
      </c>
      <c r="J65" s="117" t="s">
        <v>117</v>
      </c>
    </row>
    <row r="66">
      <c r="A66" s="130">
        <v>32992.0</v>
      </c>
      <c r="B66" s="131"/>
      <c r="C66" s="105" t="str">
        <f t="shared" si="1"/>
        <v>setlist</v>
      </c>
      <c r="D66" s="140" t="s">
        <v>518</v>
      </c>
      <c r="E66" s="132" t="s">
        <v>519</v>
      </c>
      <c r="F66" s="133" t="s">
        <v>171</v>
      </c>
      <c r="G66" s="133" t="s">
        <v>36</v>
      </c>
      <c r="H66" s="105" t="str">
        <f>HYPERLINK("http://www.mediafire.com/download/jw0r385585wlr5i/1990-04-29_-_Woodbury_Ski_%26_Racquet_Club_-_Woodbury%2C_CT.rar", "download link")</f>
        <v>download link</v>
      </c>
      <c r="I66" s="134" t="s">
        <v>520</v>
      </c>
      <c r="J66" s="106" t="s">
        <v>521</v>
      </c>
    </row>
    <row r="67">
      <c r="A67" s="142">
        <v>32996.0</v>
      </c>
      <c r="B67" s="144"/>
      <c r="C67" s="116" t="str">
        <f t="shared" si="1"/>
        <v>setlist</v>
      </c>
      <c r="D67" s="118" t="s">
        <v>522</v>
      </c>
      <c r="E67" s="118" t="s">
        <v>400</v>
      </c>
      <c r="F67" s="115" t="s">
        <v>35</v>
      </c>
      <c r="G67" s="144"/>
      <c r="H67" s="185"/>
      <c r="I67" s="146"/>
      <c r="J67" s="146"/>
    </row>
    <row r="68">
      <c r="A68" s="103">
        <v>32997.0</v>
      </c>
      <c r="B68" s="107" t="s">
        <v>32</v>
      </c>
      <c r="C68" s="105" t="str">
        <f t="shared" si="1"/>
        <v>setlist</v>
      </c>
      <c r="D68" s="134" t="s">
        <v>523</v>
      </c>
      <c r="E68" s="106" t="s">
        <v>367</v>
      </c>
      <c r="F68" s="107" t="s">
        <v>182</v>
      </c>
      <c r="G68" s="107" t="s">
        <v>36</v>
      </c>
      <c r="H68" s="105" t="str">
        <f>HYPERLINK("http://www.mediafire.com/download/ckgekwcdomcg8jx/1990-05-04_-_The_Colonial_Theatre_-_Keene%2C_NH.rar", "download link")</f>
        <v>download link</v>
      </c>
      <c r="I68" s="134" t="s">
        <v>524</v>
      </c>
      <c r="J68" s="106" t="s">
        <v>287</v>
      </c>
    </row>
    <row r="69">
      <c r="A69" s="142">
        <v>32998.0</v>
      </c>
      <c r="B69" s="144"/>
      <c r="C69" s="116" t="str">
        <f t="shared" si="1"/>
        <v>setlist</v>
      </c>
      <c r="D69" s="118" t="s">
        <v>452</v>
      </c>
      <c r="E69" s="118" t="s">
        <v>453</v>
      </c>
      <c r="F69" s="115" t="s">
        <v>212</v>
      </c>
      <c r="G69" s="144"/>
      <c r="H69" s="145"/>
      <c r="I69" s="146"/>
      <c r="J69" s="146"/>
    </row>
    <row r="70">
      <c r="A70" s="103">
        <v>32999.0</v>
      </c>
      <c r="B70" s="107" t="s">
        <v>32</v>
      </c>
      <c r="C70" s="105" t="str">
        <f t="shared" si="1"/>
        <v>setlist</v>
      </c>
      <c r="D70" s="106" t="s">
        <v>458</v>
      </c>
      <c r="E70" s="106" t="s">
        <v>459</v>
      </c>
      <c r="F70" s="107" t="s">
        <v>171</v>
      </c>
      <c r="G70" s="107" t="s">
        <v>36</v>
      </c>
      <c r="H70" s="105" t="str">
        <f>HYPERLINK("http://www.mediafire.com/download/g6nf5ib5r6t2xzg/1990-05-06_-_Toad%27s_Place_-_New_Haven%2C_CT.rar", "download link")</f>
        <v>download link</v>
      </c>
      <c r="I70" s="134" t="s">
        <v>449</v>
      </c>
      <c r="J70" s="109"/>
    </row>
    <row r="71">
      <c r="A71" s="142">
        <v>33000.0</v>
      </c>
      <c r="B71" s="144"/>
      <c r="C71" s="116" t="str">
        <f t="shared" si="1"/>
        <v>setlist</v>
      </c>
      <c r="D71" s="118" t="s">
        <v>167</v>
      </c>
      <c r="E71" s="118" t="s">
        <v>168</v>
      </c>
      <c r="F71" s="115" t="s">
        <v>129</v>
      </c>
      <c r="G71" s="115" t="s">
        <v>36</v>
      </c>
      <c r="H71" s="116" t="str">
        <f>HYPERLINK("http://www.mediafire.com/download/7n9nxcz6636paqx/1990-05-07_-_The_Haunt_-_Ithaca%2C_NY.rar", "download link")</f>
        <v>download link</v>
      </c>
      <c r="I71" s="117" t="s">
        <v>525</v>
      </c>
      <c r="J71" s="118" t="s">
        <v>319</v>
      </c>
    </row>
    <row r="72">
      <c r="A72" s="103">
        <v>33002.0</v>
      </c>
      <c r="B72" s="104"/>
      <c r="C72" s="105" t="str">
        <f t="shared" si="1"/>
        <v>setlist</v>
      </c>
      <c r="D72" s="106" t="s">
        <v>526</v>
      </c>
      <c r="E72" s="106" t="s">
        <v>279</v>
      </c>
      <c r="F72" s="107" t="s">
        <v>257</v>
      </c>
      <c r="G72" s="104"/>
      <c r="H72" s="182"/>
      <c r="I72" s="109"/>
      <c r="J72" s="109"/>
    </row>
    <row r="73">
      <c r="A73" s="142">
        <v>33003.0</v>
      </c>
      <c r="B73" s="115" t="s">
        <v>32</v>
      </c>
      <c r="C73" s="116" t="str">
        <f t="shared" si="1"/>
        <v>setlist</v>
      </c>
      <c r="D73" s="118" t="s">
        <v>301</v>
      </c>
      <c r="E73" s="118" t="s">
        <v>247</v>
      </c>
      <c r="F73" s="115" t="s">
        <v>95</v>
      </c>
      <c r="G73" s="115" t="s">
        <v>36</v>
      </c>
      <c r="H73" s="116" t="str">
        <f>HYPERLINK("http://www.mediafire.com/download/il4ie2bapa21bix/1990-05-10_-_Pearl_Street_Ballroom_-_Northampton%2C_MA.rar", "download link")</f>
        <v>download link</v>
      </c>
      <c r="I73" s="117" t="s">
        <v>451</v>
      </c>
      <c r="J73" s="146"/>
    </row>
    <row r="74">
      <c r="A74" s="103">
        <v>33004.0</v>
      </c>
      <c r="B74" s="104"/>
      <c r="C74" s="105" t="str">
        <f t="shared" si="1"/>
        <v>setlist</v>
      </c>
      <c r="D74" s="106" t="s">
        <v>296</v>
      </c>
      <c r="E74" s="106" t="s">
        <v>297</v>
      </c>
      <c r="F74" s="107" t="s">
        <v>298</v>
      </c>
      <c r="G74" s="107" t="s">
        <v>36</v>
      </c>
      <c r="H74" s="105" t="str">
        <f>HYPERLINK("http://www.mediafire.com/download/juh1izj5p7z719a/1990-05-11_-_The_Living_Room_-_Providence%2C_RI.rar", "download link")</f>
        <v>download link</v>
      </c>
      <c r="I74" s="134" t="s">
        <v>527</v>
      </c>
      <c r="J74" s="109"/>
    </row>
    <row r="75">
      <c r="A75" s="142">
        <v>33005.0</v>
      </c>
      <c r="B75" s="144"/>
      <c r="C75" s="116" t="str">
        <f t="shared" si="1"/>
        <v>setlist</v>
      </c>
      <c r="D75" s="118" t="s">
        <v>178</v>
      </c>
      <c r="E75" s="118" t="s">
        <v>34</v>
      </c>
      <c r="F75" s="115" t="s">
        <v>35</v>
      </c>
      <c r="G75" s="144"/>
      <c r="H75" s="185"/>
      <c r="I75" s="146"/>
      <c r="J75" s="146"/>
    </row>
    <row r="76">
      <c r="A76" s="103">
        <v>33006.0</v>
      </c>
      <c r="B76" s="107" t="s">
        <v>32</v>
      </c>
      <c r="C76" s="105" t="str">
        <f t="shared" si="1"/>
        <v>setlist</v>
      </c>
      <c r="D76" s="106" t="s">
        <v>178</v>
      </c>
      <c r="E76" s="106" t="s">
        <v>34</v>
      </c>
      <c r="F76" s="107" t="s">
        <v>35</v>
      </c>
      <c r="G76" s="107" t="s">
        <v>36</v>
      </c>
      <c r="H76" s="105" t="str">
        <f>HYPERLINK("http://www.mediafire.com/download/s65xcs3ydx9yu53/1990-05-13_-_The_Front_-_Burlington%2C_VT.rar", "download link")</f>
        <v>download link</v>
      </c>
      <c r="I76" s="134" t="s">
        <v>205</v>
      </c>
      <c r="J76" s="109"/>
    </row>
    <row r="77">
      <c r="A77" s="150">
        <v>33008.0</v>
      </c>
      <c r="B77" s="151" t="s">
        <v>32</v>
      </c>
      <c r="C77" s="116" t="str">
        <f t="shared" si="1"/>
        <v>setlist</v>
      </c>
      <c r="D77" s="152" t="s">
        <v>239</v>
      </c>
      <c r="E77" s="153" t="s">
        <v>240</v>
      </c>
      <c r="F77" s="151" t="s">
        <v>129</v>
      </c>
      <c r="G77" s="151" t="s">
        <v>36</v>
      </c>
      <c r="H77" s="116" t="str">
        <f>HYPERLINK("http://www.mediafire.com/download/l2vfk52f34r87dd/1990-05-15_-_Hamilton_College_-_Clinton%2C_NY.rar", "download link")</f>
        <v>download link</v>
      </c>
      <c r="I77" s="117" t="s">
        <v>528</v>
      </c>
      <c r="J77" s="117" t="s">
        <v>529</v>
      </c>
    </row>
    <row r="78">
      <c r="A78" s="103">
        <v>33012.0</v>
      </c>
      <c r="B78" s="107" t="s">
        <v>32</v>
      </c>
      <c r="C78" s="105" t="str">
        <f t="shared" si="1"/>
        <v>setlist</v>
      </c>
      <c r="D78" s="134" t="s">
        <v>530</v>
      </c>
      <c r="E78" s="106" t="s">
        <v>531</v>
      </c>
      <c r="F78" s="107" t="s">
        <v>182</v>
      </c>
      <c r="G78" s="107" t="s">
        <v>36</v>
      </c>
      <c r="H78" s="105" t="str">
        <f>HYPERLINK("http://www.mediafire.com/download/k4r2u3771x3lw6f/1990-05-19_-_The_Upper%2C_St._Paul%27s_School_-_Concord%2C_NH.rar", "download link")</f>
        <v>download link</v>
      </c>
      <c r="I78" s="134" t="s">
        <v>532</v>
      </c>
      <c r="J78" s="109"/>
    </row>
    <row r="79">
      <c r="A79" s="142">
        <v>33016.0</v>
      </c>
      <c r="B79" s="115" t="s">
        <v>32</v>
      </c>
      <c r="C79" s="116" t="str">
        <f t="shared" si="1"/>
        <v>setlist</v>
      </c>
      <c r="D79" s="118" t="s">
        <v>533</v>
      </c>
      <c r="E79" s="118" t="s">
        <v>445</v>
      </c>
      <c r="F79" s="115" t="s">
        <v>446</v>
      </c>
      <c r="G79" s="115" t="s">
        <v>36</v>
      </c>
      <c r="H79" s="116" t="str">
        <f>HYPERLINK("http://www.mediafire.com/download/ggf45xbduum6ssd/1990-05-23_-_The_Library_-_Richmond%2C_VA.rar", "download link")</f>
        <v>download link</v>
      </c>
      <c r="I79" s="117" t="s">
        <v>534</v>
      </c>
      <c r="J79" s="146"/>
    </row>
    <row r="80">
      <c r="A80" s="103">
        <v>33017.0</v>
      </c>
      <c r="B80" s="107" t="s">
        <v>32</v>
      </c>
      <c r="C80" s="105" t="str">
        <f t="shared" si="1"/>
        <v>setlist</v>
      </c>
      <c r="D80" s="106" t="s">
        <v>535</v>
      </c>
      <c r="E80" s="106" t="s">
        <v>536</v>
      </c>
      <c r="F80" s="107" t="s">
        <v>443</v>
      </c>
      <c r="G80" s="107" t="s">
        <v>36</v>
      </c>
      <c r="H80" s="105" t="str">
        <f>HYPERLINK("http://www.mediafire.com/download/70m4qm3u4ksknbw/1990-05-24_-_The_Brewery_-_Raleigh%2C_NC.rar", "download link")</f>
        <v>download link</v>
      </c>
      <c r="I80" s="134" t="s">
        <v>158</v>
      </c>
      <c r="J80" s="109"/>
    </row>
    <row r="81">
      <c r="A81" s="142">
        <v>33018.0</v>
      </c>
      <c r="B81" s="144"/>
      <c r="C81" s="116" t="str">
        <f t="shared" si="1"/>
        <v>setlist</v>
      </c>
      <c r="D81" s="117" t="s">
        <v>537</v>
      </c>
      <c r="E81" s="118" t="s">
        <v>538</v>
      </c>
      <c r="F81" s="115" t="s">
        <v>430</v>
      </c>
      <c r="G81" s="144"/>
      <c r="H81" s="185"/>
      <c r="I81" s="146"/>
      <c r="J81" s="146"/>
    </row>
    <row r="82">
      <c r="A82" s="103">
        <v>33019.0</v>
      </c>
      <c r="B82" s="104"/>
      <c r="C82" s="105" t="str">
        <f t="shared" si="1"/>
        <v>setlist</v>
      </c>
      <c r="D82" s="134" t="s">
        <v>537</v>
      </c>
      <c r="E82" s="106" t="s">
        <v>538</v>
      </c>
      <c r="F82" s="107" t="s">
        <v>430</v>
      </c>
      <c r="G82" s="104"/>
      <c r="H82" s="182"/>
      <c r="I82" s="109"/>
      <c r="J82" s="109"/>
    </row>
    <row r="83">
      <c r="A83" s="142">
        <v>33021.0</v>
      </c>
      <c r="B83" s="144"/>
      <c r="C83" s="116" t="str">
        <f t="shared" si="1"/>
        <v>setlist</v>
      </c>
      <c r="D83" s="117" t="s">
        <v>539</v>
      </c>
      <c r="E83" s="118" t="s">
        <v>538</v>
      </c>
      <c r="F83" s="115" t="s">
        <v>430</v>
      </c>
      <c r="G83" s="144"/>
      <c r="H83" s="185"/>
      <c r="I83" s="146"/>
      <c r="J83" s="146"/>
    </row>
    <row r="84">
      <c r="A84" s="103">
        <v>33023.0</v>
      </c>
      <c r="B84" s="104"/>
      <c r="C84" s="105" t="str">
        <f t="shared" si="1"/>
        <v>setlist</v>
      </c>
      <c r="D84" s="106" t="s">
        <v>540</v>
      </c>
      <c r="E84" s="106" t="s">
        <v>541</v>
      </c>
      <c r="F84" s="107" t="s">
        <v>443</v>
      </c>
      <c r="G84" s="104"/>
      <c r="H84" s="182"/>
      <c r="I84" s="109"/>
      <c r="J84" s="109"/>
    </row>
    <row r="85">
      <c r="A85" s="142">
        <v>33024.0</v>
      </c>
      <c r="B85" s="144"/>
      <c r="C85" s="116" t="str">
        <f t="shared" si="1"/>
        <v>setlist</v>
      </c>
      <c r="D85" s="117" t="s">
        <v>431</v>
      </c>
      <c r="E85" s="118" t="s">
        <v>437</v>
      </c>
      <c r="F85" s="115" t="s">
        <v>433</v>
      </c>
      <c r="G85" s="115" t="s">
        <v>36</v>
      </c>
      <c r="H85" s="116" t="str">
        <f>HYPERLINK("http://www.mediafire.com/download/93tebi39mdk5atf/1990-05-31_-_The_Georgia_Theatre_-_Athens%2C_GA.rar", "download link")</f>
        <v>download link</v>
      </c>
      <c r="I85" s="117" t="s">
        <v>542</v>
      </c>
      <c r="J85" s="118" t="s">
        <v>515</v>
      </c>
    </row>
    <row r="86">
      <c r="A86" s="103">
        <v>33025.0</v>
      </c>
      <c r="B86" s="104"/>
      <c r="C86" s="105" t="str">
        <f t="shared" si="1"/>
        <v>setlist</v>
      </c>
      <c r="D86" s="134" t="s">
        <v>436</v>
      </c>
      <c r="E86" s="106" t="s">
        <v>437</v>
      </c>
      <c r="F86" s="107" t="s">
        <v>433</v>
      </c>
      <c r="G86" s="107" t="s">
        <v>36</v>
      </c>
      <c r="H86" s="105" t="str">
        <f>HYPERLINK("http://www.mediafire.com/download/u4di2bdcver5z8z/1990-06-01_-_The_Cotton_Club_-_Atlanta%2C_GA.rar", "download link")</f>
        <v>download link</v>
      </c>
      <c r="I86" s="134" t="s">
        <v>543</v>
      </c>
      <c r="J86" s="106" t="s">
        <v>111</v>
      </c>
    </row>
    <row r="87">
      <c r="A87" s="150">
        <v>33026.0</v>
      </c>
      <c r="B87" s="156"/>
      <c r="C87" s="116" t="str">
        <f t="shared" si="1"/>
        <v>setlist</v>
      </c>
      <c r="D87" s="153" t="s">
        <v>438</v>
      </c>
      <c r="E87" s="153" t="s">
        <v>439</v>
      </c>
      <c r="F87" s="151" t="s">
        <v>430</v>
      </c>
      <c r="G87" s="151" t="s">
        <v>36</v>
      </c>
      <c r="H87" s="116" t="str">
        <f>HYPERLINK("http://www.mediafire.com/download/e1e5e1rrlnvew1f/1990-06-02_-_Greenstreets_-_Columbia%2C_SC.rar", "download link")</f>
        <v>download link</v>
      </c>
      <c r="I87" s="117" t="s">
        <v>58</v>
      </c>
      <c r="J87" s="118" t="s">
        <v>544</v>
      </c>
    </row>
    <row r="88">
      <c r="A88" s="103">
        <v>33029.0</v>
      </c>
      <c r="B88" s="107" t="s">
        <v>32</v>
      </c>
      <c r="C88" s="105" t="str">
        <f t="shared" si="1"/>
        <v>setlist</v>
      </c>
      <c r="D88" s="106" t="s">
        <v>441</v>
      </c>
      <c r="E88" s="106" t="s">
        <v>545</v>
      </c>
      <c r="F88" s="107" t="s">
        <v>443</v>
      </c>
      <c r="G88" s="107" t="s">
        <v>36</v>
      </c>
      <c r="H88" s="105" t="str">
        <f>HYPERLINK("http://www.mediafire.com/download/bboa9il8x9x108a/1990-06-05_-_Cat%27s_Cradle_-_Chapel_Hill%2C_NC.rar", "download link")</f>
        <v>download link</v>
      </c>
      <c r="I88" s="134" t="s">
        <v>546</v>
      </c>
      <c r="J88" s="109"/>
    </row>
    <row r="89">
      <c r="A89" s="142">
        <v>33030.0</v>
      </c>
      <c r="B89" s="144"/>
      <c r="C89" s="116" t="str">
        <f t="shared" si="1"/>
        <v>setlist</v>
      </c>
      <c r="D89" s="118" t="s">
        <v>547</v>
      </c>
      <c r="E89" s="118" t="s">
        <v>548</v>
      </c>
      <c r="F89" s="115" t="s">
        <v>446</v>
      </c>
      <c r="G89" s="144"/>
      <c r="H89" s="185"/>
      <c r="I89" s="146"/>
      <c r="J89" s="146"/>
    </row>
    <row r="90">
      <c r="A90" s="103">
        <v>33031.0</v>
      </c>
      <c r="B90" s="104"/>
      <c r="C90" s="105" t="str">
        <f t="shared" si="1"/>
        <v>setlist</v>
      </c>
      <c r="D90" s="106" t="s">
        <v>455</v>
      </c>
      <c r="E90" s="106" t="s">
        <v>393</v>
      </c>
      <c r="F90" s="107" t="s">
        <v>394</v>
      </c>
      <c r="G90" s="107" t="s">
        <v>36</v>
      </c>
      <c r="H90" s="105" t="str">
        <f>HYPERLINK("http://www.mediafire.com/download/ifa8gz4eg3d2qp2/1990-06-07_-_The_Bayou_-_Washington%2C_DC.rar", "download link")</f>
        <v>download link</v>
      </c>
      <c r="I90" s="134" t="s">
        <v>543</v>
      </c>
      <c r="J90" s="109"/>
    </row>
    <row r="91">
      <c r="A91" s="142">
        <v>33032.0</v>
      </c>
      <c r="B91" s="115" t="s">
        <v>32</v>
      </c>
      <c r="C91" s="116" t="str">
        <f t="shared" si="1"/>
        <v>setlist</v>
      </c>
      <c r="D91" s="117" t="s">
        <v>386</v>
      </c>
      <c r="E91" s="118" t="s">
        <v>387</v>
      </c>
      <c r="F91" s="115" t="s">
        <v>212</v>
      </c>
      <c r="G91" s="115" t="s">
        <v>36</v>
      </c>
      <c r="H91" s="116" t="str">
        <f>HYPERLINK("http://www.mediafire.com/download/o857emyo1t2iywr/1990-06-08_-_23_East_Caberet_-_Ardmore%2C_PA.rar", "download link")</f>
        <v>download link</v>
      </c>
      <c r="I91" s="117" t="s">
        <v>549</v>
      </c>
      <c r="J91" s="146"/>
    </row>
    <row r="92">
      <c r="A92" s="103">
        <v>33033.0</v>
      </c>
      <c r="B92" s="107" t="s">
        <v>32</v>
      </c>
      <c r="C92" s="105" t="str">
        <f t="shared" si="1"/>
        <v>setlist</v>
      </c>
      <c r="D92" s="106" t="s">
        <v>271</v>
      </c>
      <c r="E92" s="106" t="s">
        <v>162</v>
      </c>
      <c r="F92" s="107" t="s">
        <v>129</v>
      </c>
      <c r="G92" s="107" t="s">
        <v>36</v>
      </c>
      <c r="H92" s="105" t="str">
        <f>HYPERLINK("http://www.mediafire.com/download/ask68fvh0rwrs4m/1990-06-09_-_The_Wetlands_Preserve_-_New_York%2C_NY.rar", "download link")</f>
        <v>download link</v>
      </c>
      <c r="I92" s="134" t="s">
        <v>550</v>
      </c>
      <c r="J92" s="109"/>
    </row>
    <row r="93">
      <c r="A93" s="142">
        <v>33040.0</v>
      </c>
      <c r="B93" s="144"/>
      <c r="C93" s="116" t="str">
        <f t="shared" si="1"/>
        <v>setlist</v>
      </c>
      <c r="D93" s="118" t="s">
        <v>349</v>
      </c>
      <c r="E93" s="118" t="s">
        <v>350</v>
      </c>
      <c r="F93" s="115" t="s">
        <v>35</v>
      </c>
      <c r="G93" s="115" t="s">
        <v>36</v>
      </c>
      <c r="H93" s="116" t="str">
        <f>HYPERLINK("http://www.mediafire.com/download/u47wc54x12a622c/1990-06-16_-_Townshend_Family_Park_-_Townshend%2C_VT.rar", "download link")</f>
        <v>download link</v>
      </c>
      <c r="I93" s="117" t="s">
        <v>293</v>
      </c>
      <c r="J93" s="146"/>
    </row>
    <row r="94">
      <c r="A94" s="103">
        <v>33041.0</v>
      </c>
      <c r="B94" s="107" t="s">
        <v>32</v>
      </c>
      <c r="C94" s="105" t="str">
        <f t="shared" si="1"/>
        <v>setlist</v>
      </c>
      <c r="D94" s="106" t="s">
        <v>551</v>
      </c>
      <c r="E94" s="106" t="s">
        <v>94</v>
      </c>
      <c r="F94" s="107" t="s">
        <v>95</v>
      </c>
      <c r="G94" s="107" t="s">
        <v>36</v>
      </c>
      <c r="H94" s="105" t="str">
        <f>HYPERLINK("http://www.mediafire.com/download/34qfo4r15n8bvw0/1990-06-17_-_Wendell_Studios_-_Boston%2C_MA.rar", "download link")</f>
        <v>download link</v>
      </c>
      <c r="I94" s="134" t="s">
        <v>552</v>
      </c>
      <c r="J94" s="109"/>
    </row>
    <row r="95">
      <c r="A95" s="142">
        <v>33062.0</v>
      </c>
      <c r="B95" s="144"/>
      <c r="C95" s="116" t="str">
        <f t="shared" si="1"/>
        <v>setlist</v>
      </c>
      <c r="D95" s="117" t="s">
        <v>553</v>
      </c>
      <c r="E95" s="117" t="s">
        <v>387</v>
      </c>
      <c r="F95" s="165" t="s">
        <v>212</v>
      </c>
      <c r="G95" s="144"/>
      <c r="H95" s="185"/>
      <c r="I95" s="146"/>
      <c r="J95" s="146"/>
    </row>
    <row r="96">
      <c r="A96" s="186">
        <v>33089.0</v>
      </c>
      <c r="B96" s="187"/>
      <c r="C96" s="123" t="str">
        <f t="shared" si="1"/>
        <v>setlist</v>
      </c>
      <c r="D96" s="122" t="s">
        <v>554</v>
      </c>
      <c r="E96" s="122" t="s">
        <v>174</v>
      </c>
      <c r="F96" s="120" t="s">
        <v>35</v>
      </c>
      <c r="G96" s="187"/>
      <c r="H96" s="188"/>
      <c r="I96" s="189"/>
      <c r="J96" s="189"/>
    </row>
    <row r="97">
      <c r="A97" s="92"/>
      <c r="B97" s="93"/>
      <c r="C97" s="94"/>
      <c r="D97" s="83" t="s">
        <v>555</v>
      </c>
      <c r="E97" s="95"/>
      <c r="F97" s="93"/>
      <c r="G97" s="93"/>
      <c r="H97" s="164"/>
      <c r="I97" s="95"/>
      <c r="J97" s="95"/>
    </row>
    <row r="98">
      <c r="A98" s="125">
        <v>33118.0</v>
      </c>
      <c r="B98" s="126"/>
      <c r="C98" s="178" t="str">
        <f t="shared" ref="C98:C151" si="2">HYPERLINK("http://www.phish.net/setlists/?d="&amp;RIGHT(TEXT(A98,"mm/dd/yyyy"),4)&amp;"-"&amp;LEFT(TEXT(A98,"mm/dd/yyyy"),2)&amp;"-"&amp;MID(TEXT(A98,"mm/dd/yyyy"),4,2), "setlist")</f>
        <v>setlist</v>
      </c>
      <c r="D98" s="102" t="s">
        <v>103</v>
      </c>
      <c r="E98" s="102" t="s">
        <v>104</v>
      </c>
      <c r="F98" s="127" t="s">
        <v>35</v>
      </c>
      <c r="G98" s="126"/>
      <c r="H98" s="180"/>
      <c r="I98" s="129"/>
      <c r="J98" s="129"/>
    </row>
    <row r="99">
      <c r="A99" s="103">
        <v>33129.0</v>
      </c>
      <c r="B99" s="107" t="s">
        <v>32</v>
      </c>
      <c r="C99" s="105" t="str">
        <f t="shared" si="2"/>
        <v>setlist</v>
      </c>
      <c r="D99" s="106" t="s">
        <v>271</v>
      </c>
      <c r="E99" s="106" t="s">
        <v>162</v>
      </c>
      <c r="F99" s="107" t="s">
        <v>129</v>
      </c>
      <c r="G99" s="107" t="s">
        <v>36</v>
      </c>
      <c r="H99" s="105" t="str">
        <f>HYPERLINK("http://www.mediafire.com/download/wanopvae3l4y7x5/1990-09-13_-_The_Wetlands_Preserve_-_New_York%2C_NY.rar", "download link")</f>
        <v>download link</v>
      </c>
      <c r="I99" s="134" t="s">
        <v>556</v>
      </c>
      <c r="J99" s="109"/>
    </row>
    <row r="100">
      <c r="A100" s="110">
        <v>33130.0</v>
      </c>
      <c r="B100" s="111"/>
      <c r="C100" s="116" t="str">
        <f t="shared" si="2"/>
        <v>setlist</v>
      </c>
      <c r="D100" s="113" t="s">
        <v>296</v>
      </c>
      <c r="E100" s="113" t="s">
        <v>297</v>
      </c>
      <c r="F100" s="114" t="s">
        <v>298</v>
      </c>
      <c r="G100" s="114" t="s">
        <v>36</v>
      </c>
      <c r="H100" s="135" t="str">
        <f>HYPERLINK("http://www.mediafire.com/download/t076cee22oa1oiv/1990-09-14_-_The_Living_Room_-_Providence%2C_RI.rar", "download link")</f>
        <v>download link</v>
      </c>
      <c r="I100" s="136" t="s">
        <v>557</v>
      </c>
      <c r="J100" s="80"/>
    </row>
    <row r="101">
      <c r="A101" s="103">
        <v>33131.0</v>
      </c>
      <c r="B101" s="104"/>
      <c r="C101" s="105" t="str">
        <f t="shared" si="2"/>
        <v>setlist</v>
      </c>
      <c r="D101" s="134" t="s">
        <v>523</v>
      </c>
      <c r="E101" s="106" t="s">
        <v>367</v>
      </c>
      <c r="F101" s="107" t="s">
        <v>182</v>
      </c>
      <c r="G101" s="107" t="s">
        <v>36</v>
      </c>
      <c r="H101" s="105" t="str">
        <f>HYPERLINK("http://www.mediafire.com/download/7xka8spqc1cc5fj/1990-09-15_-_The_Colonial_Theatre_-_Keene%2C_NH.rar", "download link")</f>
        <v>download link</v>
      </c>
      <c r="I101" s="134" t="s">
        <v>558</v>
      </c>
      <c r="J101" s="109"/>
    </row>
    <row r="102">
      <c r="A102" s="110">
        <v>33132.0</v>
      </c>
      <c r="B102" s="111"/>
      <c r="C102" s="116" t="str">
        <f t="shared" si="2"/>
        <v>setlist</v>
      </c>
      <c r="D102" s="113" t="s">
        <v>559</v>
      </c>
      <c r="E102" s="113" t="s">
        <v>560</v>
      </c>
      <c r="F102" s="114" t="s">
        <v>171</v>
      </c>
      <c r="G102" s="114" t="s">
        <v>36</v>
      </c>
      <c r="H102" s="135" t="str">
        <f>HYPERLINK("http://www.mediafire.com/download/8h79zuznzbnuzya/1990-09-16_-_Wesleyan_University_-_Middletown%2C_CT.rar", "download link")</f>
        <v>download link</v>
      </c>
      <c r="I102" s="136" t="s">
        <v>561</v>
      </c>
      <c r="J102" s="80"/>
    </row>
    <row r="103">
      <c r="A103" s="130">
        <v>33133.0</v>
      </c>
      <c r="B103" s="131"/>
      <c r="C103" s="105" t="str">
        <f t="shared" si="2"/>
        <v>setlist</v>
      </c>
      <c r="D103" s="132" t="s">
        <v>178</v>
      </c>
      <c r="E103" s="132" t="s">
        <v>34</v>
      </c>
      <c r="F103" s="133" t="s">
        <v>35</v>
      </c>
      <c r="G103" s="131"/>
      <c r="H103" s="108"/>
      <c r="I103" s="109"/>
      <c r="J103" s="109"/>
    </row>
    <row r="104">
      <c r="A104" s="110">
        <v>33134.0</v>
      </c>
      <c r="B104" s="111"/>
      <c r="C104" s="116" t="str">
        <f t="shared" si="2"/>
        <v>setlist</v>
      </c>
      <c r="D104" s="113" t="s">
        <v>178</v>
      </c>
      <c r="E104" s="113" t="s">
        <v>34</v>
      </c>
      <c r="F104" s="114" t="s">
        <v>35</v>
      </c>
      <c r="G104" s="111"/>
      <c r="H104" s="184"/>
      <c r="I104" s="80"/>
      <c r="J104" s="80"/>
    </row>
    <row r="105">
      <c r="A105" s="103">
        <v>33136.0</v>
      </c>
      <c r="B105" s="104"/>
      <c r="C105" s="105" t="str">
        <f t="shared" si="2"/>
        <v>setlist</v>
      </c>
      <c r="D105" s="106" t="s">
        <v>562</v>
      </c>
      <c r="E105" s="106" t="s">
        <v>290</v>
      </c>
      <c r="F105" s="107" t="s">
        <v>95</v>
      </c>
      <c r="G105" s="107" t="s">
        <v>36</v>
      </c>
      <c r="H105" s="105" t="str">
        <f>HYPERLINK("http://www.mediafire.com/download/uy0vlvhfes5ea2h/1990-09-20_-_Somerville_Theatre_-_Somerville%2C_MA.rar", "download link")</f>
        <v>download link</v>
      </c>
      <c r="I105" s="134" t="s">
        <v>527</v>
      </c>
      <c r="J105" s="109"/>
    </row>
    <row r="106">
      <c r="A106" s="110">
        <v>33137.0</v>
      </c>
      <c r="B106" s="111"/>
      <c r="C106" s="116" t="str">
        <f t="shared" si="2"/>
        <v>setlist</v>
      </c>
      <c r="D106" s="113" t="s">
        <v>562</v>
      </c>
      <c r="E106" s="113" t="s">
        <v>290</v>
      </c>
      <c r="F106" s="114" t="s">
        <v>95</v>
      </c>
      <c r="G106" s="114" t="s">
        <v>36</v>
      </c>
      <c r="H106" s="135" t="str">
        <f>HYPERLINK("http://www.mediafire.com/download/xr9cx7pbykww6pw/1990-09-21_-_Somerville_Theatre_-_Somerville%2C_MA.rar", "download link")</f>
        <v>download link</v>
      </c>
      <c r="I106" s="136" t="s">
        <v>527</v>
      </c>
      <c r="J106" s="80"/>
    </row>
    <row r="107">
      <c r="A107" s="103">
        <v>33138.0</v>
      </c>
      <c r="B107" s="104"/>
      <c r="C107" s="105" t="str">
        <f t="shared" si="2"/>
        <v>setlist</v>
      </c>
      <c r="D107" s="106" t="s">
        <v>266</v>
      </c>
      <c r="E107" s="106" t="s">
        <v>164</v>
      </c>
      <c r="F107" s="107" t="s">
        <v>95</v>
      </c>
      <c r="G107" s="107" t="s">
        <v>36</v>
      </c>
      <c r="H107" s="105" t="str">
        <f>HYPERLINK("http://www.mediafire.com/download/pcva9ek7qvkjn94/1990-09-22_-_Student_Union_Ballroom%2C_University_of_Massachusetts_-_Amherst%2C_MA.rar", "download link")</f>
        <v>download link</v>
      </c>
      <c r="I107" s="134" t="s">
        <v>527</v>
      </c>
      <c r="J107" s="109"/>
    </row>
    <row r="108">
      <c r="A108" s="110">
        <v>33143.0</v>
      </c>
      <c r="B108" s="111"/>
      <c r="C108" s="116" t="str">
        <f t="shared" si="2"/>
        <v>setlist</v>
      </c>
      <c r="D108" s="113" t="s">
        <v>178</v>
      </c>
      <c r="E108" s="113" t="s">
        <v>34</v>
      </c>
      <c r="F108" s="114" t="s">
        <v>35</v>
      </c>
      <c r="G108" s="111"/>
      <c r="H108" s="184"/>
      <c r="I108" s="80"/>
      <c r="J108" s="80"/>
    </row>
    <row r="109">
      <c r="A109" s="103">
        <v>33144.0</v>
      </c>
      <c r="B109" s="104"/>
      <c r="C109" s="105" t="str">
        <f t="shared" si="2"/>
        <v>setlist</v>
      </c>
      <c r="D109" s="106" t="s">
        <v>375</v>
      </c>
      <c r="E109" s="106" t="s">
        <v>376</v>
      </c>
      <c r="F109" s="107" t="s">
        <v>129</v>
      </c>
      <c r="G109" s="107" t="s">
        <v>36</v>
      </c>
      <c r="H109" s="105" t="str">
        <f>HYPERLINK("http://www.mediafire.com/download/dg5q8sez3idoym4/1990-09-28_-_The_Chance_-_Poughkeepsie%2C_NY.rar", "download link")</f>
        <v>download link</v>
      </c>
      <c r="I109" s="134" t="s">
        <v>563</v>
      </c>
      <c r="J109" s="109"/>
    </row>
    <row r="110">
      <c r="A110" s="142">
        <v>33145.0</v>
      </c>
      <c r="B110" s="115" t="s">
        <v>32</v>
      </c>
      <c r="C110" s="116" t="str">
        <f t="shared" si="2"/>
        <v>setlist</v>
      </c>
      <c r="D110" s="117" t="s">
        <v>386</v>
      </c>
      <c r="E110" s="118" t="s">
        <v>387</v>
      </c>
      <c r="F110" s="115" t="s">
        <v>212</v>
      </c>
      <c r="G110" s="115" t="s">
        <v>36</v>
      </c>
      <c r="H110" s="116" t="str">
        <f>HYPERLINK("http://www.mediafire.com/download/uxg2bkhgvy5rcxe/1990-09-29_-_23_East_Caberet_-_Ardmore%2C_PA.rar", "download link")</f>
        <v>download link</v>
      </c>
      <c r="I110" s="117" t="s">
        <v>564</v>
      </c>
      <c r="J110" s="146"/>
    </row>
    <row r="111">
      <c r="A111" s="103">
        <v>33146.0</v>
      </c>
      <c r="B111" s="104"/>
      <c r="C111" s="105" t="str">
        <f t="shared" si="2"/>
        <v>setlist</v>
      </c>
      <c r="D111" s="134" t="s">
        <v>484</v>
      </c>
      <c r="E111" s="106" t="s">
        <v>565</v>
      </c>
      <c r="F111" s="107" t="s">
        <v>129</v>
      </c>
      <c r="G111" s="104"/>
      <c r="H111" s="108"/>
      <c r="I111" s="109"/>
      <c r="J111" s="109"/>
    </row>
    <row r="112">
      <c r="A112" s="142">
        <v>33147.0</v>
      </c>
      <c r="B112" s="144"/>
      <c r="C112" s="116" t="str">
        <f t="shared" si="2"/>
        <v>setlist</v>
      </c>
      <c r="D112" s="118" t="s">
        <v>167</v>
      </c>
      <c r="E112" s="118" t="s">
        <v>168</v>
      </c>
      <c r="F112" s="115" t="s">
        <v>129</v>
      </c>
      <c r="G112" s="115" t="s">
        <v>36</v>
      </c>
      <c r="H112" s="116" t="str">
        <f>HYPERLINK("http://www.mediafire.com/download/ezarepdicatcq3s/1990-10-01_-_The_Haunt_-_Ithaca%2C_NY.rar", "download link")</f>
        <v>download link</v>
      </c>
      <c r="I112" s="117" t="s">
        <v>566</v>
      </c>
      <c r="J112" s="117" t="s">
        <v>567</v>
      </c>
    </row>
    <row r="113">
      <c r="A113" s="103">
        <v>33149.0</v>
      </c>
      <c r="B113" s="104"/>
      <c r="C113" s="105" t="str">
        <f t="shared" si="2"/>
        <v>setlist</v>
      </c>
      <c r="D113" s="106" t="s">
        <v>526</v>
      </c>
      <c r="E113" s="106" t="s">
        <v>279</v>
      </c>
      <c r="F113" s="107" t="s">
        <v>257</v>
      </c>
      <c r="G113" s="104"/>
      <c r="H113" s="182"/>
      <c r="I113" s="109"/>
      <c r="J113" s="109"/>
    </row>
    <row r="114">
      <c r="A114" s="142">
        <v>33150.0</v>
      </c>
      <c r="B114" s="115" t="s">
        <v>32</v>
      </c>
      <c r="C114" s="116" t="str">
        <f t="shared" si="2"/>
        <v>setlist</v>
      </c>
      <c r="D114" s="117" t="s">
        <v>461</v>
      </c>
      <c r="E114" s="118" t="s">
        <v>225</v>
      </c>
      <c r="F114" s="115" t="s">
        <v>182</v>
      </c>
      <c r="G114" s="115" t="s">
        <v>36</v>
      </c>
      <c r="H114" s="116" t="str">
        <f>HYPERLINK("http://www.mediafire.com/download/uo1c344j8oa7rkq/1990-10-04_-_Field_House%2C_University_of_New_Hampshire_-_Durham%2C_NH.rar", "download link")</f>
        <v>download link</v>
      </c>
      <c r="I114" s="117" t="s">
        <v>449</v>
      </c>
      <c r="J114" s="146"/>
    </row>
    <row r="115">
      <c r="A115" s="103">
        <v>33151.0</v>
      </c>
      <c r="B115" s="104"/>
      <c r="C115" s="105" t="str">
        <f t="shared" si="2"/>
        <v>setlist</v>
      </c>
      <c r="D115" s="134" t="s">
        <v>568</v>
      </c>
      <c r="E115" s="106" t="s">
        <v>465</v>
      </c>
      <c r="F115" s="107" t="s">
        <v>129</v>
      </c>
      <c r="G115" s="107" t="s">
        <v>36</v>
      </c>
      <c r="H115" s="105" t="str">
        <f>HYPERLINK("http://www.mediafire.com/download/0axa9mo46tja986/1990-10-05_-_Skidmore_Gymnasium%2C_Skidmore_College_-_Saratoga_Springs%2C_NY.rar", "download link")</f>
        <v>download link</v>
      </c>
      <c r="I115" s="134" t="s">
        <v>569</v>
      </c>
      <c r="J115" s="109"/>
    </row>
    <row r="116">
      <c r="A116" s="142">
        <v>33152.0</v>
      </c>
      <c r="B116" s="115" t="s">
        <v>32</v>
      </c>
      <c r="C116" s="116" t="str">
        <f t="shared" si="2"/>
        <v>setlist</v>
      </c>
      <c r="D116" s="118" t="s">
        <v>570</v>
      </c>
      <c r="E116" s="118" t="s">
        <v>571</v>
      </c>
      <c r="F116" s="115" t="s">
        <v>129</v>
      </c>
      <c r="G116" s="115" t="s">
        <v>36</v>
      </c>
      <c r="H116" s="116" t="str">
        <f>HYPERLINK("http://www.mediafire.com/download/319brab3om79f1v/1990-10-06_-_The_Capitol_Theatre_-_Port_Chester%2C_NY.rar", "download link")</f>
        <v>download link</v>
      </c>
      <c r="I116" s="117" t="s">
        <v>572</v>
      </c>
      <c r="J116" s="146"/>
    </row>
    <row r="117">
      <c r="A117" s="103">
        <v>33153.0</v>
      </c>
      <c r="B117" s="107" t="s">
        <v>32</v>
      </c>
      <c r="C117" s="105" t="str">
        <f t="shared" si="2"/>
        <v>setlist</v>
      </c>
      <c r="D117" s="106" t="s">
        <v>573</v>
      </c>
      <c r="E117" s="106" t="s">
        <v>574</v>
      </c>
      <c r="F117" s="107" t="s">
        <v>43</v>
      </c>
      <c r="G117" s="107" t="s">
        <v>36</v>
      </c>
      <c r="H117" s="105" t="str">
        <f>HYPERLINK("http://www.mediafire.com/download/sw8ad4boqvdgmv2/1990-10-07_-_Club_Bene_-_Sayerville%2C_NJ.rar", "download link")</f>
        <v>download link</v>
      </c>
      <c r="I117" s="134" t="s">
        <v>575</v>
      </c>
      <c r="J117" s="109"/>
    </row>
    <row r="118">
      <c r="A118" s="142">
        <v>33154.0</v>
      </c>
      <c r="B118" s="144"/>
      <c r="C118" s="116" t="str">
        <f t="shared" si="2"/>
        <v>setlist</v>
      </c>
      <c r="D118" s="118" t="s">
        <v>455</v>
      </c>
      <c r="E118" s="118" t="s">
        <v>393</v>
      </c>
      <c r="F118" s="115" t="s">
        <v>394</v>
      </c>
      <c r="G118" s="115" t="s">
        <v>36</v>
      </c>
      <c r="H118" s="116" t="str">
        <f>HYPERLINK("http://www.mediafire.com/download/hpfgk3sei0rliup/1990-10-08_-_The_Bayou_-_Washington%2C_DC.rar", "download link")</f>
        <v>download link</v>
      </c>
      <c r="I118" s="117" t="s">
        <v>576</v>
      </c>
      <c r="J118" s="117" t="s">
        <v>577</v>
      </c>
    </row>
    <row r="119">
      <c r="A119" s="103">
        <v>33156.0</v>
      </c>
      <c r="B119" s="104"/>
      <c r="C119" s="105" t="str">
        <f t="shared" si="2"/>
        <v>setlist</v>
      </c>
      <c r="D119" s="106" t="s">
        <v>578</v>
      </c>
      <c r="E119" s="106" t="s">
        <v>579</v>
      </c>
      <c r="F119" s="107" t="s">
        <v>446</v>
      </c>
      <c r="G119" s="104"/>
      <c r="H119" s="182"/>
      <c r="I119" s="109"/>
      <c r="J119" s="109"/>
    </row>
    <row r="120">
      <c r="A120" s="142">
        <v>33157.0</v>
      </c>
      <c r="B120" s="144"/>
      <c r="C120" s="116" t="str">
        <f t="shared" si="2"/>
        <v>setlist</v>
      </c>
      <c r="D120" s="118" t="s">
        <v>444</v>
      </c>
      <c r="E120" s="118" t="s">
        <v>445</v>
      </c>
      <c r="F120" s="115" t="s">
        <v>446</v>
      </c>
      <c r="G120" s="144"/>
      <c r="H120" s="185"/>
      <c r="I120" s="146"/>
      <c r="J120" s="146"/>
    </row>
    <row r="121">
      <c r="A121" s="103">
        <v>33158.0</v>
      </c>
      <c r="B121" s="104"/>
      <c r="C121" s="105" t="str">
        <f t="shared" si="2"/>
        <v>setlist</v>
      </c>
      <c r="D121" s="106" t="s">
        <v>441</v>
      </c>
      <c r="E121" s="106" t="s">
        <v>545</v>
      </c>
      <c r="F121" s="107" t="s">
        <v>443</v>
      </c>
      <c r="G121" s="107" t="s">
        <v>36</v>
      </c>
      <c r="H121" s="105" t="str">
        <f>HYPERLINK("http://www.mediafire.com/download/3b5p5n8k1p78a09/1990-10-12_-_Cat%27s_Cradle_-_Chapel_Hill%2C_NC.rar", "download link")</f>
        <v>download link</v>
      </c>
      <c r="I121" s="134" t="s">
        <v>580</v>
      </c>
      <c r="J121" s="109"/>
    </row>
    <row r="122">
      <c r="A122" s="142">
        <v>33159.0</v>
      </c>
      <c r="B122" s="144"/>
      <c r="C122" s="116" t="str">
        <f t="shared" si="2"/>
        <v>setlist</v>
      </c>
      <c r="D122" s="118" t="s">
        <v>438</v>
      </c>
      <c r="E122" s="118" t="s">
        <v>439</v>
      </c>
      <c r="F122" s="115" t="s">
        <v>397</v>
      </c>
      <c r="G122" s="144"/>
      <c r="H122" s="185"/>
      <c r="I122" s="146"/>
      <c r="J122" s="146"/>
    </row>
    <row r="123">
      <c r="A123" s="103">
        <v>33160.0</v>
      </c>
      <c r="B123" s="104"/>
      <c r="C123" s="105" t="str">
        <f t="shared" si="2"/>
        <v>setlist</v>
      </c>
      <c r="D123" s="134" t="s">
        <v>537</v>
      </c>
      <c r="E123" s="106" t="s">
        <v>538</v>
      </c>
      <c r="F123" s="107" t="s">
        <v>430</v>
      </c>
      <c r="G123" s="104"/>
      <c r="H123" s="182"/>
      <c r="I123" s="109"/>
      <c r="J123" s="109"/>
    </row>
    <row r="124">
      <c r="A124" s="142">
        <v>33163.0</v>
      </c>
      <c r="B124" s="144"/>
      <c r="C124" s="116" t="str">
        <f t="shared" si="2"/>
        <v>setlist</v>
      </c>
      <c r="D124" s="118" t="s">
        <v>540</v>
      </c>
      <c r="E124" s="118" t="s">
        <v>541</v>
      </c>
      <c r="F124" s="115" t="s">
        <v>443</v>
      </c>
      <c r="G124" s="144"/>
      <c r="H124" s="185"/>
      <c r="I124" s="146"/>
      <c r="J124" s="146"/>
    </row>
    <row r="125">
      <c r="A125" s="103">
        <v>33164.0</v>
      </c>
      <c r="B125" s="104"/>
      <c r="C125" s="105" t="str">
        <f t="shared" si="2"/>
        <v>setlist</v>
      </c>
      <c r="D125" s="134" t="s">
        <v>431</v>
      </c>
      <c r="E125" s="106" t="s">
        <v>437</v>
      </c>
      <c r="F125" s="107" t="s">
        <v>433</v>
      </c>
      <c r="G125" s="104"/>
      <c r="H125" s="182"/>
      <c r="I125" s="109"/>
      <c r="J125" s="109"/>
    </row>
    <row r="126">
      <c r="A126" s="142">
        <v>33165.0</v>
      </c>
      <c r="B126" s="144"/>
      <c r="C126" s="116" t="str">
        <f t="shared" si="2"/>
        <v>setlist</v>
      </c>
      <c r="D126" s="117" t="s">
        <v>436</v>
      </c>
      <c r="E126" s="118" t="s">
        <v>437</v>
      </c>
      <c r="F126" s="115" t="s">
        <v>433</v>
      </c>
      <c r="G126" s="144"/>
      <c r="H126" s="185"/>
      <c r="I126" s="146"/>
      <c r="J126" s="146"/>
    </row>
    <row r="127">
      <c r="A127" s="103">
        <v>33166.0</v>
      </c>
      <c r="B127" s="104"/>
      <c r="C127" s="105" t="str">
        <f t="shared" si="2"/>
        <v>setlist</v>
      </c>
      <c r="D127" s="106" t="s">
        <v>581</v>
      </c>
      <c r="E127" s="106" t="s">
        <v>582</v>
      </c>
      <c r="F127" s="107" t="s">
        <v>583</v>
      </c>
      <c r="G127" s="104"/>
      <c r="H127" s="182"/>
      <c r="I127" s="109"/>
      <c r="J127" s="109"/>
    </row>
    <row r="128">
      <c r="A128" s="142">
        <v>33168.0</v>
      </c>
      <c r="B128" s="144"/>
      <c r="C128" s="116" t="str">
        <f t="shared" si="2"/>
        <v>setlist</v>
      </c>
      <c r="D128" s="118" t="s">
        <v>584</v>
      </c>
      <c r="E128" s="118" t="s">
        <v>585</v>
      </c>
      <c r="F128" s="115" t="s">
        <v>586</v>
      </c>
      <c r="G128" s="144"/>
      <c r="H128" s="185"/>
      <c r="I128" s="146"/>
      <c r="J128" s="146"/>
    </row>
    <row r="129">
      <c r="A129" s="103">
        <v>33171.0</v>
      </c>
      <c r="B129" s="104"/>
      <c r="C129" s="105" t="str">
        <f t="shared" si="2"/>
        <v>setlist</v>
      </c>
      <c r="D129" s="134" t="s">
        <v>587</v>
      </c>
      <c r="E129" s="106" t="s">
        <v>588</v>
      </c>
      <c r="F129" s="107" t="s">
        <v>589</v>
      </c>
      <c r="G129" s="104"/>
      <c r="H129" s="182"/>
      <c r="I129" s="109"/>
      <c r="J129" s="109"/>
    </row>
    <row r="130">
      <c r="A130" s="142">
        <v>33172.0</v>
      </c>
      <c r="B130" s="144"/>
      <c r="C130" s="116" t="str">
        <f t="shared" si="2"/>
        <v>setlist</v>
      </c>
      <c r="D130" s="118" t="s">
        <v>590</v>
      </c>
      <c r="E130" s="118" t="s">
        <v>591</v>
      </c>
      <c r="F130" s="115" t="s">
        <v>589</v>
      </c>
      <c r="G130" s="144"/>
      <c r="H130" s="185"/>
      <c r="I130" s="146"/>
      <c r="J130" s="146"/>
    </row>
    <row r="131">
      <c r="A131" s="103">
        <v>33173.0</v>
      </c>
      <c r="B131" s="104"/>
      <c r="C131" s="105" t="str">
        <f t="shared" si="2"/>
        <v>setlist</v>
      </c>
      <c r="D131" s="106" t="s">
        <v>592</v>
      </c>
      <c r="E131" s="106" t="s">
        <v>593</v>
      </c>
      <c r="F131" s="107" t="s">
        <v>589</v>
      </c>
      <c r="G131" s="104"/>
      <c r="H131" s="182"/>
      <c r="I131" s="109"/>
      <c r="J131" s="109"/>
    </row>
    <row r="132">
      <c r="A132" s="142">
        <v>33176.0</v>
      </c>
      <c r="B132" s="115" t="s">
        <v>32</v>
      </c>
      <c r="C132" s="116" t="str">
        <f t="shared" si="2"/>
        <v>setlist</v>
      </c>
      <c r="D132" s="118" t="s">
        <v>490</v>
      </c>
      <c r="E132" s="118" t="s">
        <v>491</v>
      </c>
      <c r="F132" s="115" t="s">
        <v>203</v>
      </c>
      <c r="G132" s="115" t="s">
        <v>36</v>
      </c>
      <c r="H132" s="116" t="str">
        <f>HYPERLINK("http://www.mediafire.com/download/k0tdm1k8kp6ku6i/1990-10-30_-_El_Dorado_Cafe_-_Crested_Butte%2C_CO.rar", "download link")</f>
        <v>download link</v>
      </c>
      <c r="I132" s="117" t="s">
        <v>594</v>
      </c>
      <c r="J132" s="117" t="s">
        <v>595</v>
      </c>
    </row>
    <row r="133">
      <c r="A133" s="103">
        <v>33177.0</v>
      </c>
      <c r="B133" s="107" t="s">
        <v>32</v>
      </c>
      <c r="C133" s="105" t="str">
        <f t="shared" si="2"/>
        <v>setlist</v>
      </c>
      <c r="D133" s="106" t="s">
        <v>596</v>
      </c>
      <c r="E133" s="106" t="s">
        <v>506</v>
      </c>
      <c r="F133" s="107" t="s">
        <v>203</v>
      </c>
      <c r="G133" s="107" t="s">
        <v>36</v>
      </c>
      <c r="H133" s="105" t="str">
        <f>HYPERLINK("http://www.mediafire.com/download/dgdthw40c7jeuha/1990-10-31_-_Armstrong_Hall%2C_Colorado_College_-_Colorado_Springs%2C_CO.rar", "download link")</f>
        <v>download link</v>
      </c>
      <c r="I133" s="134" t="s">
        <v>597</v>
      </c>
      <c r="J133" s="109"/>
    </row>
    <row r="134">
      <c r="A134" s="142">
        <v>33179.0</v>
      </c>
      <c r="B134" s="115" t="s">
        <v>32</v>
      </c>
      <c r="C134" s="116" t="str">
        <f t="shared" si="2"/>
        <v>setlist</v>
      </c>
      <c r="D134" s="118" t="s">
        <v>598</v>
      </c>
      <c r="E134" s="118" t="s">
        <v>488</v>
      </c>
      <c r="F134" s="115" t="s">
        <v>203</v>
      </c>
      <c r="G134" s="115" t="s">
        <v>36</v>
      </c>
      <c r="H134" s="116" t="str">
        <f>HYPERLINK("http://www.mediafire.com/download/4tra6wfab6b114c/1990-11-02_-_Glenn_Miller_Ballroom%2C_University_of_Colorado_-_Boulder%2C_CO.rar", "download link")</f>
        <v>download link</v>
      </c>
      <c r="I134" s="117" t="s">
        <v>23</v>
      </c>
      <c r="J134" s="146"/>
    </row>
    <row r="135">
      <c r="A135" s="103">
        <v>33180.0</v>
      </c>
      <c r="B135" s="107" t="s">
        <v>32</v>
      </c>
      <c r="C135" s="105" t="str">
        <f t="shared" si="2"/>
        <v>setlist</v>
      </c>
      <c r="D135" s="106" t="s">
        <v>500</v>
      </c>
      <c r="E135" s="106" t="s">
        <v>488</v>
      </c>
      <c r="F135" s="107" t="s">
        <v>203</v>
      </c>
      <c r="G135" s="107" t="s">
        <v>36</v>
      </c>
      <c r="H135" s="105" t="str">
        <f>HYPERLINK("http://www.mediafire.com/download/r3bf2xxgx7rtbdb/1990-11-03_-_Boulder_Theater_-_Boulder%2C_CO.rar", "download link")</f>
        <v>download link</v>
      </c>
      <c r="I135" s="134" t="s">
        <v>594</v>
      </c>
      <c r="J135" s="106"/>
    </row>
    <row r="136">
      <c r="A136" s="142">
        <v>33181.0</v>
      </c>
      <c r="B136" s="115" t="s">
        <v>32</v>
      </c>
      <c r="C136" s="116" t="str">
        <f t="shared" si="2"/>
        <v>setlist</v>
      </c>
      <c r="D136" s="118" t="s">
        <v>599</v>
      </c>
      <c r="E136" s="118" t="s">
        <v>502</v>
      </c>
      <c r="F136" s="115" t="s">
        <v>203</v>
      </c>
      <c r="G136" s="115" t="s">
        <v>36</v>
      </c>
      <c r="H136" s="116" t="str">
        <f>HYPERLINK("http://www.mediafire.com/download/cqiek7g8q6f7pke/1990-11-04_-_Fort_Ram_-_Fort_Collins%2C_CO.rar", "download link")</f>
        <v>download link</v>
      </c>
      <c r="I136" s="117" t="s">
        <v>600</v>
      </c>
      <c r="J136" s="146"/>
    </row>
    <row r="137">
      <c r="A137" s="103">
        <v>33183.0</v>
      </c>
      <c r="B137" s="104"/>
      <c r="C137" s="105" t="str">
        <f t="shared" si="2"/>
        <v>setlist</v>
      </c>
      <c r="D137" s="106" t="s">
        <v>601</v>
      </c>
      <c r="E137" s="106" t="s">
        <v>485</v>
      </c>
      <c r="F137" s="107" t="s">
        <v>486</v>
      </c>
      <c r="G137" s="104"/>
      <c r="H137" s="182"/>
      <c r="I137" s="109"/>
      <c r="J137" s="109"/>
    </row>
    <row r="138">
      <c r="A138" s="142">
        <v>33185.0</v>
      </c>
      <c r="B138" s="115" t="s">
        <v>32</v>
      </c>
      <c r="C138" s="116" t="str">
        <f t="shared" si="2"/>
        <v>setlist</v>
      </c>
      <c r="D138" s="118" t="s">
        <v>602</v>
      </c>
      <c r="E138" s="118" t="s">
        <v>482</v>
      </c>
      <c r="F138" s="115" t="s">
        <v>483</v>
      </c>
      <c r="G138" s="115" t="s">
        <v>36</v>
      </c>
      <c r="H138" s="116" t="str">
        <f>HYPERLINK("http://www.mediafire.com/download/j7l2e5g431ucasa/1990-11-08_-_Great_Hall%2C_University_of_Wisconsin_-_Madison%2C_WI.rar", "download link")</f>
        <v>download link</v>
      </c>
      <c r="I138" s="117" t="s">
        <v>23</v>
      </c>
      <c r="J138" s="118" t="s">
        <v>287</v>
      </c>
    </row>
    <row r="139">
      <c r="A139" s="103">
        <v>33186.0</v>
      </c>
      <c r="B139" s="104"/>
      <c r="C139" s="105" t="str">
        <f t="shared" si="2"/>
        <v>setlist</v>
      </c>
      <c r="D139" s="106" t="s">
        <v>478</v>
      </c>
      <c r="E139" s="106" t="s">
        <v>479</v>
      </c>
      <c r="F139" s="107" t="s">
        <v>480</v>
      </c>
      <c r="G139" s="104"/>
      <c r="H139" s="182"/>
      <c r="I139" s="109"/>
      <c r="J139" s="109"/>
    </row>
    <row r="140">
      <c r="A140" s="142">
        <v>33187.0</v>
      </c>
      <c r="B140" s="115" t="s">
        <v>32</v>
      </c>
      <c r="C140" s="116" t="str">
        <f t="shared" si="2"/>
        <v>setlist</v>
      </c>
      <c r="D140" s="118" t="s">
        <v>507</v>
      </c>
      <c r="E140" s="118" t="s">
        <v>445</v>
      </c>
      <c r="F140" s="115" t="s">
        <v>508</v>
      </c>
      <c r="G140" s="115" t="s">
        <v>36</v>
      </c>
      <c r="H140" s="116" t="str">
        <f>HYPERLINK("http://www.mediafire.com/download/q5uij2t2yr2mbsj/1990-11-10_-_Earlham_College_-_Richmond%2C_IN.rar", "download link")</f>
        <v>download link</v>
      </c>
      <c r="I140" s="117" t="s">
        <v>603</v>
      </c>
      <c r="J140" s="117" t="s">
        <v>604</v>
      </c>
    </row>
    <row r="141">
      <c r="A141" s="103">
        <v>33192.0</v>
      </c>
      <c r="B141" s="104"/>
      <c r="C141" s="105" t="str">
        <f t="shared" si="2"/>
        <v>setlist</v>
      </c>
      <c r="D141" s="106" t="s">
        <v>605</v>
      </c>
      <c r="E141" s="106" t="s">
        <v>259</v>
      </c>
      <c r="F141" s="107" t="s">
        <v>257</v>
      </c>
      <c r="G141" s="107" t="s">
        <v>36</v>
      </c>
      <c r="H141" s="105" t="str">
        <f>HYPERLINK("http://www.mediafire.com/download/658ie4sw7nasah2/1990-11-15_-_Lengyel_Gym%2C_University_of_Maine_-_Orono%2C_ME.rar", "download link")</f>
        <v>download link</v>
      </c>
      <c r="I141" s="134" t="s">
        <v>606</v>
      </c>
      <c r="J141" s="134" t="s">
        <v>117</v>
      </c>
    </row>
    <row r="142">
      <c r="A142" s="142">
        <v>33193.0</v>
      </c>
      <c r="B142" s="115" t="s">
        <v>32</v>
      </c>
      <c r="C142" s="116" t="str">
        <f t="shared" si="2"/>
        <v>setlist</v>
      </c>
      <c r="D142" s="118" t="s">
        <v>607</v>
      </c>
      <c r="E142" s="118" t="s">
        <v>297</v>
      </c>
      <c r="F142" s="115" t="s">
        <v>298</v>
      </c>
      <c r="G142" s="115" t="s">
        <v>36</v>
      </c>
      <c r="H142" s="116" t="str">
        <f>HYPERLINK("http://www.mediafire.com/download/rujrfch8swn9rsz/1990-11-16_-_Campus_Club_-_Providence%2C_RI.rar", "download link")</f>
        <v>download link</v>
      </c>
      <c r="I142" s="117" t="s">
        <v>608</v>
      </c>
      <c r="J142" s="146"/>
    </row>
    <row r="143">
      <c r="A143" s="130">
        <v>33194.0</v>
      </c>
      <c r="B143" s="131"/>
      <c r="C143" s="105" t="str">
        <f t="shared" si="2"/>
        <v>setlist</v>
      </c>
      <c r="D143" s="132" t="s">
        <v>562</v>
      </c>
      <c r="E143" s="132" t="s">
        <v>290</v>
      </c>
      <c r="F143" s="133" t="s">
        <v>95</v>
      </c>
      <c r="G143" s="133" t="s">
        <v>36</v>
      </c>
      <c r="H143" s="105" t="str">
        <f>HYPERLINK("http://www.mediafire.com/download/ecb96evddc0vp6c/1990-11-17_-_Somerville_Theatre_-_Somerville%2C_MA.rar", "download link")</f>
        <v>download link</v>
      </c>
      <c r="I143" s="134" t="s">
        <v>609</v>
      </c>
      <c r="J143" s="134" t="s">
        <v>610</v>
      </c>
    </row>
    <row r="144">
      <c r="A144" s="142">
        <v>33201.0</v>
      </c>
      <c r="B144" s="115" t="s">
        <v>32</v>
      </c>
      <c r="C144" s="116" t="str">
        <f t="shared" si="2"/>
        <v>setlist</v>
      </c>
      <c r="D144" s="118" t="s">
        <v>570</v>
      </c>
      <c r="E144" s="118" t="s">
        <v>571</v>
      </c>
      <c r="F144" s="115" t="s">
        <v>129</v>
      </c>
      <c r="G144" s="115" t="s">
        <v>36</v>
      </c>
      <c r="H144" s="116" t="str">
        <f>HYPERLINK("http://www.mediafire.com/download/4jv22v33ovs423s/1990-11-24_-_The_Capitol_Theatre_-_Port_Chester%2C_NY.rar", "download link")</f>
        <v>download link</v>
      </c>
      <c r="I144" s="117" t="s">
        <v>608</v>
      </c>
      <c r="J144" s="146"/>
    </row>
    <row r="145">
      <c r="A145" s="130">
        <v>33203.0</v>
      </c>
      <c r="B145" s="131"/>
      <c r="C145" s="105" t="str">
        <f t="shared" si="2"/>
        <v>setlist</v>
      </c>
      <c r="D145" s="132" t="s">
        <v>167</v>
      </c>
      <c r="E145" s="132" t="s">
        <v>168</v>
      </c>
      <c r="F145" s="133" t="s">
        <v>129</v>
      </c>
      <c r="G145" s="133" t="s">
        <v>36</v>
      </c>
      <c r="H145" s="105" t="str">
        <f>HYPERLINK("http://www.mediafire.com/download/6cct5934a63441z/1990-11-26_-_The_Haunt_-_Ithaca%2C_NY.rar", "download link")</f>
        <v>download link</v>
      </c>
      <c r="I145" s="134" t="s">
        <v>611</v>
      </c>
      <c r="J145" s="109"/>
    </row>
    <row r="146">
      <c r="A146" s="142">
        <v>33205.0</v>
      </c>
      <c r="B146" s="144"/>
      <c r="C146" s="116" t="str">
        <f t="shared" si="2"/>
        <v>setlist</v>
      </c>
      <c r="D146" s="118" t="s">
        <v>612</v>
      </c>
      <c r="E146" s="118" t="s">
        <v>311</v>
      </c>
      <c r="F146" s="115" t="s">
        <v>129</v>
      </c>
      <c r="G146" s="144"/>
      <c r="H146" s="185"/>
      <c r="I146" s="146"/>
      <c r="J146" s="146"/>
    </row>
    <row r="147">
      <c r="A147" s="103">
        <v>33207.0</v>
      </c>
      <c r="B147" s="104"/>
      <c r="C147" s="105" t="str">
        <f t="shared" si="2"/>
        <v>setlist</v>
      </c>
      <c r="D147" s="134" t="s">
        <v>523</v>
      </c>
      <c r="E147" s="106" t="s">
        <v>367</v>
      </c>
      <c r="F147" s="107" t="s">
        <v>182</v>
      </c>
      <c r="G147" s="107" t="s">
        <v>36</v>
      </c>
      <c r="H147" s="105" t="str">
        <f>HYPERLINK("http://www.mediafire.com/download/2tn3gp0k5f4dj60/1990-11-30_-_The_Colonial_Theatre_-_Keene%2C_NH.rar", "download link")</f>
        <v>download link</v>
      </c>
      <c r="I147" s="134" t="s">
        <v>527</v>
      </c>
      <c r="J147" s="109"/>
    </row>
    <row r="148">
      <c r="A148" s="142">
        <v>33208.0</v>
      </c>
      <c r="B148" s="144"/>
      <c r="C148" s="116" t="str">
        <f t="shared" si="2"/>
        <v>setlist</v>
      </c>
      <c r="D148" s="118" t="s">
        <v>178</v>
      </c>
      <c r="E148" s="118" t="s">
        <v>34</v>
      </c>
      <c r="F148" s="115" t="s">
        <v>35</v>
      </c>
      <c r="G148" s="144"/>
      <c r="H148" s="185"/>
      <c r="I148" s="146"/>
      <c r="J148" s="146"/>
    </row>
    <row r="149">
      <c r="A149" s="103">
        <v>33209.0</v>
      </c>
      <c r="B149" s="104"/>
      <c r="C149" s="105" t="str">
        <f t="shared" si="2"/>
        <v>setlist</v>
      </c>
      <c r="D149" s="106" t="s">
        <v>178</v>
      </c>
      <c r="E149" s="106" t="s">
        <v>34</v>
      </c>
      <c r="F149" s="107" t="s">
        <v>35</v>
      </c>
      <c r="G149" s="141" t="s">
        <v>36</v>
      </c>
      <c r="H149" s="105" t="str">
        <f>HYPERLINK("https://www.mediafire.com/file/h7g7w3u9ge8pm0d/1990-12-02_-_The_Front_-_Burlington%252C_VT.rar/file", "download link")</f>
        <v>download link</v>
      </c>
      <c r="I149" s="134" t="s">
        <v>613</v>
      </c>
      <c r="J149" s="134" t="s">
        <v>614</v>
      </c>
    </row>
    <row r="150">
      <c r="A150" s="142">
        <v>33214.0</v>
      </c>
      <c r="B150" s="144"/>
      <c r="C150" s="116" t="str">
        <f t="shared" si="2"/>
        <v>setlist</v>
      </c>
      <c r="D150" s="118" t="s">
        <v>615</v>
      </c>
      <c r="E150" s="118" t="s">
        <v>164</v>
      </c>
      <c r="F150" s="115" t="s">
        <v>95</v>
      </c>
      <c r="G150" s="115" t="s">
        <v>36</v>
      </c>
      <c r="H150" s="116" t="str">
        <f>HYPERLINK("http://www.mediafire.com/download/sk11jb4y95r8u89/1990-12-07_-_Robert_Crown_Center%2C_Hampshire_College_-_Amherst%2C_MA.rar", "download link")</f>
        <v>download link</v>
      </c>
      <c r="I150" s="117" t="s">
        <v>616</v>
      </c>
      <c r="J150" s="146"/>
    </row>
    <row r="151">
      <c r="A151" s="186">
        <v>33215.0</v>
      </c>
      <c r="B151" s="187"/>
      <c r="C151" s="123" t="str">
        <f t="shared" si="2"/>
        <v>setlist</v>
      </c>
      <c r="D151" s="122" t="s">
        <v>375</v>
      </c>
      <c r="E151" s="122" t="s">
        <v>376</v>
      </c>
      <c r="F151" s="120" t="s">
        <v>129</v>
      </c>
      <c r="G151" s="120" t="s">
        <v>36</v>
      </c>
      <c r="H151" s="123" t="str">
        <f>HYPERLINK("http://www.mediafire.com/download/3bl7uu3av3bbj01/1990-12-08_-_The_Chance_-_Poughkeepsie%2C_NY.rar", "download link")</f>
        <v>download link</v>
      </c>
      <c r="I151" s="137" t="s">
        <v>617</v>
      </c>
      <c r="J151" s="122" t="s">
        <v>111</v>
      </c>
    </row>
    <row r="152">
      <c r="A152" s="92"/>
      <c r="B152" s="93"/>
      <c r="C152" s="94"/>
      <c r="D152" s="83" t="s">
        <v>618</v>
      </c>
      <c r="E152" s="95"/>
      <c r="F152" s="93"/>
      <c r="G152" s="93"/>
      <c r="H152" s="164"/>
      <c r="I152" s="95"/>
      <c r="J152" s="95"/>
    </row>
    <row r="153">
      <c r="A153" s="190">
        <v>33235.0</v>
      </c>
      <c r="B153" s="191" t="s">
        <v>32</v>
      </c>
      <c r="C153" s="178" t="str">
        <f t="shared" ref="C153:C155" si="3">HYPERLINK("http://www.phish.net/setlists/?d="&amp;RIGHT(TEXT(A153,"mm/dd/yyyy"),4)&amp;"-"&amp;LEFT(TEXT(A153,"mm/dd/yyyy"),2)&amp;"-"&amp;MID(TEXT(A153,"mm/dd/yyyy"),4,2), "setlist")</f>
        <v>setlist</v>
      </c>
      <c r="D153" s="192" t="s">
        <v>619</v>
      </c>
      <c r="E153" s="192" t="s">
        <v>162</v>
      </c>
      <c r="F153" s="191" t="s">
        <v>129</v>
      </c>
      <c r="G153" s="191" t="s">
        <v>36</v>
      </c>
      <c r="H153" s="178" t="str">
        <f>HYPERLINK("http://www.mediafire.com/download/r6qc417bb2934i8/1990-12-28_-_The_Marquee_-_New_York%2C_NY.rar", "download link")</f>
        <v>download link</v>
      </c>
      <c r="I153" s="193" t="s">
        <v>572</v>
      </c>
      <c r="J153" s="194"/>
    </row>
    <row r="154">
      <c r="A154" s="130">
        <v>33236.0</v>
      </c>
      <c r="B154" s="133" t="s">
        <v>32</v>
      </c>
      <c r="C154" s="105" t="str">
        <f t="shared" si="3"/>
        <v>setlist</v>
      </c>
      <c r="D154" s="132" t="s">
        <v>607</v>
      </c>
      <c r="E154" s="132" t="s">
        <v>297</v>
      </c>
      <c r="F154" s="133" t="s">
        <v>298</v>
      </c>
      <c r="G154" s="133" t="s">
        <v>36</v>
      </c>
      <c r="H154" s="105" t="str">
        <f>HYPERLINK("http://www.mediafire.com/download/mncm7qvkvcp53cc/1990-12-29_-_Campus_Club_-_Providence%2C_RI.rar", "download link")</f>
        <v>download link</v>
      </c>
      <c r="I154" s="134" t="s">
        <v>620</v>
      </c>
      <c r="J154" s="134"/>
    </row>
    <row r="155">
      <c r="A155" s="110">
        <v>33238.0</v>
      </c>
      <c r="B155" s="111"/>
      <c r="C155" s="116" t="str">
        <f t="shared" si="3"/>
        <v>setlist</v>
      </c>
      <c r="D155" s="136" t="s">
        <v>410</v>
      </c>
      <c r="E155" s="113" t="s">
        <v>94</v>
      </c>
      <c r="F155" s="114" t="s">
        <v>95</v>
      </c>
      <c r="G155" s="114" t="s">
        <v>36</v>
      </c>
      <c r="H155" s="135" t="str">
        <f>HYPERLINK("http://www.mediafire.com/download/66ynb6vghlrdyks/1990-12-31_-_Boston_World_Trade_Center_Exhibition_Hall_-_Boston%2C_MA.rar", "download link")</f>
        <v>download link</v>
      </c>
      <c r="I155" s="136" t="s">
        <v>621</v>
      </c>
      <c r="J155" s="8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8.5"/>
  </cols>
  <sheetData>
    <row r="1">
      <c r="A1" s="77"/>
      <c r="B1" s="78"/>
      <c r="C1" s="78"/>
      <c r="D1" s="80"/>
      <c r="E1" s="80"/>
      <c r="F1" s="78"/>
      <c r="G1" s="78"/>
      <c r="H1" s="81"/>
      <c r="I1" s="78"/>
      <c r="J1" s="78"/>
    </row>
    <row r="2">
      <c r="A2" s="83" t="s">
        <v>22</v>
      </c>
      <c r="B2" s="60" t="s">
        <v>23</v>
      </c>
      <c r="C2" s="60" t="s">
        <v>24</v>
      </c>
      <c r="D2" s="56" t="s">
        <v>25</v>
      </c>
      <c r="E2" s="56" t="s">
        <v>26</v>
      </c>
      <c r="F2" s="60" t="s">
        <v>27</v>
      </c>
      <c r="G2" s="60" t="s">
        <v>28</v>
      </c>
      <c r="H2" s="60" t="s">
        <v>29</v>
      </c>
      <c r="I2" s="85" t="s">
        <v>30</v>
      </c>
      <c r="J2" s="83" t="s">
        <v>31</v>
      </c>
    </row>
    <row r="3">
      <c r="A3" s="86"/>
      <c r="B3" s="87"/>
      <c r="C3" s="87"/>
      <c r="D3" s="89"/>
      <c r="E3" s="87"/>
      <c r="F3" s="87"/>
      <c r="G3" s="87"/>
      <c r="H3" s="177"/>
      <c r="I3" s="91"/>
      <c r="J3" s="91"/>
    </row>
    <row r="4">
      <c r="A4" s="92"/>
      <c r="B4" s="93"/>
      <c r="C4" s="93"/>
      <c r="D4" s="83" t="s">
        <v>622</v>
      </c>
      <c r="E4" s="93"/>
      <c r="F4" s="93"/>
      <c r="G4" s="93"/>
      <c r="H4" s="93"/>
      <c r="I4" s="93"/>
      <c r="J4" s="93"/>
    </row>
    <row r="5">
      <c r="A5" s="96">
        <v>33270.0</v>
      </c>
      <c r="B5" s="97" t="s">
        <v>32</v>
      </c>
      <c r="C5" s="98" t="str">
        <f t="shared" ref="C5:C67" si="1">HYPERLINK("http://www.phish.net/setlists/?d="&amp;RIGHT(TEXT(A5,"mm/dd/yyyy"),4)&amp;"-"&amp;LEFT(TEXT(A5,"mm/dd/yyyy"),2)&amp;"-"&amp;MID(TEXT(A5,"mm/dd/yyyy"),4,2), "setlist")</f>
        <v>setlist</v>
      </c>
      <c r="D5" s="100" t="s">
        <v>623</v>
      </c>
      <c r="E5" s="100" t="s">
        <v>297</v>
      </c>
      <c r="F5" s="97" t="s">
        <v>298</v>
      </c>
      <c r="G5" s="97" t="s">
        <v>36</v>
      </c>
      <c r="H5" s="98" t="str">
        <f>HYPERLINK("http://www.mediafire.com/download/r5s726n1cym31ct/1991-02-01_-_Alumni_Hall%2C_Brown_University_-_Providence%2C_RI.rar", "download link")</f>
        <v>download link</v>
      </c>
      <c r="I5" s="101" t="s">
        <v>449</v>
      </c>
      <c r="J5" s="102" t="s">
        <v>624</v>
      </c>
    </row>
    <row r="6">
      <c r="A6" s="130">
        <v>33271.0</v>
      </c>
      <c r="B6" s="131"/>
      <c r="C6" s="105" t="str">
        <f t="shared" si="1"/>
        <v>setlist</v>
      </c>
      <c r="D6" s="132" t="s">
        <v>625</v>
      </c>
      <c r="E6" s="132" t="s">
        <v>363</v>
      </c>
      <c r="F6" s="133" t="s">
        <v>257</v>
      </c>
      <c r="G6" s="133" t="s">
        <v>36</v>
      </c>
      <c r="H6" s="105" t="str">
        <f>HYPERLINK("http://www.mediafire.com/download/djhi91fqlj1mxco/1991-02-02_-_Alumni_Gymnasium%2C_Bates_College_-_Lewiston%2C_ME.rar", "download link")</f>
        <v>download link</v>
      </c>
      <c r="I6" s="134" t="s">
        <v>626</v>
      </c>
      <c r="J6" s="104"/>
    </row>
    <row r="7">
      <c r="A7" s="150">
        <v>33272.0</v>
      </c>
      <c r="B7" s="156"/>
      <c r="C7" s="135" t="str">
        <f t="shared" si="1"/>
        <v>setlist</v>
      </c>
      <c r="D7" s="153" t="s">
        <v>178</v>
      </c>
      <c r="E7" s="153" t="s">
        <v>34</v>
      </c>
      <c r="F7" s="151" t="s">
        <v>35</v>
      </c>
      <c r="G7" s="151" t="s">
        <v>36</v>
      </c>
      <c r="H7" s="116" t="str">
        <f>HYPERLINK("http://www.mediafire.com/download/c7v5c4bzas323ec/1991-02-03_-_The_Front_-_Burlington%2C_VT.rar", "download link")</f>
        <v>download link</v>
      </c>
      <c r="I7" s="117" t="s">
        <v>627</v>
      </c>
      <c r="J7" s="144"/>
    </row>
    <row r="8">
      <c r="A8" s="130">
        <v>33273.0</v>
      </c>
      <c r="B8" s="131"/>
      <c r="C8" s="105" t="str">
        <f t="shared" si="1"/>
        <v>setlist</v>
      </c>
      <c r="D8" s="132" t="s">
        <v>178</v>
      </c>
      <c r="E8" s="132" t="s">
        <v>34</v>
      </c>
      <c r="F8" s="133" t="s">
        <v>35</v>
      </c>
      <c r="G8" s="133" t="s">
        <v>36</v>
      </c>
      <c r="H8" s="105" t="str">
        <f>HYPERLINK("http://www.mediafire.com/download/kb6327ukkl3k5nq/1991-02-04_-_The_Front_-_Burlington%2C_VT.rar", "download link")</f>
        <v>download link</v>
      </c>
      <c r="I8" s="134" t="s">
        <v>628</v>
      </c>
      <c r="J8" s="106" t="s">
        <v>629</v>
      </c>
    </row>
    <row r="9">
      <c r="A9" s="150">
        <v>33276.0</v>
      </c>
      <c r="B9" s="151" t="s">
        <v>32</v>
      </c>
      <c r="C9" s="135" t="str">
        <f t="shared" si="1"/>
        <v>setlist</v>
      </c>
      <c r="D9" s="153" t="s">
        <v>630</v>
      </c>
      <c r="E9" s="153" t="s">
        <v>631</v>
      </c>
      <c r="F9" s="151" t="s">
        <v>35</v>
      </c>
      <c r="G9" s="151" t="s">
        <v>36</v>
      </c>
      <c r="H9" s="116" t="str">
        <f>HYPERLINK("http://www.mediafire.com/download/py7jgaznd2g8a9k/1991-02-07_-_Pickle_Barrel_Pub_-_Killington%2C_VT.rar", "download link")</f>
        <v>download link</v>
      </c>
      <c r="I9" s="117" t="s">
        <v>632</v>
      </c>
      <c r="J9" s="144"/>
    </row>
    <row r="10">
      <c r="A10" s="130">
        <v>33277.0</v>
      </c>
      <c r="B10" s="133" t="s">
        <v>32</v>
      </c>
      <c r="C10" s="105" t="str">
        <f t="shared" si="1"/>
        <v>setlist</v>
      </c>
      <c r="D10" s="132" t="s">
        <v>633</v>
      </c>
      <c r="E10" s="132" t="s">
        <v>634</v>
      </c>
      <c r="F10" s="133" t="s">
        <v>182</v>
      </c>
      <c r="G10" s="133" t="s">
        <v>36</v>
      </c>
      <c r="H10" s="105" t="str">
        <f>HYPERLINK("http://www.mediafire.com/download/rd64897cgbjx91x/1991-02-08_-_The_Music_Hall_-_Portsmouth%2C_NH.rar", "download link")</f>
        <v>download link</v>
      </c>
      <c r="I10" s="134" t="s">
        <v>449</v>
      </c>
      <c r="J10" s="104"/>
    </row>
    <row r="11">
      <c r="A11" s="147">
        <v>33278.0</v>
      </c>
      <c r="B11" s="158"/>
      <c r="C11" s="135" t="str">
        <f t="shared" si="1"/>
        <v>setlist</v>
      </c>
      <c r="D11" s="149" t="s">
        <v>635</v>
      </c>
      <c r="E11" s="149" t="s">
        <v>247</v>
      </c>
      <c r="F11" s="148" t="s">
        <v>95</v>
      </c>
      <c r="G11" s="148" t="s">
        <v>36</v>
      </c>
      <c r="H11" s="116" t="str">
        <f>HYPERLINK("http://www.mediafire.com/download/4wbyqtoyq9h5nqo/1991-02-09_-_John_M._Greene_Hall%2C_Smith_College_-_Northampton%2C_MA.rar", "download link")</f>
        <v>download link</v>
      </c>
      <c r="I11" s="136" t="s">
        <v>636</v>
      </c>
      <c r="J11" s="111"/>
    </row>
    <row r="12">
      <c r="A12" s="130">
        <v>33283.0</v>
      </c>
      <c r="B12" s="195" t="s">
        <v>32</v>
      </c>
      <c r="C12" s="105" t="str">
        <f t="shared" si="1"/>
        <v>setlist</v>
      </c>
      <c r="D12" s="132" t="s">
        <v>637</v>
      </c>
      <c r="E12" s="132" t="s">
        <v>168</v>
      </c>
      <c r="F12" s="133" t="s">
        <v>129</v>
      </c>
      <c r="G12" s="195">
        <v>192.0</v>
      </c>
      <c r="H12" s="105" t="str">
        <f>HYPERLINK("http://www.mediafire.com/download/0r475s0f8xs8l47/1991-02-14_-_The_State_Theatre_-_Ithaca%2C_NY.rar", "download link")</f>
        <v>download link</v>
      </c>
      <c r="I12" s="134" t="s">
        <v>638</v>
      </c>
      <c r="J12" s="106" t="s">
        <v>639</v>
      </c>
    </row>
    <row r="13">
      <c r="A13" s="147">
        <v>33284.0</v>
      </c>
      <c r="B13" s="158"/>
      <c r="C13" s="135" t="str">
        <f t="shared" si="1"/>
        <v>setlist</v>
      </c>
      <c r="D13" s="149" t="s">
        <v>523</v>
      </c>
      <c r="E13" s="149" t="s">
        <v>367</v>
      </c>
      <c r="F13" s="148" t="s">
        <v>182</v>
      </c>
      <c r="G13" s="148" t="s">
        <v>36</v>
      </c>
      <c r="H13" s="116" t="str">
        <f>HYPERLINK("http://www.mediafire.com/download/y3wpq8p7cmw8san/1991-02-15_-_The_Colonial_Theatre_-_Keene%2C_NH.rar", "download link")</f>
        <v>download link</v>
      </c>
      <c r="I13" s="136" t="s">
        <v>640</v>
      </c>
      <c r="J13" s="111"/>
    </row>
    <row r="14">
      <c r="A14" s="130">
        <v>33285.0</v>
      </c>
      <c r="B14" s="131"/>
      <c r="C14" s="105" t="str">
        <f t="shared" si="1"/>
        <v>setlist</v>
      </c>
      <c r="D14" s="132" t="s">
        <v>619</v>
      </c>
      <c r="E14" s="132" t="s">
        <v>162</v>
      </c>
      <c r="F14" s="133" t="s">
        <v>129</v>
      </c>
      <c r="G14" s="133" t="s">
        <v>36</v>
      </c>
      <c r="H14" s="105" t="str">
        <f>HYPERLINK("http://www.mediafire.com/download/d9g3rion1fag4ud/1991-02-16_-_The_Marquee_-_New_York%2C_NY.rar", "download link")</f>
        <v>download link</v>
      </c>
      <c r="I14" s="134" t="s">
        <v>641</v>
      </c>
      <c r="J14" s="134" t="s">
        <v>642</v>
      </c>
    </row>
    <row r="15">
      <c r="A15" s="147">
        <v>33288.0</v>
      </c>
      <c r="B15" s="158"/>
      <c r="C15" s="135" t="str">
        <f t="shared" si="1"/>
        <v>setlist</v>
      </c>
      <c r="D15" s="149" t="s">
        <v>455</v>
      </c>
      <c r="E15" s="149" t="s">
        <v>393</v>
      </c>
      <c r="F15" s="148" t="s">
        <v>394</v>
      </c>
      <c r="G15" s="148" t="s">
        <v>36</v>
      </c>
      <c r="H15" s="116" t="str">
        <f>HYPERLINK("http://www.mediafire.com/download/8o2a4bdwpnry2jm/1991-02-19_-_The_Bayou_-_Washington%2C_DC.rar", "download link")</f>
        <v>download link</v>
      </c>
      <c r="I15" s="136" t="s">
        <v>643</v>
      </c>
      <c r="J15" s="111"/>
    </row>
    <row r="16">
      <c r="A16" s="130">
        <v>33289.0</v>
      </c>
      <c r="B16" s="131"/>
      <c r="C16" s="105" t="str">
        <f t="shared" si="1"/>
        <v>setlist</v>
      </c>
      <c r="D16" s="132" t="s">
        <v>644</v>
      </c>
      <c r="E16" s="132" t="s">
        <v>445</v>
      </c>
      <c r="F16" s="133" t="s">
        <v>446</v>
      </c>
      <c r="G16" s="133" t="s">
        <v>36</v>
      </c>
      <c r="H16" s="105" t="str">
        <f>HYPERLINK("http://www.mediafire.com/download/fbpjr1rwii5o3t1/1991-02-20_-_Kahootz_-_Richmond%2C_VA.rar", "download link")</f>
        <v>download link</v>
      </c>
      <c r="I16" s="134" t="s">
        <v>645</v>
      </c>
      <c r="J16" s="106" t="s">
        <v>139</v>
      </c>
    </row>
    <row r="17">
      <c r="A17" s="147">
        <v>33290.0</v>
      </c>
      <c r="B17" s="148" t="s">
        <v>32</v>
      </c>
      <c r="C17" s="135" t="str">
        <f t="shared" si="1"/>
        <v>setlist</v>
      </c>
      <c r="D17" s="149" t="s">
        <v>578</v>
      </c>
      <c r="E17" s="149" t="s">
        <v>579</v>
      </c>
      <c r="F17" s="148" t="s">
        <v>446</v>
      </c>
      <c r="G17" s="148" t="s">
        <v>36</v>
      </c>
      <c r="H17" s="116" t="str">
        <f>HYPERLINK("http://www.mediafire.com/download/d7zw9znl6050135/1991-02-21_-_Trax_-_Charlottesville%2C_VA.rar", "download link")</f>
        <v>download link</v>
      </c>
      <c r="I17" s="136" t="s">
        <v>646</v>
      </c>
      <c r="J17" s="111"/>
    </row>
    <row r="18">
      <c r="A18" s="130">
        <v>33291.0</v>
      </c>
      <c r="B18" s="131"/>
      <c r="C18" s="105" t="str">
        <f t="shared" si="1"/>
        <v>setlist</v>
      </c>
      <c r="D18" s="132" t="s">
        <v>441</v>
      </c>
      <c r="E18" s="132" t="s">
        <v>442</v>
      </c>
      <c r="F18" s="133" t="s">
        <v>443</v>
      </c>
      <c r="G18" s="133" t="s">
        <v>36</v>
      </c>
      <c r="H18" s="105" t="str">
        <f>HYPERLINK("http://www.mediafire.com/download/wqb26n61z15fu1i/1991-02-22_-_Cat%27s_Cradle_-_Chapel_Hill%2C_NC.rar", "download link")</f>
        <v>download link</v>
      </c>
      <c r="I18" s="134" t="s">
        <v>138</v>
      </c>
      <c r="J18" s="106" t="s">
        <v>111</v>
      </c>
    </row>
    <row r="19">
      <c r="A19" s="147">
        <v>33292.0</v>
      </c>
      <c r="B19" s="158"/>
      <c r="C19" s="135" t="str">
        <f t="shared" si="1"/>
        <v>setlist</v>
      </c>
      <c r="D19" s="149" t="s">
        <v>647</v>
      </c>
      <c r="E19" s="149" t="s">
        <v>541</v>
      </c>
      <c r="F19" s="148" t="s">
        <v>443</v>
      </c>
      <c r="G19" s="158"/>
      <c r="H19" s="111"/>
      <c r="I19" s="80"/>
      <c r="J19" s="111"/>
    </row>
    <row r="20">
      <c r="A20" s="130">
        <v>33295.0</v>
      </c>
      <c r="B20" s="131"/>
      <c r="C20" s="105" t="str">
        <f t="shared" si="1"/>
        <v>setlist</v>
      </c>
      <c r="D20" s="132" t="s">
        <v>547</v>
      </c>
      <c r="E20" s="132" t="s">
        <v>548</v>
      </c>
      <c r="F20" s="133" t="s">
        <v>446</v>
      </c>
      <c r="G20" s="131"/>
      <c r="H20" s="104"/>
      <c r="I20" s="109"/>
      <c r="J20" s="104"/>
    </row>
    <row r="21">
      <c r="A21" s="150">
        <v>33296.0</v>
      </c>
      <c r="B21" s="156"/>
      <c r="C21" s="116" t="str">
        <f t="shared" si="1"/>
        <v>setlist</v>
      </c>
      <c r="D21" s="153" t="s">
        <v>648</v>
      </c>
      <c r="E21" s="153" t="s">
        <v>649</v>
      </c>
      <c r="F21" s="151" t="s">
        <v>650</v>
      </c>
      <c r="G21" s="156"/>
      <c r="H21" s="144"/>
      <c r="I21" s="146"/>
      <c r="J21" s="144"/>
    </row>
    <row r="22">
      <c r="A22" s="130">
        <v>33297.0</v>
      </c>
      <c r="B22" s="131"/>
      <c r="C22" s="105" t="str">
        <f t="shared" si="1"/>
        <v>setlist</v>
      </c>
      <c r="D22" s="132" t="s">
        <v>651</v>
      </c>
      <c r="E22" s="132" t="s">
        <v>652</v>
      </c>
      <c r="F22" s="133" t="s">
        <v>650</v>
      </c>
      <c r="G22" s="133" t="s">
        <v>36</v>
      </c>
      <c r="H22" s="105" t="str">
        <f>HYPERLINK("http://www.mediafire.com/download/g72z2uyg5p2qoq0/1991-02-28_-_Sarratt_Student_Center%2C_Vanderbilt_University_-_Nashville%2C_TN.rar", "download link")</f>
        <v>download link</v>
      </c>
      <c r="I22" s="134" t="s">
        <v>653</v>
      </c>
      <c r="J22" s="104"/>
    </row>
    <row r="23">
      <c r="A23" s="147">
        <v>33298.0</v>
      </c>
      <c r="B23" s="148" t="s">
        <v>32</v>
      </c>
      <c r="C23" s="135" t="str">
        <f t="shared" si="1"/>
        <v>setlist</v>
      </c>
      <c r="D23" s="172" t="s">
        <v>431</v>
      </c>
      <c r="E23" s="149" t="s">
        <v>432</v>
      </c>
      <c r="F23" s="148" t="s">
        <v>433</v>
      </c>
      <c r="G23" s="148" t="s">
        <v>36</v>
      </c>
      <c r="H23" s="135" t="str">
        <f>HYPERLINK("http://www.mediafire.com/download/vjpwghd117c27n9/1991-03-01_-_The_Georgia_Theatre_-_Athens%2C_GA.rar", "download link")</f>
        <v>download link</v>
      </c>
      <c r="I23" s="136" t="s">
        <v>654</v>
      </c>
      <c r="J23" s="80"/>
    </row>
    <row r="24">
      <c r="A24" s="130">
        <v>33299.0</v>
      </c>
      <c r="B24" s="131"/>
      <c r="C24" s="105" t="str">
        <f t="shared" si="1"/>
        <v>setlist</v>
      </c>
      <c r="D24" s="132" t="s">
        <v>436</v>
      </c>
      <c r="E24" s="132" t="s">
        <v>437</v>
      </c>
      <c r="F24" s="133" t="s">
        <v>433</v>
      </c>
      <c r="G24" s="131"/>
      <c r="H24" s="104"/>
      <c r="I24" s="109"/>
      <c r="J24" s="104"/>
    </row>
    <row r="25">
      <c r="A25" s="150">
        <v>33303.0</v>
      </c>
      <c r="B25" s="156"/>
      <c r="C25" s="116" t="str">
        <f t="shared" si="1"/>
        <v>setlist</v>
      </c>
      <c r="D25" s="153" t="s">
        <v>655</v>
      </c>
      <c r="E25" s="153" t="s">
        <v>656</v>
      </c>
      <c r="F25" s="151" t="s">
        <v>650</v>
      </c>
      <c r="G25" s="156"/>
      <c r="H25" s="144"/>
      <c r="I25" s="146"/>
      <c r="J25" s="144"/>
    </row>
    <row r="26">
      <c r="A26" s="130">
        <v>33304.0</v>
      </c>
      <c r="B26" s="131"/>
      <c r="C26" s="105" t="str">
        <f t="shared" si="1"/>
        <v>setlist</v>
      </c>
      <c r="D26" s="132" t="s">
        <v>657</v>
      </c>
      <c r="E26" s="132" t="s">
        <v>658</v>
      </c>
      <c r="F26" s="133" t="s">
        <v>659</v>
      </c>
      <c r="G26" s="131"/>
      <c r="H26" s="104"/>
      <c r="I26" s="109"/>
      <c r="J26" s="104"/>
    </row>
    <row r="27">
      <c r="A27" s="150">
        <v>33305.0</v>
      </c>
      <c r="B27" s="196" t="s">
        <v>32</v>
      </c>
      <c r="C27" s="116" t="str">
        <f t="shared" si="1"/>
        <v>setlist</v>
      </c>
      <c r="D27" s="153" t="s">
        <v>660</v>
      </c>
      <c r="E27" s="153" t="s">
        <v>582</v>
      </c>
      <c r="F27" s="151" t="s">
        <v>583</v>
      </c>
      <c r="G27" s="151" t="s">
        <v>36</v>
      </c>
      <c r="H27" s="116" t="str">
        <f>HYPERLINK("http://www.mediafire.com/download/kj8b6w66gq6a2k8/1991-03-08_-_College_Station_Theater_-_Tuscaloosa%2C_AL.rar", "download link")</f>
        <v>download link</v>
      </c>
      <c r="I27" s="117" t="s">
        <v>661</v>
      </c>
      <c r="J27" s="118" t="s">
        <v>53</v>
      </c>
    </row>
    <row r="28">
      <c r="A28" s="130">
        <v>33306.0</v>
      </c>
      <c r="B28" s="131"/>
      <c r="C28" s="105" t="str">
        <f t="shared" si="1"/>
        <v>setlist</v>
      </c>
      <c r="D28" s="132" t="s">
        <v>584</v>
      </c>
      <c r="E28" s="132" t="s">
        <v>585</v>
      </c>
      <c r="F28" s="133" t="s">
        <v>586</v>
      </c>
      <c r="G28" s="133" t="s">
        <v>36</v>
      </c>
      <c r="H28" s="105" t="str">
        <f>HYPERLINK("http://www.mediafire.com/download/jno4dojmiv20k55/1991-03-09_-_Tipitina%27s_-_New_Orleans%2C_LA.rar", "download link")</f>
        <v>download link</v>
      </c>
      <c r="I28" s="134" t="s">
        <v>662</v>
      </c>
      <c r="J28" s="134" t="s">
        <v>604</v>
      </c>
    </row>
    <row r="29">
      <c r="A29" s="147">
        <v>33310.0</v>
      </c>
      <c r="B29" s="148" t="s">
        <v>32</v>
      </c>
      <c r="C29" s="135" t="str">
        <f t="shared" si="1"/>
        <v>setlist</v>
      </c>
      <c r="D29" s="149" t="s">
        <v>500</v>
      </c>
      <c r="E29" s="149" t="s">
        <v>488</v>
      </c>
      <c r="F29" s="148" t="s">
        <v>203</v>
      </c>
      <c r="G29" s="148" t="s">
        <v>36</v>
      </c>
      <c r="H29" s="116" t="str">
        <f>HYPERLINK("http://www.mediafire.com/download/a13d2r09zrzx6ms/1991-03-13_-_Boulder_Theater_-_Boulder%2C_CO.rar", "download link")</f>
        <v>download link</v>
      </c>
      <c r="I29" s="136" t="s">
        <v>663</v>
      </c>
      <c r="J29" s="111"/>
    </row>
    <row r="30">
      <c r="A30" s="130">
        <v>33312.0</v>
      </c>
      <c r="B30" s="133" t="s">
        <v>32</v>
      </c>
      <c r="C30" s="105" t="str">
        <f t="shared" si="1"/>
        <v>setlist</v>
      </c>
      <c r="D30" s="132" t="s">
        <v>664</v>
      </c>
      <c r="E30" s="132" t="s">
        <v>665</v>
      </c>
      <c r="F30" s="133" t="s">
        <v>203</v>
      </c>
      <c r="G30" s="133" t="s">
        <v>36</v>
      </c>
      <c r="H30" s="105" t="str">
        <f>HYPERLINK("http://www.mediafire.com/download/3qsqatkdqytgf5b/1991-03-15_-_Gothic_Theatre_-_Englewood%2C_CO.rar", "download link")</f>
        <v>download link</v>
      </c>
      <c r="I30" s="134" t="s">
        <v>666</v>
      </c>
      <c r="J30" s="106"/>
    </row>
    <row r="31">
      <c r="A31" s="147">
        <v>33313.0</v>
      </c>
      <c r="B31" s="148" t="s">
        <v>32</v>
      </c>
      <c r="C31" s="135" t="str">
        <f t="shared" si="1"/>
        <v>setlist</v>
      </c>
      <c r="D31" s="149" t="s">
        <v>667</v>
      </c>
      <c r="E31" s="149" t="s">
        <v>668</v>
      </c>
      <c r="F31" s="148" t="s">
        <v>203</v>
      </c>
      <c r="G31" s="148" t="s">
        <v>36</v>
      </c>
      <c r="H31" s="116" t="str">
        <f>HYPERLINK("http://www.mediafire.com/download/0zjtz2n61tnwr2v/1991-03-16_-_Ten_Mile_Room_-_Breckenridge%2C_CO.rar", "download link")</f>
        <v>download link</v>
      </c>
      <c r="I31" s="136" t="s">
        <v>669</v>
      </c>
      <c r="J31" s="111"/>
    </row>
    <row r="32">
      <c r="A32" s="130">
        <v>33314.0</v>
      </c>
      <c r="B32" s="133" t="s">
        <v>32</v>
      </c>
      <c r="C32" s="105" t="str">
        <f t="shared" si="1"/>
        <v>setlist</v>
      </c>
      <c r="D32" s="132" t="s">
        <v>670</v>
      </c>
      <c r="E32" s="132" t="s">
        <v>208</v>
      </c>
      <c r="F32" s="133" t="s">
        <v>203</v>
      </c>
      <c r="G32" s="133" t="s">
        <v>36</v>
      </c>
      <c r="H32" s="105" t="str">
        <f>HYPERLINK("http://www.mediafire.com/download/i2t7g1f02rcvd52/1991-03-17_-_Wheeler_Opera_House_-_Aspen%2C_CO.rar", "download link")</f>
        <v>download link</v>
      </c>
      <c r="I32" s="134" t="s">
        <v>671</v>
      </c>
      <c r="J32" s="106" t="s">
        <v>595</v>
      </c>
    </row>
    <row r="33">
      <c r="A33" s="150">
        <v>33319.0</v>
      </c>
      <c r="B33" s="151" t="s">
        <v>32</v>
      </c>
      <c r="C33" s="116" t="str">
        <f t="shared" si="1"/>
        <v>setlist</v>
      </c>
      <c r="D33" s="153" t="s">
        <v>496</v>
      </c>
      <c r="E33" s="153" t="s">
        <v>465</v>
      </c>
      <c r="F33" s="151" t="s">
        <v>203</v>
      </c>
      <c r="G33" s="151" t="s">
        <v>36</v>
      </c>
      <c r="H33" s="116" t="str">
        <f>HYPERLINK("http://www.mediafire.com/download/x3isiv3od73lvne/1991-03-22_-_The_Inferno_-_Steamboat_Springs%2C_CO.rar", "download link")</f>
        <v>download link</v>
      </c>
      <c r="I33" s="117" t="s">
        <v>672</v>
      </c>
      <c r="J33" s="117" t="s">
        <v>673</v>
      </c>
    </row>
    <row r="34">
      <c r="A34" s="130">
        <v>33320.0</v>
      </c>
      <c r="B34" s="133" t="s">
        <v>32</v>
      </c>
      <c r="C34" s="105" t="str">
        <f t="shared" si="1"/>
        <v>setlist</v>
      </c>
      <c r="D34" s="132" t="s">
        <v>496</v>
      </c>
      <c r="E34" s="132" t="s">
        <v>465</v>
      </c>
      <c r="F34" s="133" t="s">
        <v>203</v>
      </c>
      <c r="G34" s="133" t="s">
        <v>36</v>
      </c>
      <c r="H34" s="105" t="str">
        <f>HYPERLINK("http://www.mediafire.com/download/7c28g8jckk8oqpu/1991-03-23_-_The_Inferno_-_Steamboat_Springs%2C_CO.rar", "download link")</f>
        <v>download link</v>
      </c>
      <c r="I34" s="134" t="s">
        <v>674</v>
      </c>
      <c r="J34" s="104"/>
    </row>
    <row r="35">
      <c r="A35" s="150">
        <v>33322.0</v>
      </c>
      <c r="B35" s="156"/>
      <c r="C35" s="116" t="str">
        <f t="shared" si="1"/>
        <v>setlist</v>
      </c>
      <c r="D35" s="152" t="s">
        <v>675</v>
      </c>
      <c r="E35" s="152" t="s">
        <v>676</v>
      </c>
      <c r="F35" s="196" t="s">
        <v>203</v>
      </c>
      <c r="G35" s="151"/>
      <c r="H35" s="197"/>
      <c r="I35" s="118"/>
      <c r="J35" s="118"/>
    </row>
    <row r="36">
      <c r="A36" s="130">
        <v>33325.0</v>
      </c>
      <c r="B36" s="131"/>
      <c r="C36" s="105" t="str">
        <f t="shared" si="1"/>
        <v>setlist</v>
      </c>
      <c r="D36" s="132" t="s">
        <v>677</v>
      </c>
      <c r="E36" s="132" t="s">
        <v>678</v>
      </c>
      <c r="F36" s="133" t="s">
        <v>679</v>
      </c>
      <c r="G36" s="133" t="s">
        <v>36</v>
      </c>
      <c r="H36" s="105" t="str">
        <f>HYPERLINK("http://www.mediafire.com/download/nukyfqmsmynwmwb/1991-03-28_-_The_Catalyst_-_Santa_Cruz%2C_CA.rar", "download link")</f>
        <v>download link</v>
      </c>
      <c r="I36" s="134" t="s">
        <v>680</v>
      </c>
      <c r="J36" s="106" t="s">
        <v>681</v>
      </c>
    </row>
    <row r="37">
      <c r="A37" s="147">
        <v>33326.0</v>
      </c>
      <c r="B37" s="158"/>
      <c r="C37" s="135" t="str">
        <f t="shared" si="1"/>
        <v>setlist</v>
      </c>
      <c r="D37" s="149" t="s">
        <v>682</v>
      </c>
      <c r="E37" s="149" t="s">
        <v>683</v>
      </c>
      <c r="F37" s="148" t="s">
        <v>679</v>
      </c>
      <c r="G37" s="148" t="s">
        <v>36</v>
      </c>
      <c r="H37" s="135" t="str">
        <f>HYPERLINK("http://www.mediafire.com/download/opgfcoki8n6pjaj/1991-03-29_-_DNA_Lounge_-_San_Francisco%2C_CA.rar", "download link")</f>
        <v>download link</v>
      </c>
      <c r="I37" s="136" t="s">
        <v>684</v>
      </c>
      <c r="J37" s="113" t="s">
        <v>111</v>
      </c>
    </row>
    <row r="38">
      <c r="A38" s="130">
        <v>33328.0</v>
      </c>
      <c r="B38" s="131"/>
      <c r="C38" s="105" t="str">
        <f t="shared" si="1"/>
        <v>setlist</v>
      </c>
      <c r="D38" s="132" t="s">
        <v>685</v>
      </c>
      <c r="E38" s="132" t="s">
        <v>686</v>
      </c>
      <c r="F38" s="133" t="s">
        <v>679</v>
      </c>
      <c r="G38" s="133" t="s">
        <v>36</v>
      </c>
      <c r="H38" s="105" t="str">
        <f>HYPERLINK("http://www.mediafire.com/download/a70p82fk40drys5/1991-03-31_-_Berkeley_Square_Theatre_-_Berkeley%2C_CA.rar", "download link")</f>
        <v>download link</v>
      </c>
      <c r="I38" s="134" t="s">
        <v>687</v>
      </c>
      <c r="J38" s="104"/>
    </row>
    <row r="39">
      <c r="A39" s="147">
        <v>33330.0</v>
      </c>
      <c r="B39" s="158"/>
      <c r="C39" s="135" t="str">
        <f t="shared" si="1"/>
        <v>setlist</v>
      </c>
      <c r="D39" s="149" t="s">
        <v>688</v>
      </c>
      <c r="E39" s="149" t="s">
        <v>689</v>
      </c>
      <c r="F39" s="148" t="s">
        <v>679</v>
      </c>
      <c r="G39" s="148" t="s">
        <v>36</v>
      </c>
      <c r="H39" s="116" t="str">
        <f>HYPERLINK("http://www.mediafire.com/download/0g4po4fo5t3pcmn/1991-04-02_-_International_Beer_Garden_-_Arcata%2C_CA.rar", "download link")</f>
        <v>download link</v>
      </c>
      <c r="I39" s="136" t="s">
        <v>543</v>
      </c>
      <c r="J39" s="111"/>
    </row>
    <row r="40">
      <c r="A40" s="130">
        <v>33331.0</v>
      </c>
      <c r="B40" s="131"/>
      <c r="C40" s="105" t="str">
        <f t="shared" si="1"/>
        <v>setlist</v>
      </c>
      <c r="D40" s="132" t="s">
        <v>690</v>
      </c>
      <c r="E40" s="132" t="s">
        <v>691</v>
      </c>
      <c r="F40" s="133" t="s">
        <v>692</v>
      </c>
      <c r="G40" s="195" t="s">
        <v>36</v>
      </c>
      <c r="H40" s="105" t="str">
        <f>HYPERLINK("http://www.mediafire.com/download/uzsci0gc416tkl5/1991-04-03_-_Britt_Ballroom%2C_Southern_Oregon_State_College_-_Ashland%2C_OR.rar", "download link")</f>
        <v>download link</v>
      </c>
      <c r="I40" s="134" t="s">
        <v>693</v>
      </c>
      <c r="J40" s="104"/>
    </row>
    <row r="41">
      <c r="A41" s="147">
        <v>33332.0</v>
      </c>
      <c r="B41" s="148" t="s">
        <v>32</v>
      </c>
      <c r="C41" s="135" t="str">
        <f t="shared" si="1"/>
        <v>setlist</v>
      </c>
      <c r="D41" s="149" t="s">
        <v>694</v>
      </c>
      <c r="E41" s="149" t="s">
        <v>695</v>
      </c>
      <c r="F41" s="148" t="s">
        <v>692</v>
      </c>
      <c r="G41" s="148" t="s">
        <v>36</v>
      </c>
      <c r="H41" s="116" t="str">
        <f>HYPERLINK("http://www.mediafire.com/download/i0j3d0h3a5jx3bd/1991-04-04_-_WOW_Hall_-_Eugene%2C_OR.rar", "download link")</f>
        <v>download link</v>
      </c>
      <c r="I41" s="136" t="s">
        <v>696</v>
      </c>
      <c r="J41" s="111"/>
    </row>
    <row r="42">
      <c r="A42" s="130">
        <v>33333.0</v>
      </c>
      <c r="B42" s="133" t="s">
        <v>32</v>
      </c>
      <c r="C42" s="105" t="str">
        <f t="shared" si="1"/>
        <v>setlist</v>
      </c>
      <c r="D42" s="132" t="s">
        <v>697</v>
      </c>
      <c r="E42" s="132" t="s">
        <v>279</v>
      </c>
      <c r="F42" s="133" t="s">
        <v>692</v>
      </c>
      <c r="G42" s="133" t="s">
        <v>36</v>
      </c>
      <c r="H42" s="105" t="str">
        <f>HYPERLINK("http://www.mediafire.com/download/03wep56d60w62s5/1991-04-05_-_Starry_Night_-_Portland%2C_OR.rar", "download link")</f>
        <v>download link</v>
      </c>
      <c r="I42" s="134" t="s">
        <v>698</v>
      </c>
      <c r="J42" s="104"/>
    </row>
    <row r="43">
      <c r="A43" s="147">
        <v>33334.0</v>
      </c>
      <c r="B43" s="148" t="s">
        <v>32</v>
      </c>
      <c r="C43" s="135" t="str">
        <f t="shared" si="1"/>
        <v>setlist</v>
      </c>
      <c r="D43" s="149" t="s">
        <v>699</v>
      </c>
      <c r="E43" s="149" t="s">
        <v>700</v>
      </c>
      <c r="F43" s="148" t="s">
        <v>701</v>
      </c>
      <c r="G43" s="148" t="s">
        <v>36</v>
      </c>
      <c r="H43" s="116" t="str">
        <f>HYPERLINK("http://www.mediafire.com/download/e9r84r6453bxbm4/1991-04-06_-_Campus_Recreation_Center%2C_Evergreen_College_-_Olympia%2C_WA.rar", "download link")</f>
        <v>download link</v>
      </c>
      <c r="I43" s="136" t="s">
        <v>702</v>
      </c>
      <c r="J43" s="80"/>
    </row>
    <row r="44">
      <c r="A44" s="130">
        <v>33339.0</v>
      </c>
      <c r="B44" s="133" t="s">
        <v>32</v>
      </c>
      <c r="C44" s="105" t="str">
        <f t="shared" si="1"/>
        <v>setlist</v>
      </c>
      <c r="D44" s="132" t="s">
        <v>703</v>
      </c>
      <c r="E44" s="132" t="s">
        <v>317</v>
      </c>
      <c r="F44" s="133" t="s">
        <v>486</v>
      </c>
      <c r="G44" s="133" t="s">
        <v>36</v>
      </c>
      <c r="H44" s="105" t="str">
        <f>HYPERLINK("http://www.mediafire.com/download/2pk9ad8k8dqfn8r/1991-04-11_-_The_Cave%2C_Carleton_College_-_Northfield%2C_MN.rar", "download link")</f>
        <v>download link</v>
      </c>
      <c r="I44" s="134" t="s">
        <v>603</v>
      </c>
      <c r="J44" s="134" t="s">
        <v>287</v>
      </c>
    </row>
    <row r="45">
      <c r="A45" s="147">
        <v>33340.0</v>
      </c>
      <c r="B45" s="148" t="s">
        <v>32</v>
      </c>
      <c r="C45" s="135" t="str">
        <f t="shared" si="1"/>
        <v>setlist</v>
      </c>
      <c r="D45" s="149" t="s">
        <v>704</v>
      </c>
      <c r="E45" s="149" t="s">
        <v>482</v>
      </c>
      <c r="F45" s="148" t="s">
        <v>483</v>
      </c>
      <c r="G45" s="148" t="s">
        <v>36</v>
      </c>
      <c r="H45" s="116" t="str">
        <f>HYPERLINK("http://www.mediafire.com/download/8v4189k9y3brob9/1991-04-12_-_Barrymore_Theatre_-_Madison%2C_WI.rar", "download link")</f>
        <v>download link</v>
      </c>
      <c r="I45" s="136" t="s">
        <v>158</v>
      </c>
      <c r="J45" s="113" t="s">
        <v>287</v>
      </c>
    </row>
    <row r="46">
      <c r="A46" s="130">
        <v>33341.0</v>
      </c>
      <c r="B46" s="131"/>
      <c r="C46" s="105" t="str">
        <f t="shared" si="1"/>
        <v>setlist</v>
      </c>
      <c r="D46" s="132" t="s">
        <v>705</v>
      </c>
      <c r="E46" s="132" t="s">
        <v>479</v>
      </c>
      <c r="F46" s="133" t="s">
        <v>480</v>
      </c>
      <c r="G46" s="133" t="s">
        <v>36</v>
      </c>
      <c r="H46" s="105" t="str">
        <f>HYPERLINK("http://www.mediafire.com/download/ab56agbwtywy8qa/1991-04-13_-_Biddy_Mulligan%27s_-_Chicago%2C_IL.rar", "download link")</f>
        <v>download link</v>
      </c>
      <c r="I46" s="134" t="s">
        <v>706</v>
      </c>
      <c r="J46" s="104"/>
    </row>
    <row r="47">
      <c r="A47" s="147">
        <v>33343.0</v>
      </c>
      <c r="B47" s="148" t="s">
        <v>32</v>
      </c>
      <c r="C47" s="135" t="str">
        <f t="shared" si="1"/>
        <v>setlist</v>
      </c>
      <c r="D47" s="149" t="s">
        <v>707</v>
      </c>
      <c r="E47" s="149" t="s">
        <v>708</v>
      </c>
      <c r="F47" s="148" t="s">
        <v>480</v>
      </c>
      <c r="G47" s="148" t="s">
        <v>36</v>
      </c>
      <c r="H47" s="116" t="str">
        <f>HYPERLINK("http://www.mediafire.com/download/3hed6u67iv839f3/1991-04-15_-_The_Gathering_Place%2C_Northwestern_University_-_Evanston%2C_IL.rar", "download link")</f>
        <v>download link</v>
      </c>
      <c r="I47" s="136" t="s">
        <v>709</v>
      </c>
      <c r="J47" s="111"/>
    </row>
    <row r="48">
      <c r="A48" s="130">
        <v>33344.0</v>
      </c>
      <c r="B48" s="133" t="s">
        <v>32</v>
      </c>
      <c r="C48" s="105" t="str">
        <f t="shared" si="1"/>
        <v>setlist</v>
      </c>
      <c r="D48" s="132" t="s">
        <v>710</v>
      </c>
      <c r="E48" s="132" t="s">
        <v>711</v>
      </c>
      <c r="F48" s="133" t="s">
        <v>712</v>
      </c>
      <c r="G48" s="133" t="s">
        <v>36</v>
      </c>
      <c r="H48" s="105" t="str">
        <f>HYPERLINK("http://www.mediafire.com/download/fe3bd31hctuq303/1991-04-16_-_Rick%27s_Cafe_-_Ann_Arbor%2C_MI.rar", "download link")</f>
        <v>download link</v>
      </c>
      <c r="I48" s="134" t="s">
        <v>388</v>
      </c>
      <c r="J48" s="104"/>
    </row>
    <row r="49">
      <c r="A49" s="150">
        <v>33346.0</v>
      </c>
      <c r="B49" s="156"/>
      <c r="C49" s="135" t="str">
        <f t="shared" si="1"/>
        <v>setlist</v>
      </c>
      <c r="D49" s="153" t="s">
        <v>513</v>
      </c>
      <c r="E49" s="153" t="s">
        <v>514</v>
      </c>
      <c r="F49" s="151" t="s">
        <v>472</v>
      </c>
      <c r="G49" s="151" t="s">
        <v>36</v>
      </c>
      <c r="H49" s="116" t="str">
        <f>HYPERLINK("http://www.mediafire.com/download/gea6ujpcmn2ec40/1991-04-18_-_Dionysus_Club%2C_The_%27Sco%2C_Oberlin_College_-_Oberlin%2C_OH.rar", "download link")</f>
        <v>download link</v>
      </c>
      <c r="I49" s="117" t="s">
        <v>713</v>
      </c>
      <c r="J49" s="144"/>
    </row>
    <row r="50">
      <c r="A50" s="130">
        <v>33347.0</v>
      </c>
      <c r="B50" s="131"/>
      <c r="C50" s="105" t="str">
        <f t="shared" si="1"/>
        <v>setlist</v>
      </c>
      <c r="D50" s="132" t="s">
        <v>714</v>
      </c>
      <c r="E50" s="132" t="s">
        <v>715</v>
      </c>
      <c r="F50" s="133" t="s">
        <v>129</v>
      </c>
      <c r="G50" s="133" t="s">
        <v>36</v>
      </c>
      <c r="H50" s="105" t="str">
        <f>HYPERLINK("http://www.mediafire.com/download/ht1sq35ljsm205g/1991-04-19_-_Nietzsche%27s_-_Buffalo%2C_NY.rar", "download link")</f>
        <v>download link</v>
      </c>
      <c r="I50" s="134" t="s">
        <v>716</v>
      </c>
      <c r="J50" s="134" t="s">
        <v>287</v>
      </c>
    </row>
    <row r="51">
      <c r="A51" s="147">
        <v>33348.0</v>
      </c>
      <c r="B51" s="158"/>
      <c r="C51" s="135" t="str">
        <f t="shared" si="1"/>
        <v>setlist</v>
      </c>
      <c r="D51" s="149" t="s">
        <v>717</v>
      </c>
      <c r="E51" s="149" t="s">
        <v>718</v>
      </c>
      <c r="F51" s="148" t="s">
        <v>129</v>
      </c>
      <c r="G51" s="148" t="s">
        <v>36</v>
      </c>
      <c r="H51" s="116" t="str">
        <f>HYPERLINK("http://www.mediafire.com/download/ohzsa62k0w6pw27/1991-04-20_-_Douglas_Dining_Center%2C_University_of_Rochester_-_Rochester%2C_NY.rar", "download link")</f>
        <v>download link</v>
      </c>
      <c r="I51" s="136" t="s">
        <v>719</v>
      </c>
      <c r="J51" s="111"/>
    </row>
    <row r="52">
      <c r="A52" s="130">
        <v>33349.0</v>
      </c>
      <c r="B52" s="133" t="s">
        <v>32</v>
      </c>
      <c r="C52" s="105" t="str">
        <f t="shared" si="1"/>
        <v>setlist</v>
      </c>
      <c r="D52" s="132" t="s">
        <v>720</v>
      </c>
      <c r="E52" s="132" t="s">
        <v>721</v>
      </c>
      <c r="F52" s="133" t="s">
        <v>129</v>
      </c>
      <c r="G52" s="133" t="s">
        <v>36</v>
      </c>
      <c r="H52" s="105" t="str">
        <f>HYPERLINK("http://www.mediafire.com/download/3lkpio6v9jwhx76/1991-04-21_-_SUNY_Potsdam_-_Potsdam%2C_NY.rar", "download link")</f>
        <v>download link</v>
      </c>
      <c r="I52" s="134" t="s">
        <v>722</v>
      </c>
      <c r="J52" s="104"/>
    </row>
    <row r="53">
      <c r="A53" s="147">
        <v>33350.0</v>
      </c>
      <c r="B53" s="158"/>
      <c r="C53" s="135" t="str">
        <f t="shared" si="1"/>
        <v>setlist</v>
      </c>
      <c r="D53" s="149" t="s">
        <v>116</v>
      </c>
      <c r="E53" s="149" t="s">
        <v>34</v>
      </c>
      <c r="F53" s="148" t="s">
        <v>35</v>
      </c>
      <c r="G53" s="148" t="s">
        <v>36</v>
      </c>
      <c r="H53" s="116" t="str">
        <f>HYPERLINK("http://www.mediafire.com/download/trmc03gcro8a1ei/1991-04-22_-_Billings_Lounge%2C_University_of_Vermont_-_Burlington%2C_VT.rar", "download link")</f>
        <v>download link</v>
      </c>
      <c r="I53" s="136" t="s">
        <v>723</v>
      </c>
      <c r="J53" s="111"/>
    </row>
    <row r="54">
      <c r="A54" s="130">
        <v>33353.0</v>
      </c>
      <c r="B54" s="131"/>
      <c r="C54" s="105" t="str">
        <f t="shared" si="1"/>
        <v>setlist</v>
      </c>
      <c r="D54" s="132" t="s">
        <v>461</v>
      </c>
      <c r="E54" s="132" t="s">
        <v>225</v>
      </c>
      <c r="F54" s="133" t="s">
        <v>182</v>
      </c>
      <c r="G54" s="133" t="s">
        <v>36</v>
      </c>
      <c r="H54" s="105" t="str">
        <f>HYPERLINK("http://www.mediafire.com/download/bvhwdazevogacf6/1991-04-25_-_Field_House%2C_University_of_New_Hampshire_-_Durham%2C_NH.rar", "download link")</f>
        <v>download link</v>
      </c>
      <c r="I54" s="134" t="s">
        <v>527</v>
      </c>
      <c r="J54" s="104"/>
    </row>
    <row r="55">
      <c r="A55" s="147">
        <v>33354.0</v>
      </c>
      <c r="B55" s="158"/>
      <c r="C55" s="135" t="str">
        <f t="shared" si="1"/>
        <v>setlist</v>
      </c>
      <c r="D55" s="172" t="s">
        <v>724</v>
      </c>
      <c r="E55" s="149" t="s">
        <v>725</v>
      </c>
      <c r="F55" s="148" t="s">
        <v>182</v>
      </c>
      <c r="G55" s="148" t="s">
        <v>36</v>
      </c>
      <c r="H55" s="116" t="str">
        <f>HYPERLINK("http://www.mediafire.com/download/l6md9jcaojalng1/1991-04-26_-_Hartman_Union_Activities_Center%2C_Plymouth_State_University_-_Plymouth%2C_NH.rar", "download link")</f>
        <v>download link</v>
      </c>
      <c r="I55" s="136" t="s">
        <v>293</v>
      </c>
      <c r="J55" s="113" t="s">
        <v>287</v>
      </c>
    </row>
    <row r="56">
      <c r="A56" s="130">
        <v>33355.0</v>
      </c>
      <c r="B56" s="133" t="s">
        <v>32</v>
      </c>
      <c r="C56" s="105" t="str">
        <f t="shared" si="1"/>
        <v>setlist</v>
      </c>
      <c r="D56" s="132" t="s">
        <v>570</v>
      </c>
      <c r="E56" s="132" t="s">
        <v>571</v>
      </c>
      <c r="F56" s="133" t="s">
        <v>129</v>
      </c>
      <c r="G56" s="133" t="s">
        <v>36</v>
      </c>
      <c r="H56" s="105" t="str">
        <f>HYPERLINK("http://www.mediafire.com/download/xd7jjtavdkn5wdq/1991-04-27_-_The_Capitol_Theatre_-_Port_Chester%2C_NY.rar", "download link")</f>
        <v>download link</v>
      </c>
      <c r="I56" s="134" t="s">
        <v>572</v>
      </c>
      <c r="J56" s="104"/>
    </row>
    <row r="57">
      <c r="A57" s="147">
        <v>33360.0</v>
      </c>
      <c r="B57" s="158"/>
      <c r="C57" s="135" t="str">
        <f t="shared" si="1"/>
        <v>setlist</v>
      </c>
      <c r="D57" s="149" t="s">
        <v>375</v>
      </c>
      <c r="E57" s="149" t="s">
        <v>376</v>
      </c>
      <c r="F57" s="148" t="s">
        <v>129</v>
      </c>
      <c r="G57" s="148" t="s">
        <v>36</v>
      </c>
      <c r="H57" s="116" t="str">
        <f>HYPERLINK("http://www.mediafire.com/download/lk1kcmflp3kws2c/1991-05-02_-_The_Chance_-_Poughkeepsie%2C_NY.rar", "download link")</f>
        <v>download link</v>
      </c>
      <c r="I57" s="136" t="s">
        <v>726</v>
      </c>
      <c r="J57" s="113" t="s">
        <v>727</v>
      </c>
    </row>
    <row r="58">
      <c r="A58" s="130">
        <v>33361.0</v>
      </c>
      <c r="B58" s="133" t="s">
        <v>32</v>
      </c>
      <c r="C58" s="105" t="str">
        <f t="shared" si="1"/>
        <v>setlist</v>
      </c>
      <c r="D58" s="132" t="s">
        <v>562</v>
      </c>
      <c r="E58" s="132" t="s">
        <v>290</v>
      </c>
      <c r="F58" s="133" t="s">
        <v>95</v>
      </c>
      <c r="G58" s="133" t="s">
        <v>36</v>
      </c>
      <c r="H58" s="105" t="str">
        <f>HYPERLINK("http://www.mediafire.com/download/b2hdx5663rh9b45/1991-05-03_-_Somerville_Theatre_-_Somerville%2C_MA.rar", "download link")</f>
        <v>download link</v>
      </c>
      <c r="I58" s="134" t="s">
        <v>23</v>
      </c>
      <c r="J58" s="104"/>
    </row>
    <row r="59">
      <c r="A59" s="147">
        <v>33362.0</v>
      </c>
      <c r="B59" s="158"/>
      <c r="C59" s="135" t="str">
        <f t="shared" si="1"/>
        <v>setlist</v>
      </c>
      <c r="D59" s="149" t="s">
        <v>562</v>
      </c>
      <c r="E59" s="149" t="s">
        <v>290</v>
      </c>
      <c r="F59" s="148" t="s">
        <v>95</v>
      </c>
      <c r="G59" s="148" t="s">
        <v>36</v>
      </c>
      <c r="H59" s="116" t="str">
        <f>HYPERLINK("http://www.mediafire.com/download/c016wkc1lo31umr/1991-05-04_-_Somerville_Theatre_-_Somerville%2C_MA.rar", "download link")</f>
        <v>download link</v>
      </c>
      <c r="I59" s="136" t="s">
        <v>527</v>
      </c>
      <c r="J59" s="111"/>
    </row>
    <row r="60">
      <c r="A60" s="130">
        <v>33367.0</v>
      </c>
      <c r="B60" s="131"/>
      <c r="C60" s="105" t="str">
        <f t="shared" si="1"/>
        <v>setlist</v>
      </c>
      <c r="D60" s="132" t="s">
        <v>728</v>
      </c>
      <c r="E60" s="132" t="s">
        <v>279</v>
      </c>
      <c r="F60" s="133" t="s">
        <v>257</v>
      </c>
      <c r="G60" s="133" t="s">
        <v>36</v>
      </c>
      <c r="H60" s="105" t="str">
        <f>HYPERLINK("http://www.mediafire.com/download/z4vyg47559h820g/1991-05-09_-_Portland_Performing_Arts_Center_-_Portland%2C_ME.rar", "download link")</f>
        <v>download link</v>
      </c>
      <c r="I60" s="134" t="s">
        <v>729</v>
      </c>
      <c r="J60" s="104"/>
    </row>
    <row r="61">
      <c r="A61" s="147">
        <v>33368.0</v>
      </c>
      <c r="B61" s="148" t="s">
        <v>32</v>
      </c>
      <c r="C61" s="135" t="str">
        <f t="shared" si="1"/>
        <v>setlist</v>
      </c>
      <c r="D61" s="149" t="s">
        <v>730</v>
      </c>
      <c r="E61" s="149" t="s">
        <v>731</v>
      </c>
      <c r="F61" s="148" t="s">
        <v>257</v>
      </c>
      <c r="G61" s="148" t="s">
        <v>36</v>
      </c>
      <c r="H61" s="116" t="str">
        <f>HYPERLINK("http://www.mediafire.com/download/x4y01y02279xacz/1991-05-10_-_Page_Commons_Room%2C_Student_Center%2C_Colby_College_-_Waterville%2C_ME.rar", "download link")</f>
        <v>download link</v>
      </c>
      <c r="I61" s="136" t="s">
        <v>732</v>
      </c>
      <c r="J61" s="113" t="s">
        <v>733</v>
      </c>
    </row>
    <row r="62">
      <c r="A62" s="130">
        <v>33369.0</v>
      </c>
      <c r="B62" s="133" t="s">
        <v>32</v>
      </c>
      <c r="C62" s="105" t="str">
        <f t="shared" si="1"/>
        <v>setlist</v>
      </c>
      <c r="D62" s="132" t="s">
        <v>178</v>
      </c>
      <c r="E62" s="132" t="s">
        <v>34</v>
      </c>
      <c r="F62" s="133" t="s">
        <v>35</v>
      </c>
      <c r="G62" s="133" t="s">
        <v>36</v>
      </c>
      <c r="H62" s="105" t="str">
        <f>HYPERLINK("http://www.mediafire.com/download/bc2kitgldw72by1/1991-05-11_-_The_Front_-_Burlington%2C_VT.rar", "download link")</f>
        <v>download link</v>
      </c>
      <c r="I62" s="134" t="s">
        <v>734</v>
      </c>
      <c r="J62" s="106"/>
    </row>
    <row r="63">
      <c r="A63" s="147">
        <v>33370.0</v>
      </c>
      <c r="B63" s="158"/>
      <c r="C63" s="135" t="str">
        <f t="shared" si="1"/>
        <v>setlist</v>
      </c>
      <c r="D63" s="149" t="s">
        <v>178</v>
      </c>
      <c r="E63" s="149" t="s">
        <v>34</v>
      </c>
      <c r="F63" s="148" t="s">
        <v>35</v>
      </c>
      <c r="G63" s="148" t="s">
        <v>36</v>
      </c>
      <c r="H63" s="116" t="str">
        <f>HYPERLINK("http://www.mediafire.com/download/ausb7s73oadnt9q/1991-05-12_-_The_Front_-_Burlington%2C_VT.rar", "download link")</f>
        <v>download link</v>
      </c>
      <c r="I63" s="136" t="s">
        <v>735</v>
      </c>
      <c r="J63" s="111"/>
    </row>
    <row r="64">
      <c r="A64" s="130">
        <v>33374.0</v>
      </c>
      <c r="B64" s="131"/>
      <c r="C64" s="105" t="str">
        <f t="shared" si="1"/>
        <v>setlist</v>
      </c>
      <c r="D64" s="132" t="s">
        <v>736</v>
      </c>
      <c r="E64" s="132" t="s">
        <v>737</v>
      </c>
      <c r="F64" s="133" t="s">
        <v>171</v>
      </c>
      <c r="G64" s="133" t="s">
        <v>36</v>
      </c>
      <c r="H64" s="105" t="str">
        <f>HYPERLINK("http://www.mediafire.com/download/ln3o8knz3e5mjvm/1991-05-16_-_The_Sting_-_New_Britain%2C_CT.rar", "download link")</f>
        <v>download link</v>
      </c>
      <c r="I64" s="134" t="s">
        <v>738</v>
      </c>
      <c r="J64" s="134" t="s">
        <v>361</v>
      </c>
    </row>
    <row r="65">
      <c r="A65" s="147">
        <v>33375.0</v>
      </c>
      <c r="B65" s="158"/>
      <c r="C65" s="135" t="str">
        <f t="shared" si="1"/>
        <v>setlist</v>
      </c>
      <c r="D65" s="149" t="s">
        <v>607</v>
      </c>
      <c r="E65" s="149" t="s">
        <v>297</v>
      </c>
      <c r="F65" s="148" t="s">
        <v>298</v>
      </c>
      <c r="G65" s="148" t="s">
        <v>36</v>
      </c>
      <c r="H65" s="116" t="str">
        <f>HYPERLINK("http://www.mediafire.com/download/b2x539c06q8d56f/1991-05-17_-_Campus_Club_-_Providence%2C_RI.rar", "download link")</f>
        <v>download link</v>
      </c>
      <c r="I65" s="136" t="s">
        <v>527</v>
      </c>
      <c r="J65" s="111"/>
    </row>
    <row r="66">
      <c r="A66" s="130">
        <v>33376.0</v>
      </c>
      <c r="B66" s="131"/>
      <c r="C66" s="105" t="str">
        <f t="shared" si="1"/>
        <v>setlist</v>
      </c>
      <c r="D66" s="132" t="s">
        <v>619</v>
      </c>
      <c r="E66" s="132" t="s">
        <v>162</v>
      </c>
      <c r="F66" s="133" t="s">
        <v>129</v>
      </c>
      <c r="G66" s="133" t="s">
        <v>36</v>
      </c>
      <c r="H66" s="105" t="str">
        <f>HYPERLINK("http://www.mediafire.com/download/z8vjdr11bzyzr98/1991-05-18_-_The_Marquee_-_New_York%2C_NY.rar", "download link")</f>
        <v>download link</v>
      </c>
      <c r="I66" s="134" t="s">
        <v>739</v>
      </c>
      <c r="J66" s="104"/>
    </row>
    <row r="67">
      <c r="A67" s="198">
        <v>33377.0</v>
      </c>
      <c r="B67" s="199"/>
      <c r="C67" s="166" t="str">
        <f t="shared" si="1"/>
        <v>setlist</v>
      </c>
      <c r="D67" s="200" t="s">
        <v>740</v>
      </c>
      <c r="E67" s="200" t="s">
        <v>741</v>
      </c>
      <c r="F67" s="201" t="s">
        <v>171</v>
      </c>
      <c r="G67" s="201" t="s">
        <v>36</v>
      </c>
      <c r="H67" s="116" t="str">
        <f>HYPERLINK("http://www.mediafire.com/download/u7ghy0oa2y0o6b5/1991-05-19_-_Salisbury_School_-_Salisbury%2C_CT.rar", "download link")</f>
        <v>download link</v>
      </c>
      <c r="I67" s="171" t="s">
        <v>742</v>
      </c>
      <c r="J67" s="176"/>
    </row>
    <row r="68">
      <c r="A68" s="92"/>
      <c r="B68" s="93"/>
      <c r="C68" s="94"/>
      <c r="D68" s="83" t="s">
        <v>743</v>
      </c>
      <c r="E68" s="95"/>
      <c r="F68" s="93"/>
      <c r="G68" s="93"/>
      <c r="H68" s="93"/>
      <c r="I68" s="95"/>
      <c r="J68" s="93"/>
    </row>
    <row r="69">
      <c r="A69" s="125">
        <v>33430.0</v>
      </c>
      <c r="B69" s="127" t="s">
        <v>32</v>
      </c>
      <c r="C69" s="98" t="str">
        <f t="shared" ref="C69:C83" si="2">HYPERLINK("http://www.phish.net/setlists/?d="&amp;RIGHT(TEXT(A69,"mm/dd/yyyy"),4)&amp;"-"&amp;LEFT(TEXT(A69,"mm/dd/yyyy"),2)&amp;"-"&amp;MID(TEXT(A69,"mm/dd/yyyy"),4,2), "setlist")</f>
        <v>setlist</v>
      </c>
      <c r="D69" s="102" t="s">
        <v>744</v>
      </c>
      <c r="E69" s="102" t="s">
        <v>34</v>
      </c>
      <c r="F69" s="127" t="s">
        <v>35</v>
      </c>
      <c r="G69" s="127" t="s">
        <v>36</v>
      </c>
      <c r="H69" s="98" t="str">
        <f>HYPERLINK("http://www.mediafire.com/download/9nd44bkr274vz60/1991-07-11_-_Battery_Park_-_Burlington%2C_VT.rar", "download link")</f>
        <v>download link</v>
      </c>
      <c r="I69" s="101" t="s">
        <v>572</v>
      </c>
      <c r="J69" s="126"/>
    </row>
    <row r="70">
      <c r="A70" s="103">
        <v>33431.0</v>
      </c>
      <c r="B70" s="104"/>
      <c r="C70" s="105" t="str">
        <f t="shared" si="2"/>
        <v>setlist</v>
      </c>
      <c r="D70" s="106" t="s">
        <v>523</v>
      </c>
      <c r="E70" s="106" t="s">
        <v>367</v>
      </c>
      <c r="F70" s="107" t="s">
        <v>182</v>
      </c>
      <c r="G70" s="107" t="s">
        <v>36</v>
      </c>
      <c r="H70" s="105" t="str">
        <f>HYPERLINK("http://www.mediafire.com/download/5f55n9kjndw4nov/1991-07-12_-_The_Colonial_Theatre_-_Keene%2C_NH.rar", "download link")</f>
        <v>download link</v>
      </c>
      <c r="I70" s="134" t="s">
        <v>745</v>
      </c>
      <c r="J70" s="134" t="s">
        <v>111</v>
      </c>
    </row>
    <row r="71">
      <c r="A71" s="110">
        <v>33432.0</v>
      </c>
      <c r="B71" s="111"/>
      <c r="C71" s="135" t="str">
        <f t="shared" si="2"/>
        <v>setlist</v>
      </c>
      <c r="D71" s="113" t="s">
        <v>746</v>
      </c>
      <c r="E71" s="113" t="s">
        <v>747</v>
      </c>
      <c r="F71" s="114" t="s">
        <v>95</v>
      </c>
      <c r="G71" s="114" t="s">
        <v>36</v>
      </c>
      <c r="H71" s="116" t="str">
        <f>HYPERLINK("http://www.mediafire.com/download/voceuww3ccmqxr9/1991-07-13_-_Berkshire_Performing_Arts_Center_-_Lenox%2C_MA.rar", "download link")</f>
        <v>download link</v>
      </c>
      <c r="I71" s="136" t="s">
        <v>748</v>
      </c>
      <c r="J71" s="111"/>
    </row>
    <row r="72">
      <c r="A72" s="103">
        <v>33433.0</v>
      </c>
      <c r="B72" s="107" t="s">
        <v>32</v>
      </c>
      <c r="C72" s="105" t="str">
        <f t="shared" si="2"/>
        <v>setlist</v>
      </c>
      <c r="D72" s="106" t="s">
        <v>349</v>
      </c>
      <c r="E72" s="106" t="s">
        <v>350</v>
      </c>
      <c r="F72" s="107" t="s">
        <v>35</v>
      </c>
      <c r="G72" s="107" t="s">
        <v>36</v>
      </c>
      <c r="H72" s="105" t="str">
        <f>HYPERLINK("http://www.mediafire.com/download/1owx140f1qbpgx5/1991-07-14_-_Townshend_Family_Park_-_Townshend%2C_VT.rar", "download link")</f>
        <v>download link</v>
      </c>
      <c r="I72" s="134" t="s">
        <v>23</v>
      </c>
      <c r="J72" s="106"/>
    </row>
    <row r="73">
      <c r="A73" s="110">
        <v>33434.0</v>
      </c>
      <c r="B73" s="114" t="s">
        <v>32</v>
      </c>
      <c r="C73" s="135" t="str">
        <f t="shared" si="2"/>
        <v>setlist</v>
      </c>
      <c r="D73" s="136" t="s">
        <v>749</v>
      </c>
      <c r="E73" s="113" t="s">
        <v>162</v>
      </c>
      <c r="F73" s="114" t="s">
        <v>129</v>
      </c>
      <c r="G73" s="114" t="s">
        <v>36</v>
      </c>
      <c r="H73" s="116" t="str">
        <f>HYPERLINK("http://www.mediafire.com/download/7jpm7514badavm7/1991-07-15_-_The_Academy_-_New_York%2C_NY.rar", "download link")</f>
        <v>download link</v>
      </c>
      <c r="I73" s="136" t="s">
        <v>572</v>
      </c>
      <c r="J73" s="111"/>
    </row>
    <row r="74">
      <c r="A74" s="103">
        <v>33437.0</v>
      </c>
      <c r="B74" s="104"/>
      <c r="C74" s="105" t="str">
        <f t="shared" si="2"/>
        <v>setlist</v>
      </c>
      <c r="D74" s="106" t="s">
        <v>750</v>
      </c>
      <c r="E74" s="106" t="s">
        <v>751</v>
      </c>
      <c r="F74" s="107" t="s">
        <v>182</v>
      </c>
      <c r="G74" s="107" t="s">
        <v>36</v>
      </c>
      <c r="H74" s="105" t="str">
        <f>HYPERLINK("http://www.mediafire.com/download/8ih1t329tk0h85x/1991-07-18_-_Hampton_Casino_Ballroom_-_Hampton_Beach%2C_NH.rar", "download link")</f>
        <v>download link</v>
      </c>
      <c r="I74" s="134" t="s">
        <v>748</v>
      </c>
      <c r="J74" s="104"/>
    </row>
    <row r="75">
      <c r="A75" s="110">
        <v>33438.0</v>
      </c>
      <c r="B75" s="114" t="s">
        <v>32</v>
      </c>
      <c r="C75" s="135" t="str">
        <f t="shared" si="2"/>
        <v>setlist</v>
      </c>
      <c r="D75" s="113" t="s">
        <v>562</v>
      </c>
      <c r="E75" s="113" t="s">
        <v>290</v>
      </c>
      <c r="F75" s="114" t="s">
        <v>95</v>
      </c>
      <c r="G75" s="114" t="s">
        <v>36</v>
      </c>
      <c r="H75" s="116" t="str">
        <f>HYPERLINK("http://www.mediafire.com/download/gv45hvdhbb5vhm5/1991-07-19_-_Somerville_Theatre_-_Somerville%2C_MA.rar", "download link")</f>
        <v>download link</v>
      </c>
      <c r="I75" s="136" t="s">
        <v>752</v>
      </c>
      <c r="J75" s="113"/>
    </row>
    <row r="76">
      <c r="A76" s="103">
        <v>33439.0</v>
      </c>
      <c r="B76" s="104"/>
      <c r="C76" s="105" t="str">
        <f t="shared" si="2"/>
        <v>setlist</v>
      </c>
      <c r="D76" s="106" t="s">
        <v>753</v>
      </c>
      <c r="E76" s="106" t="s">
        <v>754</v>
      </c>
      <c r="F76" s="107" t="s">
        <v>129</v>
      </c>
      <c r="G76" s="107" t="s">
        <v>36</v>
      </c>
      <c r="H76" s="105" t="str">
        <f>HYPERLINK("http://www.mediafire.com/download/i6nobid5xn5lfnp/1991-07-20_-_Arrowhead_Ranch_-_Parksville%2C_NY.rar", "download link")</f>
        <v>download link</v>
      </c>
      <c r="I76" s="134" t="s">
        <v>755</v>
      </c>
      <c r="J76" s="104"/>
    </row>
    <row r="77">
      <c r="A77" s="110">
        <v>33440.0</v>
      </c>
      <c r="B77" s="114" t="s">
        <v>32</v>
      </c>
      <c r="C77" s="135" t="str">
        <f t="shared" si="2"/>
        <v>setlist</v>
      </c>
      <c r="D77" s="113" t="s">
        <v>753</v>
      </c>
      <c r="E77" s="113" t="s">
        <v>754</v>
      </c>
      <c r="F77" s="114" t="s">
        <v>129</v>
      </c>
      <c r="G77" s="114" t="s">
        <v>36</v>
      </c>
      <c r="H77" s="116" t="str">
        <f>HYPERLINK("http://www.mediafire.com/download/0g6fim9mb8bxk96/1991-07-21_-_Arrowhead_Ranch_-_Parksville%2C_NY.rar", "download link")</f>
        <v>download link</v>
      </c>
      <c r="I77" s="136" t="s">
        <v>23</v>
      </c>
      <c r="J77" s="111"/>
    </row>
    <row r="78">
      <c r="A78" s="103">
        <v>33442.0</v>
      </c>
      <c r="B78" s="107" t="s">
        <v>32</v>
      </c>
      <c r="C78" s="105" t="str">
        <f t="shared" si="2"/>
        <v>setlist</v>
      </c>
      <c r="D78" s="106" t="s">
        <v>455</v>
      </c>
      <c r="E78" s="106" t="s">
        <v>393</v>
      </c>
      <c r="F78" s="107" t="s">
        <v>394</v>
      </c>
      <c r="G78" s="107" t="s">
        <v>36</v>
      </c>
      <c r="H78" s="105" t="str">
        <f>HYPERLINK("http://www.mediafire.com/download/8gx68vlm8k8u02a/1991-07-23_-_The_Bayou_-_Washington%2C_DC.rar", "download link")</f>
        <v>download link</v>
      </c>
      <c r="I78" s="134" t="s">
        <v>756</v>
      </c>
      <c r="J78" s="106" t="s">
        <v>757</v>
      </c>
    </row>
    <row r="79">
      <c r="A79" s="110">
        <v>33443.0</v>
      </c>
      <c r="B79" s="111"/>
      <c r="C79" s="135" t="str">
        <f t="shared" si="2"/>
        <v>setlist</v>
      </c>
      <c r="D79" s="113" t="s">
        <v>578</v>
      </c>
      <c r="E79" s="113" t="s">
        <v>579</v>
      </c>
      <c r="F79" s="114" t="s">
        <v>446</v>
      </c>
      <c r="G79" s="114" t="s">
        <v>36</v>
      </c>
      <c r="H79" s="116" t="str">
        <f>HYPERLINK("http://www.mediafire.com/download/6qsbffjcvav36td/1991-07-24_-_Trax_-_Charlottesville%2C_VA.rar", "download link")</f>
        <v>download link</v>
      </c>
      <c r="I79" s="136" t="s">
        <v>758</v>
      </c>
      <c r="J79" s="111"/>
    </row>
    <row r="80">
      <c r="A80" s="103">
        <v>33444.0</v>
      </c>
      <c r="B80" s="107" t="s">
        <v>32</v>
      </c>
      <c r="C80" s="105" t="str">
        <f t="shared" si="2"/>
        <v>setlist</v>
      </c>
      <c r="D80" s="106" t="s">
        <v>441</v>
      </c>
      <c r="E80" s="106" t="s">
        <v>545</v>
      </c>
      <c r="F80" s="107" t="s">
        <v>443</v>
      </c>
      <c r="G80" s="107" t="s">
        <v>36</v>
      </c>
      <c r="H80" s="105" t="str">
        <f>HYPERLINK("http://www.mediafire.com/download/11zwip9juxtm9d9/1991-07-25_-_Cat%27s_Cradle_-_Chapel_Hill%2C_NC.rar", "download link")</f>
        <v>download link</v>
      </c>
      <c r="I80" s="134" t="s">
        <v>759</v>
      </c>
      <c r="J80" s="106"/>
    </row>
    <row r="81">
      <c r="A81" s="110">
        <v>33445.0</v>
      </c>
      <c r="B81" s="111"/>
      <c r="C81" s="135" t="str">
        <f t="shared" si="2"/>
        <v>setlist</v>
      </c>
      <c r="D81" s="136" t="s">
        <v>431</v>
      </c>
      <c r="E81" s="113" t="s">
        <v>432</v>
      </c>
      <c r="F81" s="114" t="s">
        <v>433</v>
      </c>
      <c r="G81" s="114" t="s">
        <v>36</v>
      </c>
      <c r="H81" s="116" t="str">
        <f>HYPERLINK("http://www.mediafire.com/download/hf4o1hqkaduyfra/1991-07-26_-_The_Georgia_Theatre_-_Atlanta%2C_GA.rar", "download link")</f>
        <v>download link</v>
      </c>
      <c r="I81" s="136" t="s">
        <v>760</v>
      </c>
      <c r="J81" s="111"/>
    </row>
    <row r="82">
      <c r="A82" s="103">
        <v>33446.0</v>
      </c>
      <c r="B82" s="104"/>
      <c r="C82" s="105" t="str">
        <f t="shared" si="2"/>
        <v>setlist</v>
      </c>
      <c r="D82" s="106" t="s">
        <v>761</v>
      </c>
      <c r="E82" s="106" t="s">
        <v>437</v>
      </c>
      <c r="F82" s="107" t="s">
        <v>433</v>
      </c>
      <c r="G82" s="107" t="s">
        <v>36</v>
      </c>
      <c r="H82" s="105" t="str">
        <f>HYPERLINK("http://www.mediafire.com/download/4o8ztq9wy4u080r/1991-07-27_-_Variety_Playhouse_-_Atlanta%2C_GA.rar", "download link")</f>
        <v>download link</v>
      </c>
      <c r="I82" s="134" t="s">
        <v>762</v>
      </c>
      <c r="J82" s="104"/>
    </row>
    <row r="83">
      <c r="A83" s="202">
        <v>33453.0</v>
      </c>
      <c r="B83" s="78"/>
      <c r="C83" s="203" t="str">
        <f t="shared" si="2"/>
        <v>setlist</v>
      </c>
      <c r="D83" s="204" t="s">
        <v>763</v>
      </c>
      <c r="E83" s="204" t="s">
        <v>764</v>
      </c>
      <c r="F83" s="205" t="s">
        <v>257</v>
      </c>
      <c r="G83" s="205" t="s">
        <v>36</v>
      </c>
      <c r="H83" s="116" t="str">
        <f>HYPERLINK("http://www.mediafire.com/download/vwgysq29xipzcf2/1991-08-03_-_Larrabee_Farm%2C_a.k.a._Amy%27s_Farm_-_Auburn%2C_ME.rar", "download link")</f>
        <v>download link</v>
      </c>
      <c r="I83" s="206" t="s">
        <v>765</v>
      </c>
      <c r="J83" s="78"/>
    </row>
    <row r="84">
      <c r="A84" s="92"/>
      <c r="B84" s="93"/>
      <c r="C84" s="94"/>
      <c r="D84" s="83" t="s">
        <v>766</v>
      </c>
      <c r="E84" s="95"/>
      <c r="F84" s="93"/>
      <c r="G84" s="93"/>
      <c r="H84" s="93"/>
      <c r="I84" s="95"/>
      <c r="J84" s="93"/>
    </row>
    <row r="85">
      <c r="A85" s="96">
        <v>33482.0</v>
      </c>
      <c r="B85" s="207"/>
      <c r="C85" s="98" t="str">
        <f t="shared" ref="C85:C134" si="3">HYPERLINK("http://www.phish.net/setlists/?d="&amp;RIGHT(TEXT(A85,"mm/dd/yyyy"),4)&amp;"-"&amp;LEFT(TEXT(A85,"mm/dd/yyyy"),2)&amp;"-"&amp;MID(TEXT(A85,"mm/dd/yyyy"),4,2), "setlist")</f>
        <v>setlist</v>
      </c>
      <c r="D85" s="100" t="s">
        <v>273</v>
      </c>
      <c r="E85" s="100" t="s">
        <v>272</v>
      </c>
      <c r="F85" s="97" t="s">
        <v>43</v>
      </c>
      <c r="G85" s="207"/>
      <c r="H85" s="128"/>
      <c r="I85" s="129"/>
      <c r="J85" s="126"/>
    </row>
    <row r="86">
      <c r="A86" s="130">
        <v>33506.0</v>
      </c>
      <c r="B86" s="131"/>
      <c r="C86" s="105" t="str">
        <f t="shared" si="3"/>
        <v>setlist</v>
      </c>
      <c r="D86" s="132" t="s">
        <v>523</v>
      </c>
      <c r="E86" s="132" t="s">
        <v>367</v>
      </c>
      <c r="F86" s="133" t="s">
        <v>182</v>
      </c>
      <c r="G86" s="133" t="s">
        <v>36</v>
      </c>
      <c r="H86" s="105" t="str">
        <f>HYPERLINK("http://www.mediafire.com/download/4d1zs85aaqicuu4/1991-09-25_-_The_Colonial_Theatre_-_Keene%2C_NH.rar", "download link")</f>
        <v>download link</v>
      </c>
      <c r="I86" s="134" t="s">
        <v>767</v>
      </c>
      <c r="J86" s="104"/>
    </row>
    <row r="87">
      <c r="A87" s="150">
        <v>33507.0</v>
      </c>
      <c r="B87" s="156"/>
      <c r="C87" s="116" t="str">
        <f t="shared" si="3"/>
        <v>setlist</v>
      </c>
      <c r="D87" s="153" t="s">
        <v>637</v>
      </c>
      <c r="E87" s="153" t="s">
        <v>168</v>
      </c>
      <c r="F87" s="151" t="s">
        <v>129</v>
      </c>
      <c r="G87" s="151" t="s">
        <v>36</v>
      </c>
      <c r="H87" s="116" t="str">
        <f>HYPERLINK("http://www.mediafire.com/download/v5ebyya9qx61sry/1991-09-26_-_The_State_Theatre_-_Ithaca%2C_NY.rar", "download link")</f>
        <v>download link</v>
      </c>
      <c r="I87" s="117" t="s">
        <v>768</v>
      </c>
      <c r="J87" s="144"/>
    </row>
    <row r="88">
      <c r="A88" s="130">
        <v>33508.0</v>
      </c>
      <c r="B88" s="131"/>
      <c r="C88" s="105" t="str">
        <f t="shared" si="3"/>
        <v>setlist</v>
      </c>
      <c r="D88" s="132" t="s">
        <v>769</v>
      </c>
      <c r="E88" s="132" t="s">
        <v>718</v>
      </c>
      <c r="F88" s="133" t="s">
        <v>129</v>
      </c>
      <c r="G88" s="133" t="s">
        <v>36</v>
      </c>
      <c r="H88" s="105" t="str">
        <f>HYPERLINK("http://www.mediafire.com/download/x9kk8v10nnfzj13/1991-09-27_-_The_Warehouse_-_Rochester%2C_NY.rar", "download link")</f>
        <v>download link</v>
      </c>
      <c r="I88" s="134" t="s">
        <v>293</v>
      </c>
      <c r="J88" s="104"/>
    </row>
    <row r="89">
      <c r="A89" s="150">
        <v>33509.0</v>
      </c>
      <c r="B89" s="156"/>
      <c r="C89" s="116" t="str">
        <f t="shared" si="3"/>
        <v>setlist</v>
      </c>
      <c r="D89" s="153" t="s">
        <v>770</v>
      </c>
      <c r="E89" s="153" t="s">
        <v>715</v>
      </c>
      <c r="F89" s="151" t="s">
        <v>129</v>
      </c>
      <c r="G89" s="151" t="s">
        <v>36</v>
      </c>
      <c r="H89" s="116" t="str">
        <f>HYPERLINK("http://www.mediafire.com/download/vo6g22rdi0ou148/1991-09-28_-_The_Rink_-_Buffalo%2C_NY.rar", "download link")</f>
        <v>download link</v>
      </c>
      <c r="I89" s="117" t="s">
        <v>771</v>
      </c>
      <c r="J89" s="144"/>
    </row>
    <row r="90">
      <c r="A90" s="130">
        <v>33510.0</v>
      </c>
      <c r="B90" s="131"/>
      <c r="C90" s="105" t="str">
        <f t="shared" si="3"/>
        <v>setlist</v>
      </c>
      <c r="D90" s="132" t="s">
        <v>772</v>
      </c>
      <c r="E90" s="132" t="s">
        <v>773</v>
      </c>
      <c r="F90" s="133" t="s">
        <v>472</v>
      </c>
      <c r="G90" s="133" t="s">
        <v>36</v>
      </c>
      <c r="H90" s="105" t="str">
        <f>HYPERLINK("http://www.mediafire.com/download/1gb1wabnspsdh80/1991-09-29_-_The_Agora_Ballroom_-_Cleveland%2C_OH.rar", "download link")</f>
        <v>download link</v>
      </c>
      <c r="I90" s="134" t="s">
        <v>774</v>
      </c>
      <c r="J90" s="104"/>
    </row>
    <row r="91">
      <c r="A91" s="150">
        <v>33511.0</v>
      </c>
      <c r="B91" s="156"/>
      <c r="C91" s="116" t="str">
        <f t="shared" si="3"/>
        <v>setlist</v>
      </c>
      <c r="D91" s="153" t="s">
        <v>775</v>
      </c>
      <c r="E91" s="153" t="s">
        <v>432</v>
      </c>
      <c r="F91" s="151" t="s">
        <v>472</v>
      </c>
      <c r="G91" s="151" t="s">
        <v>36</v>
      </c>
      <c r="H91" s="116" t="str">
        <f>HYPERLINK("http://www.mediafire.com/download/fl45p3i6r4en5k9/1991-09-30_-_The_Dugout_Lounge%2C_Ohio_University_-_Athens%2C_OH.rar", "download link")</f>
        <v>download link</v>
      </c>
      <c r="I91" s="117" t="s">
        <v>776</v>
      </c>
      <c r="J91" s="117" t="s">
        <v>777</v>
      </c>
    </row>
    <row r="92">
      <c r="A92" s="130">
        <v>33513.0</v>
      </c>
      <c r="B92" s="131"/>
      <c r="C92" s="105" t="str">
        <f t="shared" si="3"/>
        <v>setlist</v>
      </c>
      <c r="D92" s="132" t="s">
        <v>778</v>
      </c>
      <c r="E92" s="132" t="s">
        <v>479</v>
      </c>
      <c r="F92" s="133" t="s">
        <v>480</v>
      </c>
      <c r="G92" s="133" t="s">
        <v>36</v>
      </c>
      <c r="H92" s="105" t="str">
        <f>HYPERLINK("http://www.mediafire.com/download/d3d2fc04488lg1e/1991-10-02_-_The_Cubby_Bear_-_Chicago%2C_IL.rar", "download link")</f>
        <v>download link</v>
      </c>
      <c r="I92" s="134" t="s">
        <v>779</v>
      </c>
      <c r="J92" s="104"/>
    </row>
    <row r="93">
      <c r="A93" s="150">
        <v>33514.0</v>
      </c>
      <c r="B93" s="156"/>
      <c r="C93" s="116" t="str">
        <f t="shared" si="3"/>
        <v>setlist</v>
      </c>
      <c r="D93" s="153" t="s">
        <v>780</v>
      </c>
      <c r="E93" s="153" t="s">
        <v>781</v>
      </c>
      <c r="F93" s="151" t="s">
        <v>480</v>
      </c>
      <c r="G93" s="151" t="s">
        <v>36</v>
      </c>
      <c r="H93" s="116" t="str">
        <f>HYPERLINK("http://www.mediafire.com/download/jyxsec73uzx2a63/1991-10-03_-_Mabel%27s_-_Champaign%2C_IL.rar", "download link")</f>
        <v>download link</v>
      </c>
      <c r="I93" s="117" t="s">
        <v>782</v>
      </c>
      <c r="J93" s="144"/>
    </row>
    <row r="94">
      <c r="A94" s="130">
        <v>33515.0</v>
      </c>
      <c r="B94" s="133" t="s">
        <v>32</v>
      </c>
      <c r="C94" s="105" t="str">
        <f t="shared" si="3"/>
        <v>setlist</v>
      </c>
      <c r="D94" s="132" t="s">
        <v>704</v>
      </c>
      <c r="E94" s="132" t="s">
        <v>482</v>
      </c>
      <c r="F94" s="133" t="s">
        <v>483</v>
      </c>
      <c r="G94" s="133" t="s">
        <v>36</v>
      </c>
      <c r="H94" s="105" t="str">
        <f>HYPERLINK("http://www.mediafire.com/download/xhnuvgi3fgvaq7c/1991-10-04_-_Barrymore_Theatre_-_Madison%2C_WI.rar", "download link")</f>
        <v>download link</v>
      </c>
      <c r="I94" s="134" t="s">
        <v>783</v>
      </c>
      <c r="J94" s="106" t="s">
        <v>784</v>
      </c>
    </row>
    <row r="95">
      <c r="A95" s="150">
        <v>33516.0</v>
      </c>
      <c r="B95" s="156"/>
      <c r="C95" s="116" t="str">
        <f t="shared" si="3"/>
        <v>setlist</v>
      </c>
      <c r="D95" s="153" t="s">
        <v>601</v>
      </c>
      <c r="E95" s="153" t="s">
        <v>485</v>
      </c>
      <c r="F95" s="151" t="s">
        <v>486</v>
      </c>
      <c r="G95" s="156"/>
      <c r="H95" s="144"/>
      <c r="I95" s="146"/>
      <c r="J95" s="144"/>
    </row>
    <row r="96">
      <c r="A96" s="130">
        <v>33517.0</v>
      </c>
      <c r="B96" s="133" t="s">
        <v>32</v>
      </c>
      <c r="C96" s="105" t="str">
        <f t="shared" si="3"/>
        <v>setlist</v>
      </c>
      <c r="D96" s="132" t="s">
        <v>785</v>
      </c>
      <c r="E96" s="132" t="s">
        <v>786</v>
      </c>
      <c r="F96" s="133" t="s">
        <v>486</v>
      </c>
      <c r="G96" s="133" t="s">
        <v>36</v>
      </c>
      <c r="H96" s="105" t="str">
        <f>HYPERLINK("http://www.mediafire.com/download/oteewwiqxwqlbti/1991-10-06_-_Cochran_Lounge%2C_Student_Union%2C_Macalester_College_-_St._Paul%2C_MN.rar", "download link")</f>
        <v>download link</v>
      </c>
      <c r="I96" s="134" t="s">
        <v>462</v>
      </c>
      <c r="J96" s="106" t="s">
        <v>787</v>
      </c>
    </row>
    <row r="97">
      <c r="A97" s="150">
        <v>33521.0</v>
      </c>
      <c r="B97" s="151" t="s">
        <v>32</v>
      </c>
      <c r="C97" s="116" t="str">
        <f t="shared" si="3"/>
        <v>setlist</v>
      </c>
      <c r="D97" s="153" t="s">
        <v>788</v>
      </c>
      <c r="E97" s="153" t="s">
        <v>695</v>
      </c>
      <c r="F97" s="151" t="s">
        <v>692</v>
      </c>
      <c r="G97" s="151" t="s">
        <v>36</v>
      </c>
      <c r="H97" s="116" t="str">
        <f>HYPERLINK("http://www.mediafire.com/download/6alcx5eq5r2arjs/1991-10-10_-_EMU_Ballroom%2C_University_of_Oregon_-_Eugene%2C_OR.rar", "download link")</f>
        <v>download link</v>
      </c>
      <c r="I97" s="117" t="s">
        <v>789</v>
      </c>
      <c r="J97" s="144"/>
    </row>
    <row r="98">
      <c r="A98" s="130">
        <v>33522.0</v>
      </c>
      <c r="B98" s="133" t="s">
        <v>32</v>
      </c>
      <c r="C98" s="105" t="str">
        <f t="shared" si="3"/>
        <v>setlist</v>
      </c>
      <c r="D98" s="132" t="s">
        <v>790</v>
      </c>
      <c r="E98" s="132" t="s">
        <v>791</v>
      </c>
      <c r="F98" s="133" t="s">
        <v>701</v>
      </c>
      <c r="G98" s="133" t="s">
        <v>36</v>
      </c>
      <c r="H98" s="105" t="str">
        <f>HYPERLINK("http://www.mediafire.com/download/css3ovnjz35ptl8/1991-10-11_-_Backstage_-_Seattle%2C_WA.rar", "download link")</f>
        <v>download link</v>
      </c>
      <c r="I98" s="134" t="s">
        <v>792</v>
      </c>
      <c r="J98" s="134" t="s">
        <v>793</v>
      </c>
    </row>
    <row r="99">
      <c r="A99" s="150">
        <v>33523.0</v>
      </c>
      <c r="B99" s="151" t="s">
        <v>32</v>
      </c>
      <c r="C99" s="116" t="str">
        <f t="shared" si="3"/>
        <v>setlist</v>
      </c>
      <c r="D99" s="153" t="s">
        <v>794</v>
      </c>
      <c r="E99" s="153" t="s">
        <v>279</v>
      </c>
      <c r="F99" s="151" t="s">
        <v>692</v>
      </c>
      <c r="G99" s="151" t="s">
        <v>36</v>
      </c>
      <c r="H99" s="116" t="str">
        <f>HYPERLINK("http://www.mediafire.com/download/dbf7rrw6avaoirj/1991-10-12_-_Roseland_Theater_-_Portland%2C_OR.rar", "download link")</f>
        <v>download link</v>
      </c>
      <c r="I99" s="117" t="s">
        <v>795</v>
      </c>
      <c r="J99" s="144"/>
    </row>
    <row r="100">
      <c r="A100" s="130">
        <v>33524.0</v>
      </c>
      <c r="B100" s="133" t="s">
        <v>32</v>
      </c>
      <c r="C100" s="105" t="str">
        <f t="shared" si="3"/>
        <v>setlist</v>
      </c>
      <c r="D100" s="132" t="s">
        <v>796</v>
      </c>
      <c r="E100" s="132" t="s">
        <v>700</v>
      </c>
      <c r="F100" s="133" t="s">
        <v>701</v>
      </c>
      <c r="G100" s="133" t="s">
        <v>36</v>
      </c>
      <c r="H100" s="105" t="str">
        <f>HYPERLINK("http://www.mediafire.com/download/r6tsad5a4mvd38q/1991-10-13_-_North_Shore_Surf_Club_-_Olympia%2C_WA.rar", "download link")</f>
        <v>download link</v>
      </c>
      <c r="I100" s="134" t="s">
        <v>797</v>
      </c>
      <c r="J100" s="104"/>
    </row>
    <row r="101">
      <c r="A101" s="150">
        <v>33526.0</v>
      </c>
      <c r="B101" s="156"/>
      <c r="C101" s="116" t="str">
        <f t="shared" si="3"/>
        <v>setlist</v>
      </c>
      <c r="D101" s="153" t="s">
        <v>688</v>
      </c>
      <c r="E101" s="153" t="s">
        <v>689</v>
      </c>
      <c r="F101" s="151" t="s">
        <v>679</v>
      </c>
      <c r="G101" s="151" t="s">
        <v>36</v>
      </c>
      <c r="H101" s="116" t="str">
        <f>HYPERLINK("http://www.mediafire.com/download/0kib6l6ldafbov4/1991-10-15_-_International_Beer_Garden_-_Arcata%2C_CA.rar", "download link")</f>
        <v>download link</v>
      </c>
      <c r="I101" s="117" t="s">
        <v>798</v>
      </c>
      <c r="J101" s="144"/>
    </row>
    <row r="102">
      <c r="A102" s="130">
        <v>33528.0</v>
      </c>
      <c r="B102" s="131"/>
      <c r="C102" s="105" t="str">
        <f t="shared" si="3"/>
        <v>setlist</v>
      </c>
      <c r="D102" s="132" t="s">
        <v>799</v>
      </c>
      <c r="E102" s="132" t="s">
        <v>683</v>
      </c>
      <c r="F102" s="133" t="s">
        <v>679</v>
      </c>
      <c r="G102" s="133" t="s">
        <v>36</v>
      </c>
      <c r="H102" s="105" t="str">
        <f>HYPERLINK("http://www.mediafire.com/download/vqhgx9s0l3trhp1/1991-10-17_-_Great_American_Music_Hall_-_San_Francisco%2C_CA.rar", "download link")</f>
        <v>download link</v>
      </c>
      <c r="I102" s="134" t="s">
        <v>687</v>
      </c>
      <c r="J102" s="106" t="s">
        <v>800</v>
      </c>
    </row>
    <row r="103">
      <c r="A103" s="150">
        <v>33529.0</v>
      </c>
      <c r="B103" s="151" t="s">
        <v>32</v>
      </c>
      <c r="C103" s="116" t="str">
        <f t="shared" si="3"/>
        <v>setlist</v>
      </c>
      <c r="D103" s="153" t="s">
        <v>799</v>
      </c>
      <c r="E103" s="153" t="s">
        <v>683</v>
      </c>
      <c r="F103" s="151" t="s">
        <v>679</v>
      </c>
      <c r="G103" s="151" t="s">
        <v>36</v>
      </c>
      <c r="H103" s="116" t="str">
        <f>HYPERLINK("http://www.mediafire.com/download/is4z9rfqoriquic/1991-10-18_-_Great_American_Music_Hall_-_San_Francisco%2C_CA.rar", "download link")</f>
        <v>download link</v>
      </c>
      <c r="I103" s="117" t="s">
        <v>801</v>
      </c>
      <c r="J103" s="144"/>
    </row>
    <row r="104">
      <c r="A104" s="130">
        <v>33530.0</v>
      </c>
      <c r="B104" s="133" t="s">
        <v>32</v>
      </c>
      <c r="C104" s="105" t="str">
        <f t="shared" si="3"/>
        <v>setlist</v>
      </c>
      <c r="D104" s="132" t="s">
        <v>677</v>
      </c>
      <c r="E104" s="132" t="s">
        <v>678</v>
      </c>
      <c r="F104" s="133" t="s">
        <v>679</v>
      </c>
      <c r="G104" s="133" t="s">
        <v>36</v>
      </c>
      <c r="H104" s="105" t="str">
        <f>HYPERLINK("http://www.mediafire.com/download/n06s0dblobpsdtg/1991-10-19_-_The_Catalyst_-_Santa_Cruz%2C_CA.rar", "download link")</f>
        <v>download link</v>
      </c>
      <c r="I104" s="134" t="s">
        <v>802</v>
      </c>
      <c r="J104" s="104"/>
    </row>
    <row r="105">
      <c r="A105" s="150">
        <v>33534.0</v>
      </c>
      <c r="B105" s="156"/>
      <c r="C105" s="116" t="str">
        <f t="shared" si="3"/>
        <v>setlist</v>
      </c>
      <c r="D105" s="153" t="s">
        <v>803</v>
      </c>
      <c r="E105" s="153" t="s">
        <v>804</v>
      </c>
      <c r="F105" s="151" t="s">
        <v>805</v>
      </c>
      <c r="G105" s="156"/>
      <c r="H105" s="144"/>
      <c r="I105" s="146"/>
      <c r="J105" s="144"/>
    </row>
    <row r="106">
      <c r="A106" s="130">
        <v>33535.0</v>
      </c>
      <c r="B106" s="133" t="s">
        <v>32</v>
      </c>
      <c r="C106" s="105" t="str">
        <f t="shared" si="3"/>
        <v>setlist</v>
      </c>
      <c r="D106" s="140" t="s">
        <v>806</v>
      </c>
      <c r="E106" s="132" t="s">
        <v>807</v>
      </c>
      <c r="F106" s="133" t="s">
        <v>805</v>
      </c>
      <c r="G106" s="133" t="s">
        <v>36</v>
      </c>
      <c r="H106" s="105" t="str">
        <f>HYPERLINK("http://www.mediafire.com/download/3whaw17h63nglrd/1991-10-24_-_Crystal_Ballroom%2C_Hotel_St._Michael_-_Prescott%2C_AZ.rar", "download link")</f>
        <v>download link</v>
      </c>
      <c r="I106" s="134" t="s">
        <v>808</v>
      </c>
      <c r="J106" s="106" t="s">
        <v>610</v>
      </c>
    </row>
    <row r="107">
      <c r="A107" s="147">
        <v>33537.0</v>
      </c>
      <c r="B107" s="158"/>
      <c r="C107" s="135" t="str">
        <f t="shared" si="3"/>
        <v>setlist</v>
      </c>
      <c r="D107" s="149" t="s">
        <v>809</v>
      </c>
      <c r="E107" s="149" t="s">
        <v>810</v>
      </c>
      <c r="F107" s="148" t="s">
        <v>811</v>
      </c>
      <c r="G107" s="158"/>
      <c r="H107" s="138"/>
      <c r="I107" s="208"/>
    </row>
    <row r="108">
      <c r="A108" s="130">
        <v>33538.0</v>
      </c>
      <c r="B108" s="131"/>
      <c r="C108" s="105" t="str">
        <f t="shared" si="3"/>
        <v>setlist</v>
      </c>
      <c r="D108" s="132" t="s">
        <v>812</v>
      </c>
      <c r="E108" s="132" t="s">
        <v>202</v>
      </c>
      <c r="F108" s="133" t="s">
        <v>203</v>
      </c>
      <c r="G108" s="133" t="s">
        <v>36</v>
      </c>
      <c r="H108" s="105" t="str">
        <f>HYPERLINK("http://www.mediafire.com/download/5hnvmi2401isuqo/1991-10-27_-_Elk_Ballroom_-_Telluride%2C_CO.rar", "download link")</f>
        <v>download link</v>
      </c>
      <c r="I108" s="134" t="s">
        <v>543</v>
      </c>
      <c r="J108" s="134" t="s">
        <v>610</v>
      </c>
    </row>
    <row r="109">
      <c r="A109" s="147">
        <v>33539.0</v>
      </c>
      <c r="B109" s="148" t="s">
        <v>32</v>
      </c>
      <c r="C109" s="135" t="str">
        <f t="shared" si="3"/>
        <v>setlist</v>
      </c>
      <c r="D109" s="149" t="s">
        <v>812</v>
      </c>
      <c r="E109" s="149" t="s">
        <v>202</v>
      </c>
      <c r="F109" s="148" t="s">
        <v>203</v>
      </c>
      <c r="G109" s="148" t="s">
        <v>36</v>
      </c>
      <c r="H109" s="116" t="str">
        <f>HYPERLINK("http://www.mediafire.com/download/6iod90qfpbyqs7t/1991-10-28_-_Elk_Ballroom_-_Telluride%2C_CO.rar", "download link")</f>
        <v>download link</v>
      </c>
      <c r="I109" s="136" t="s">
        <v>244</v>
      </c>
      <c r="J109" s="111"/>
    </row>
    <row r="110">
      <c r="A110" s="130">
        <v>33541.0</v>
      </c>
      <c r="B110" s="131"/>
      <c r="C110" s="105" t="str">
        <f t="shared" si="3"/>
        <v>setlist</v>
      </c>
      <c r="D110" s="132" t="s">
        <v>500</v>
      </c>
      <c r="E110" s="132" t="s">
        <v>488</v>
      </c>
      <c r="F110" s="133" t="s">
        <v>203</v>
      </c>
      <c r="G110" s="133" t="s">
        <v>36</v>
      </c>
      <c r="H110" s="105" t="str">
        <f>HYPERLINK("http://www.mediafire.com/download/6qs594eabrvcuye/1991-10-30_-_Boulder_Theater_-_Boulder%2C_CO.rar", "download link")</f>
        <v>download link</v>
      </c>
      <c r="I110" s="134" t="s">
        <v>813</v>
      </c>
      <c r="J110" s="106" t="s">
        <v>814</v>
      </c>
    </row>
    <row r="111">
      <c r="A111" s="150">
        <v>33542.0</v>
      </c>
      <c r="B111" s="156"/>
      <c r="C111" s="116" t="str">
        <f t="shared" si="3"/>
        <v>setlist</v>
      </c>
      <c r="D111" s="153" t="s">
        <v>815</v>
      </c>
      <c r="E111" s="153" t="s">
        <v>816</v>
      </c>
      <c r="F111" s="151" t="s">
        <v>203</v>
      </c>
      <c r="G111" s="151" t="s">
        <v>36</v>
      </c>
      <c r="H111" s="116" t="str">
        <f>HYPERLINK("http://www.mediafire.com/download/otf35s13z0ewt7z/1991-10-31_-_Armstrong_Hall%2C_Colorado_College_-_Colorado_Springs%2C_CO.rar", "download link")</f>
        <v>download link</v>
      </c>
      <c r="I111" s="117" t="s">
        <v>817</v>
      </c>
      <c r="J111" s="118" t="s">
        <v>784</v>
      </c>
    </row>
    <row r="112">
      <c r="A112" s="130">
        <v>33543.0</v>
      </c>
      <c r="B112" s="133" t="s">
        <v>32</v>
      </c>
      <c r="C112" s="105" t="str">
        <f t="shared" si="3"/>
        <v>setlist</v>
      </c>
      <c r="D112" s="132" t="s">
        <v>664</v>
      </c>
      <c r="E112" s="132" t="s">
        <v>665</v>
      </c>
      <c r="F112" s="133" t="s">
        <v>203</v>
      </c>
      <c r="G112" s="133" t="s">
        <v>36</v>
      </c>
      <c r="H112" s="105" t="str">
        <f>HYPERLINK("http://www.mediafire.com/download/06dzmucvox0rgcx/1991-11-01_-_Gothic_Theatre_-_Englewood%2C_CA.rar", "download link")</f>
        <v>download link</v>
      </c>
      <c r="I112" s="134" t="s">
        <v>818</v>
      </c>
      <c r="J112" s="104"/>
    </row>
    <row r="113">
      <c r="A113" s="150">
        <v>33544.0</v>
      </c>
      <c r="B113" s="151" t="s">
        <v>32</v>
      </c>
      <c r="C113" s="135" t="str">
        <f t="shared" si="3"/>
        <v>setlist</v>
      </c>
      <c r="D113" s="153" t="s">
        <v>819</v>
      </c>
      <c r="E113" s="153" t="s">
        <v>502</v>
      </c>
      <c r="F113" s="151" t="s">
        <v>203</v>
      </c>
      <c r="G113" s="151" t="s">
        <v>36</v>
      </c>
      <c r="H113" s="116" t="str">
        <f>HYPERLINK("http://www.mediafire.com/download/4aens5lq92necko/1991-11-02_-_Lory_Student_Center_Theatre%2C_Colorado_State_University_-_Fort_Collins%2C_CO.rar", "download link")</f>
        <v>download link</v>
      </c>
      <c r="I113" s="117" t="s">
        <v>820</v>
      </c>
      <c r="J113" s="118" t="s">
        <v>821</v>
      </c>
    </row>
    <row r="114">
      <c r="A114" s="130">
        <v>33546.0</v>
      </c>
      <c r="B114" s="131"/>
      <c r="C114" s="105" t="str">
        <f t="shared" si="3"/>
        <v>setlist</v>
      </c>
      <c r="D114" s="132" t="s">
        <v>592</v>
      </c>
      <c r="E114" s="132" t="s">
        <v>593</v>
      </c>
      <c r="F114" s="133" t="s">
        <v>589</v>
      </c>
      <c r="G114" s="131"/>
      <c r="H114" s="104"/>
      <c r="I114" s="109"/>
      <c r="J114" s="104"/>
    </row>
    <row r="115">
      <c r="A115" s="147">
        <v>33549.0</v>
      </c>
      <c r="B115" s="158"/>
      <c r="C115" s="135" t="str">
        <f t="shared" si="3"/>
        <v>setlist</v>
      </c>
      <c r="D115" s="149" t="s">
        <v>584</v>
      </c>
      <c r="E115" s="149" t="s">
        <v>585</v>
      </c>
      <c r="F115" s="148" t="s">
        <v>586</v>
      </c>
      <c r="G115" s="148" t="s">
        <v>36</v>
      </c>
      <c r="H115" s="135" t="str">
        <f>HYPERLINK("http://www.mediafire.com/download/7ce0tnmqpm66qer/1991-11-07_-_Tipitina%27s_-_New_Orleans%2C_LA.rar", "download link")</f>
        <v>download link</v>
      </c>
      <c r="I115" s="136" t="s">
        <v>822</v>
      </c>
      <c r="J115" s="111"/>
    </row>
    <row r="116">
      <c r="A116" s="130">
        <v>33550.0</v>
      </c>
      <c r="B116" s="131"/>
      <c r="C116" s="105" t="str">
        <f t="shared" si="3"/>
        <v>setlist</v>
      </c>
      <c r="D116" s="132" t="s">
        <v>823</v>
      </c>
      <c r="E116" s="132" t="s">
        <v>582</v>
      </c>
      <c r="F116" s="133" t="s">
        <v>583</v>
      </c>
      <c r="G116" s="133" t="s">
        <v>36</v>
      </c>
      <c r="H116" s="105" t="str">
        <f>HYPERLINK("http://www.mediafire.com/download/mdjzr466qf3ub7i/1991-11-08_-_Ivory_Tusk_-_Tuscaloosa%2C_AL.rar", "download link")</f>
        <v>download link</v>
      </c>
      <c r="I116" s="134" t="s">
        <v>824</v>
      </c>
      <c r="J116" s="104"/>
    </row>
    <row r="117">
      <c r="A117" s="147">
        <v>33551.0</v>
      </c>
      <c r="B117" s="158"/>
      <c r="C117" s="135" t="str">
        <f t="shared" si="3"/>
        <v>setlist</v>
      </c>
      <c r="D117" s="149" t="s">
        <v>761</v>
      </c>
      <c r="E117" s="149" t="s">
        <v>437</v>
      </c>
      <c r="F117" s="148" t="s">
        <v>433</v>
      </c>
      <c r="G117" s="148" t="s">
        <v>36</v>
      </c>
      <c r="H117" s="135" t="str">
        <f>HYPERLINK("http://www.mediafire.com/download/dsn31cpdxelsu4v/1991-11-09_-_Variety_Playhouse_-_Atlanta%2C_GA.rar", "download link")</f>
        <v>download link</v>
      </c>
      <c r="I117" s="136" t="s">
        <v>822</v>
      </c>
      <c r="J117" s="111"/>
    </row>
    <row r="118">
      <c r="A118" s="130">
        <v>33552.0</v>
      </c>
      <c r="B118" s="131"/>
      <c r="C118" s="105" t="str">
        <f t="shared" si="3"/>
        <v>setlist</v>
      </c>
      <c r="D118" s="132" t="s">
        <v>825</v>
      </c>
      <c r="E118" s="132" t="s">
        <v>429</v>
      </c>
      <c r="F118" s="133" t="s">
        <v>430</v>
      </c>
      <c r="G118" s="131"/>
      <c r="H118" s="104"/>
      <c r="I118" s="109"/>
      <c r="J118" s="104"/>
    </row>
    <row r="119">
      <c r="A119" s="150">
        <v>33554.0</v>
      </c>
      <c r="B119" s="156"/>
      <c r="C119" s="116" t="str">
        <f t="shared" si="3"/>
        <v>setlist</v>
      </c>
      <c r="D119" s="153" t="s">
        <v>431</v>
      </c>
      <c r="E119" s="153" t="s">
        <v>432</v>
      </c>
      <c r="F119" s="151" t="s">
        <v>433</v>
      </c>
      <c r="G119" s="151" t="s">
        <v>36</v>
      </c>
      <c r="H119" s="116" t="str">
        <f>HYPERLINK("http://www.mediafire.com/download/bzz62a0d17dvi37/1991-11-12_-_The_Georgia_Theatre_-_Athens%2C_GA.rar", "download link")</f>
        <v>download link</v>
      </c>
      <c r="I119" s="117" t="s">
        <v>822</v>
      </c>
      <c r="J119" s="144"/>
    </row>
    <row r="120">
      <c r="A120" s="130">
        <v>33555.0</v>
      </c>
      <c r="B120" s="131"/>
      <c r="C120" s="105" t="str">
        <f t="shared" si="3"/>
        <v>setlist</v>
      </c>
      <c r="D120" s="132" t="s">
        <v>826</v>
      </c>
      <c r="E120" s="132" t="s">
        <v>827</v>
      </c>
      <c r="F120" s="133" t="s">
        <v>443</v>
      </c>
      <c r="G120" s="133" t="s">
        <v>36</v>
      </c>
      <c r="H120" s="105" t="str">
        <f>HYPERLINK("http://www.mediafire.com/download/wfb0aql20csog26/1991-11-13_-_Love_Auditorium%2C_Davidson_College_-_Davidson%2C_NC.rar", "download link")</f>
        <v>download link</v>
      </c>
      <c r="I120" s="134" t="s">
        <v>828</v>
      </c>
      <c r="J120" s="104"/>
    </row>
    <row r="121">
      <c r="A121" s="150">
        <v>33556.0</v>
      </c>
      <c r="B121" s="156"/>
      <c r="C121" s="116" t="str">
        <f t="shared" si="3"/>
        <v>setlist</v>
      </c>
      <c r="D121" s="153" t="s">
        <v>441</v>
      </c>
      <c r="E121" s="153" t="s">
        <v>545</v>
      </c>
      <c r="F121" s="151" t="s">
        <v>443</v>
      </c>
      <c r="G121" s="151" t="s">
        <v>36</v>
      </c>
      <c r="H121" s="116" t="str">
        <f>HYPERLINK("http://www.mediafire.com/download/6ote76b15ckrji4/1991-11-14_-_Cat%27s_Cradle_-_Chapel_Hill%2C_NC.rar", "download link")</f>
        <v>download link</v>
      </c>
      <c r="I121" s="117" t="s">
        <v>829</v>
      </c>
      <c r="J121" s="144"/>
    </row>
    <row r="122">
      <c r="A122" s="130">
        <v>33557.0</v>
      </c>
      <c r="B122" s="131"/>
      <c r="C122" s="105" t="str">
        <f t="shared" si="3"/>
        <v>setlist</v>
      </c>
      <c r="D122" s="132" t="s">
        <v>578</v>
      </c>
      <c r="E122" s="132" t="s">
        <v>579</v>
      </c>
      <c r="F122" s="133" t="s">
        <v>446</v>
      </c>
      <c r="G122" s="133" t="s">
        <v>36</v>
      </c>
      <c r="H122" s="105" t="str">
        <f>HYPERLINK("http://www.mediafire.com/download/i94lvd2u1tue37j/1991-11-15_-_Trax_-_Charlottesville%2C_VA.rar", "download link")</f>
        <v>download link</v>
      </c>
      <c r="I122" s="134" t="s">
        <v>830</v>
      </c>
      <c r="J122" s="104"/>
    </row>
    <row r="123">
      <c r="A123" s="150">
        <v>33558.0</v>
      </c>
      <c r="B123" s="156"/>
      <c r="C123" s="116" t="str">
        <f t="shared" si="3"/>
        <v>setlist</v>
      </c>
      <c r="D123" s="153" t="s">
        <v>455</v>
      </c>
      <c r="E123" s="153" t="s">
        <v>393</v>
      </c>
      <c r="F123" s="151" t="s">
        <v>394</v>
      </c>
      <c r="G123" s="151" t="s">
        <v>36</v>
      </c>
      <c r="H123" s="116" t="str">
        <f>HYPERLINK("http://www.mediafire.com/download/4kk4huai4u2caa4/1991-11-16_-_The_Bayou_-_Washington%2C_DC.rar", "download link")</f>
        <v>download link</v>
      </c>
      <c r="I123" s="117" t="s">
        <v>831</v>
      </c>
      <c r="J123" s="144"/>
    </row>
    <row r="124">
      <c r="A124" s="130">
        <v>33561.0</v>
      </c>
      <c r="B124" s="131"/>
      <c r="C124" s="105" t="str">
        <f t="shared" si="3"/>
        <v>setlist</v>
      </c>
      <c r="D124" s="132" t="s">
        <v>736</v>
      </c>
      <c r="E124" s="132" t="s">
        <v>737</v>
      </c>
      <c r="F124" s="133" t="s">
        <v>171</v>
      </c>
      <c r="G124" s="133" t="s">
        <v>36</v>
      </c>
      <c r="H124" s="105" t="str">
        <f>HYPERLINK("http://www.mediafire.com/download/2u1bp0auvffvwq7/1991-11-19_-_The_Sting_-_New_Britain%2C_CT.rar", "download link")</f>
        <v>download link</v>
      </c>
      <c r="I124" s="134" t="s">
        <v>832</v>
      </c>
      <c r="J124" s="104"/>
    </row>
    <row r="125">
      <c r="A125" s="150">
        <v>33562.0</v>
      </c>
      <c r="B125" s="156"/>
      <c r="C125" s="116" t="str">
        <f t="shared" si="3"/>
        <v>setlist</v>
      </c>
      <c r="D125" s="153" t="s">
        <v>607</v>
      </c>
      <c r="E125" s="153" t="s">
        <v>297</v>
      </c>
      <c r="F125" s="151" t="s">
        <v>298</v>
      </c>
      <c r="G125" s="151" t="s">
        <v>36</v>
      </c>
      <c r="H125" s="116" t="str">
        <f>HYPERLINK("http://www.mediafire.com/download/spneztb9tz2gjvx/1991-11-20_-_Campus_Club_-_Providence%2C_RI.rar", "download link")</f>
        <v>download link</v>
      </c>
      <c r="I125" s="117" t="s">
        <v>833</v>
      </c>
      <c r="J125" s="144"/>
    </row>
    <row r="126">
      <c r="A126" s="130">
        <v>33563.0</v>
      </c>
      <c r="B126" s="133" t="s">
        <v>32</v>
      </c>
      <c r="C126" s="105" t="str">
        <f t="shared" si="3"/>
        <v>setlist</v>
      </c>
      <c r="D126" s="132" t="s">
        <v>562</v>
      </c>
      <c r="E126" s="132" t="s">
        <v>290</v>
      </c>
      <c r="F126" s="133" t="s">
        <v>95</v>
      </c>
      <c r="G126" s="133" t="s">
        <v>36</v>
      </c>
      <c r="H126" s="105" t="str">
        <f>HYPERLINK("http://www.mediafire.com/download/zwc03uqr0sbcz1z/1991-11-21_-_Somerville_Theatre_-_Somerville%2C_MA.rar", "download link")</f>
        <v>download link</v>
      </c>
      <c r="I126" s="134" t="s">
        <v>834</v>
      </c>
      <c r="J126" s="106"/>
    </row>
    <row r="127">
      <c r="A127" s="150">
        <v>33564.0</v>
      </c>
      <c r="B127" s="156"/>
      <c r="C127" s="116" t="str">
        <f t="shared" si="3"/>
        <v>setlist</v>
      </c>
      <c r="D127" s="153" t="s">
        <v>835</v>
      </c>
      <c r="E127" s="153" t="s">
        <v>279</v>
      </c>
      <c r="F127" s="151" t="s">
        <v>257</v>
      </c>
      <c r="G127" s="151" t="s">
        <v>36</v>
      </c>
      <c r="H127" s="116" t="str">
        <f>HYPERLINK("http://www.mediafire.com/download/a7j79xmyz8c31y3/1991-11-22_-_Sullivan_Gymnasium%2C_University_of_Southern_Maine_-_Portland%2C_ME.rar", "download link")</f>
        <v>download link</v>
      </c>
      <c r="I127" s="117" t="s">
        <v>836</v>
      </c>
      <c r="J127" s="144"/>
    </row>
    <row r="128">
      <c r="A128" s="130">
        <v>33565.0</v>
      </c>
      <c r="B128" s="131"/>
      <c r="C128" s="105" t="str">
        <f t="shared" si="3"/>
        <v>setlist</v>
      </c>
      <c r="D128" s="140" t="s">
        <v>837</v>
      </c>
      <c r="E128" s="132" t="s">
        <v>838</v>
      </c>
      <c r="F128" s="133" t="s">
        <v>35</v>
      </c>
      <c r="G128" s="133" t="s">
        <v>36</v>
      </c>
      <c r="H128" s="105" t="str">
        <f>HYPERLINK("http://www.mediafire.com/download/ve325b0j9ylld5d/1991-11-23_-_Alumni_Hall_-_Barre%2C_VT.rar", "download link")</f>
        <v>download link</v>
      </c>
      <c r="I128" s="134" t="s">
        <v>767</v>
      </c>
      <c r="J128" s="104"/>
    </row>
    <row r="129">
      <c r="A129" s="150">
        <v>33566.0</v>
      </c>
      <c r="B129" s="156"/>
      <c r="C129" s="116" t="str">
        <f t="shared" si="3"/>
        <v>setlist</v>
      </c>
      <c r="D129" s="153" t="s">
        <v>418</v>
      </c>
      <c r="E129" s="153" t="s">
        <v>263</v>
      </c>
      <c r="F129" s="151" t="s">
        <v>182</v>
      </c>
      <c r="G129" s="151" t="s">
        <v>36</v>
      </c>
      <c r="H129" s="116" t="str">
        <f>HYPERLINK("http://www.mediafire.com/download/w3ftos40soao63x/1991-11-24_-_Webster_Hall%2C_Dartmouth_College_-_Hanover%2C_NH.rar", "download link")</f>
        <v>download link</v>
      </c>
      <c r="I129" s="117" t="s">
        <v>767</v>
      </c>
      <c r="J129" s="118" t="s">
        <v>839</v>
      </c>
    </row>
    <row r="130">
      <c r="A130" s="130">
        <v>33572.0</v>
      </c>
      <c r="B130" s="133" t="s">
        <v>32</v>
      </c>
      <c r="C130" s="105" t="str">
        <f t="shared" si="3"/>
        <v>setlist</v>
      </c>
      <c r="D130" s="132" t="s">
        <v>570</v>
      </c>
      <c r="E130" s="132" t="s">
        <v>571</v>
      </c>
      <c r="F130" s="133" t="s">
        <v>129</v>
      </c>
      <c r="G130" s="133" t="s">
        <v>36</v>
      </c>
      <c r="H130" s="105" t="str">
        <f>HYPERLINK("http://www.mediafire.com/download/b5h8i009attkm47/1991-11-30_-_The_Capitol_Theatre_-_Port_Chester%2C_NY.rar", "download link")</f>
        <v>download link</v>
      </c>
      <c r="I130" s="134" t="s">
        <v>23</v>
      </c>
      <c r="J130" s="104"/>
    </row>
    <row r="131">
      <c r="A131" s="150">
        <v>33576.0</v>
      </c>
      <c r="B131" s="156"/>
      <c r="C131" s="116" t="str">
        <f t="shared" si="3"/>
        <v>setlist</v>
      </c>
      <c r="D131" s="152" t="s">
        <v>840</v>
      </c>
      <c r="E131" s="153" t="s">
        <v>841</v>
      </c>
      <c r="F131" s="151" t="s">
        <v>129</v>
      </c>
      <c r="G131" s="151" t="s">
        <v>36</v>
      </c>
      <c r="H131" s="116" t="str">
        <f>HYPERLINK("http://www.mediafire.com/download/ek6mflicbmq7vpq/1991-12-04_-_E._Glenn_Giltz_Auditorium%2C_SUNY-Plattsburgh_-_Plattsburgh%2C_NY.rar", "download link")</f>
        <v>download link</v>
      </c>
      <c r="I131" s="117" t="s">
        <v>842</v>
      </c>
      <c r="J131" s="144"/>
    </row>
    <row r="132">
      <c r="A132" s="130">
        <v>33577.0</v>
      </c>
      <c r="B132" s="133" t="s">
        <v>32</v>
      </c>
      <c r="C132" s="105" t="str">
        <f t="shared" si="3"/>
        <v>setlist</v>
      </c>
      <c r="D132" s="132" t="s">
        <v>843</v>
      </c>
      <c r="E132" s="132" t="s">
        <v>844</v>
      </c>
      <c r="F132" s="133" t="s">
        <v>95</v>
      </c>
      <c r="G132" s="133" t="s">
        <v>36</v>
      </c>
      <c r="H132" s="105" t="str">
        <f>HYPERLINK("http://www.mediafire.com/download/lwzdhhpf6x6zuex/1991-12-05_-_Greenfield_Armory_Castle_-_Greenfield%2C_MA.rar", "download link")</f>
        <v>download link</v>
      </c>
      <c r="I132" s="134" t="s">
        <v>845</v>
      </c>
      <c r="J132" s="106" t="s">
        <v>287</v>
      </c>
    </row>
    <row r="133">
      <c r="A133" s="150">
        <v>33578.0</v>
      </c>
      <c r="B133" s="151" t="s">
        <v>32</v>
      </c>
      <c r="C133" s="116" t="str">
        <f t="shared" si="3"/>
        <v>setlist</v>
      </c>
      <c r="D133" s="153" t="s">
        <v>846</v>
      </c>
      <c r="E133" s="153" t="s">
        <v>231</v>
      </c>
      <c r="F133" s="151" t="s">
        <v>35</v>
      </c>
      <c r="G133" s="151" t="s">
        <v>36</v>
      </c>
      <c r="H133" s="116" t="str">
        <f>HYPERLINK("http://www.mediafire.com/download/a9mqp1f3y9tckl6/1991-12-06_-_McCullough_Social_Hall%2C_Middlebury_College_-_Middlebury%2C_VT.rar", "download link")</f>
        <v>download link</v>
      </c>
      <c r="I133" s="117" t="s">
        <v>847</v>
      </c>
      <c r="J133" s="118" t="s">
        <v>848</v>
      </c>
    </row>
    <row r="134">
      <c r="A134" s="209">
        <v>33579.0</v>
      </c>
      <c r="B134" s="210" t="s">
        <v>32</v>
      </c>
      <c r="C134" s="123" t="str">
        <f t="shared" si="3"/>
        <v>setlist</v>
      </c>
      <c r="D134" s="211" t="s">
        <v>633</v>
      </c>
      <c r="E134" s="211" t="s">
        <v>634</v>
      </c>
      <c r="F134" s="210" t="s">
        <v>182</v>
      </c>
      <c r="G134" s="210" t="s">
        <v>36</v>
      </c>
      <c r="H134" s="105" t="str">
        <f>HYPERLINK("http://www.mediafire.com/download/jy9v7jrxl4mjy0l/1991-12-07_-_The_Music_Hall_-_Portsmouth%2C_NH.rar", "download link")</f>
        <v>download link</v>
      </c>
      <c r="I134" s="137" t="s">
        <v>122</v>
      </c>
      <c r="J134" s="122" t="s">
        <v>849</v>
      </c>
    </row>
    <row r="135">
      <c r="A135" s="92"/>
      <c r="B135" s="93"/>
      <c r="C135" s="65"/>
      <c r="D135" s="83" t="s">
        <v>850</v>
      </c>
      <c r="E135" s="95"/>
      <c r="F135" s="93"/>
      <c r="G135" s="93"/>
      <c r="H135" s="93"/>
      <c r="I135" s="95"/>
      <c r="J135" s="93"/>
    </row>
    <row r="136">
      <c r="A136" s="125">
        <v>33603.0</v>
      </c>
      <c r="B136" s="127" t="s">
        <v>32</v>
      </c>
      <c r="C136" s="98" t="str">
        <f>HYPERLINK("http://www.phish.net/setlists/?d="&amp;RIGHT(TEXT(A136,"mm/dd/yyyy"),4)&amp;"-"&amp;LEFT(TEXT(A136,"mm/dd/yyyy"),2)&amp;"-"&amp;MID(TEXT(A136,"mm/dd/yyyy"),4,2), "setlist")</f>
        <v>setlist</v>
      </c>
      <c r="D136" s="102" t="s">
        <v>851</v>
      </c>
      <c r="E136" s="102" t="s">
        <v>417</v>
      </c>
      <c r="F136" s="127" t="s">
        <v>95</v>
      </c>
      <c r="G136" s="127" t="s">
        <v>36</v>
      </c>
      <c r="H136" s="98" t="str">
        <f>HYPERLINK("http://www.mediafire.com/download/em8ojqt5wte8mg6/1991-12-31_-_Worcester_Memorial_Auditorium_-_Worcester%2C_MA.rar", "download link")</f>
        <v>download link</v>
      </c>
      <c r="I136" s="101" t="s">
        <v>23</v>
      </c>
      <c r="J136" s="1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54.0"/>
  </cols>
  <sheetData>
    <row r="1">
      <c r="A1" s="77"/>
      <c r="B1" s="78"/>
      <c r="C1" s="78"/>
      <c r="D1" s="82"/>
      <c r="E1" s="82"/>
      <c r="F1" s="212"/>
      <c r="G1" s="212"/>
      <c r="H1" s="81"/>
      <c r="I1" s="82"/>
      <c r="J1" s="82"/>
    </row>
    <row r="2">
      <c r="A2" s="83" t="s">
        <v>22</v>
      </c>
      <c r="B2" s="60" t="s">
        <v>23</v>
      </c>
      <c r="C2" s="60" t="s">
        <v>24</v>
      </c>
      <c r="D2" s="60" t="s">
        <v>25</v>
      </c>
      <c r="E2" s="60" t="s">
        <v>26</v>
      </c>
      <c r="F2" s="60" t="s">
        <v>27</v>
      </c>
      <c r="G2" s="60" t="s">
        <v>28</v>
      </c>
      <c r="H2" s="60" t="s">
        <v>29</v>
      </c>
      <c r="I2" s="85" t="s">
        <v>30</v>
      </c>
      <c r="J2" s="83" t="s">
        <v>31</v>
      </c>
    </row>
    <row r="3">
      <c r="A3" s="213"/>
      <c r="B3" s="87"/>
      <c r="C3" s="87"/>
      <c r="D3" s="214"/>
      <c r="E3" s="214"/>
      <c r="F3" s="215"/>
      <c r="G3" s="215"/>
      <c r="H3" s="87"/>
      <c r="I3" s="89"/>
      <c r="J3" s="89"/>
    </row>
    <row r="4">
      <c r="A4" s="92"/>
      <c r="B4" s="93"/>
      <c r="C4" s="93"/>
      <c r="D4" s="83" t="s">
        <v>852</v>
      </c>
      <c r="E4" s="95"/>
      <c r="F4" s="93"/>
      <c r="G4" s="93"/>
      <c r="H4" s="93"/>
      <c r="I4" s="95"/>
      <c r="J4" s="95"/>
    </row>
    <row r="5">
      <c r="A5" s="216">
        <v>33617.0</v>
      </c>
      <c r="B5" s="87"/>
      <c r="C5" s="217" t="str">
        <f>HYPERLINK("http://www.phish.net/setlists/?d="&amp;RIGHT(TEXT(A5,"mm/dd/yyyy"),4)&amp;"-"&amp;LEFT(TEXT(A5,"mm/dd/yyyy"),2)&amp;"-"&amp;MID(TEXT(A5,"mm/dd/yyyy"),4,2), "setlist")</f>
        <v>setlist</v>
      </c>
      <c r="D5" s="218" t="s">
        <v>853</v>
      </c>
      <c r="E5" s="218" t="s">
        <v>854</v>
      </c>
      <c r="F5" s="219" t="s">
        <v>35</v>
      </c>
      <c r="G5" s="219" t="s">
        <v>36</v>
      </c>
      <c r="H5" s="217" t="str">
        <f>HYPERLINK("http://www.mediafire.com/download/88722pgung2p275/1992-01-14_-_The_Band_House_-_Winooski%2C_VT.rar", "download link")</f>
        <v>download link</v>
      </c>
      <c r="I5" s="220" t="s">
        <v>855</v>
      </c>
      <c r="J5" s="221"/>
    </row>
    <row r="6">
      <c r="A6" s="92"/>
      <c r="B6" s="93"/>
      <c r="C6" s="65"/>
      <c r="D6" s="83" t="s">
        <v>856</v>
      </c>
      <c r="E6" s="95"/>
      <c r="F6" s="93"/>
      <c r="G6" s="93"/>
      <c r="H6" s="93"/>
      <c r="I6" s="95"/>
      <c r="J6" s="95"/>
    </row>
    <row r="7">
      <c r="A7" s="96">
        <v>33669.0</v>
      </c>
      <c r="B7" s="127" t="s">
        <v>32</v>
      </c>
      <c r="C7" s="98" t="str">
        <f t="shared" ref="C7:C60" si="1">HYPERLINK("http://www.phish.net/setlists/?d="&amp;RIGHT(TEXT(A7,"mm/dd/yyyy"),4)&amp;"-"&amp;LEFT(TEXT(A7,"mm/dd/yyyy"),2)&amp;"-"&amp;MID(TEXT(A7,"mm/dd/yyyy"),4,2), "setlist")</f>
        <v>setlist</v>
      </c>
      <c r="D7" s="100" t="s">
        <v>633</v>
      </c>
      <c r="E7" s="100" t="s">
        <v>634</v>
      </c>
      <c r="F7" s="97" t="s">
        <v>182</v>
      </c>
      <c r="G7" s="97" t="s">
        <v>36</v>
      </c>
      <c r="H7" s="98" t="str">
        <f>HYPERLINK("http://www.mediafire.com/download/pnd877boc2595v4/1992-03-06_-_The_Music_Hall_-_Portsmouth%2C_NH.rar", "download link")</f>
        <v>download link</v>
      </c>
      <c r="I7" s="101" t="s">
        <v>857</v>
      </c>
      <c r="J7" s="102"/>
    </row>
    <row r="8">
      <c r="A8" s="130">
        <v>33670.0</v>
      </c>
      <c r="B8" s="107" t="s">
        <v>32</v>
      </c>
      <c r="C8" s="105" t="str">
        <f t="shared" si="1"/>
        <v>setlist</v>
      </c>
      <c r="D8" s="132" t="s">
        <v>633</v>
      </c>
      <c r="E8" s="132" t="s">
        <v>634</v>
      </c>
      <c r="F8" s="133" t="s">
        <v>182</v>
      </c>
      <c r="G8" s="133" t="s">
        <v>36</v>
      </c>
      <c r="H8" s="105" t="str">
        <f>HYPERLINK("http://www.mediafire.com/download/c4bcbca567kzhf5/1992-03-07_-_The_Music_Hall_-_Portsmouth%2C_NH.rar", "download link")</f>
        <v>download link</v>
      </c>
      <c r="I8" s="134" t="s">
        <v>858</v>
      </c>
      <c r="J8" s="106"/>
    </row>
    <row r="9">
      <c r="A9" s="147">
        <v>33674.0</v>
      </c>
      <c r="B9" s="111"/>
      <c r="C9" s="135" t="str">
        <f t="shared" si="1"/>
        <v>setlist</v>
      </c>
      <c r="D9" s="149" t="s">
        <v>523</v>
      </c>
      <c r="E9" s="149" t="s">
        <v>367</v>
      </c>
      <c r="F9" s="148" t="s">
        <v>182</v>
      </c>
      <c r="G9" s="148" t="s">
        <v>36</v>
      </c>
      <c r="H9" s="116" t="str">
        <f>HYPERLINK("http://www.mediafire.com/download/r5jax5pj5f2f702/1992-03-11_-_The_Colonial_Theatre_-_Keene%2C_NH.rar", "download link")</f>
        <v>download link</v>
      </c>
      <c r="I9" s="136" t="s">
        <v>859</v>
      </c>
      <c r="J9" s="80"/>
    </row>
    <row r="10">
      <c r="A10" s="130">
        <v>33675.0</v>
      </c>
      <c r="B10" s="104"/>
      <c r="C10" s="105" t="str">
        <f t="shared" si="1"/>
        <v>setlist</v>
      </c>
      <c r="D10" s="132" t="s">
        <v>860</v>
      </c>
      <c r="E10" s="132" t="s">
        <v>34</v>
      </c>
      <c r="F10" s="133" t="s">
        <v>35</v>
      </c>
      <c r="G10" s="133" t="s">
        <v>36</v>
      </c>
      <c r="H10" s="105" t="str">
        <f>HYPERLINK("http://www.mediafire.com/download/pag1p73rcr7ztsx/1992-03-12_-_The_Flynn_Theatre_-_Burlington%2C_VT.rar", "download link")</f>
        <v>download link</v>
      </c>
      <c r="I10" s="134" t="s">
        <v>861</v>
      </c>
      <c r="J10" s="109"/>
    </row>
    <row r="11">
      <c r="A11" s="147">
        <v>33676.0</v>
      </c>
      <c r="B11" s="114" t="s">
        <v>32</v>
      </c>
      <c r="C11" s="135" t="str">
        <f t="shared" si="1"/>
        <v>setlist</v>
      </c>
      <c r="D11" s="149" t="s">
        <v>607</v>
      </c>
      <c r="E11" s="149" t="s">
        <v>297</v>
      </c>
      <c r="F11" s="148" t="s">
        <v>298</v>
      </c>
      <c r="G11" s="148" t="s">
        <v>36</v>
      </c>
      <c r="H11" s="116" t="str">
        <f>HYPERLINK("http://www.mediafire.com/download/2uy3973yp18j5kn/1992-03-13_-_Campus_Club_-_Providence%2C_RI.rar", "download link")</f>
        <v>download link</v>
      </c>
      <c r="I11" s="136" t="s">
        <v>862</v>
      </c>
      <c r="J11" s="80"/>
    </row>
    <row r="12">
      <c r="A12" s="130">
        <v>33677.0</v>
      </c>
      <c r="B12" s="107" t="s">
        <v>32</v>
      </c>
      <c r="C12" s="105" t="str">
        <f t="shared" si="1"/>
        <v>setlist</v>
      </c>
      <c r="D12" s="132" t="s">
        <v>863</v>
      </c>
      <c r="E12" s="132" t="s">
        <v>162</v>
      </c>
      <c r="F12" s="133" t="s">
        <v>129</v>
      </c>
      <c r="G12" s="133" t="s">
        <v>36</v>
      </c>
      <c r="H12" s="105" t="str">
        <f>HYPERLINK("http://www.mediafire.com/download/8vx0k9qrnw7j784/1992-03-14_-_Roseland_Ballroom_-_New_York%2C_NY.rar", "download link")</f>
        <v>download link</v>
      </c>
      <c r="I12" s="134" t="s">
        <v>572</v>
      </c>
      <c r="J12" s="109"/>
    </row>
    <row r="13">
      <c r="A13" s="147">
        <v>33680.0</v>
      </c>
      <c r="B13" s="148" t="s">
        <v>32</v>
      </c>
      <c r="C13" s="135" t="str">
        <f t="shared" si="1"/>
        <v>setlist</v>
      </c>
      <c r="D13" s="149" t="s">
        <v>864</v>
      </c>
      <c r="E13" s="149" t="s">
        <v>393</v>
      </c>
      <c r="F13" s="148" t="s">
        <v>394</v>
      </c>
      <c r="G13" s="148" t="s">
        <v>36</v>
      </c>
      <c r="H13" s="116" t="str">
        <f>HYPERLINK("http://www.mediafire.com/download/tzfqm2hu2bkjupm/1992-03-17_-_Lisner_Auditorium%2C_George_Washington_University_-_Washington%2C_DC.rar", "download link")</f>
        <v>download link</v>
      </c>
      <c r="I13" s="136" t="s">
        <v>865</v>
      </c>
      <c r="J13" s="113"/>
    </row>
    <row r="14">
      <c r="A14" s="130">
        <v>33682.0</v>
      </c>
      <c r="B14" s="104"/>
      <c r="C14" s="105" t="str">
        <f t="shared" si="1"/>
        <v>setlist</v>
      </c>
      <c r="D14" s="132" t="s">
        <v>866</v>
      </c>
      <c r="E14" s="132" t="s">
        <v>459</v>
      </c>
      <c r="F14" s="133" t="s">
        <v>171</v>
      </c>
      <c r="G14" s="133" t="s">
        <v>36</v>
      </c>
      <c r="H14" s="105" t="str">
        <f>HYPERLINK("http://www.mediafire.com/download/n6igcffj1ak42sg/1992-03-19_-_Palace_Theatre_-_New_Haven%2C_CT.rar", "download link")</f>
        <v>download link</v>
      </c>
      <c r="I14" s="134" t="s">
        <v>867</v>
      </c>
      <c r="J14" s="106" t="s">
        <v>287</v>
      </c>
    </row>
    <row r="15">
      <c r="A15" s="147">
        <v>33683.0</v>
      </c>
      <c r="B15" s="139" t="s">
        <v>32</v>
      </c>
      <c r="C15" s="135" t="str">
        <f t="shared" si="1"/>
        <v>setlist</v>
      </c>
      <c r="D15" s="149" t="s">
        <v>868</v>
      </c>
      <c r="E15" s="149" t="s">
        <v>227</v>
      </c>
      <c r="F15" s="148" t="s">
        <v>129</v>
      </c>
      <c r="G15" s="148" t="s">
        <v>36</v>
      </c>
      <c r="H15" s="116" t="str">
        <f>HYPERLINK("http://www.mediafire.com/download/rczbb769wwgwyib/1992-03-20_-_Broome_County_Forum_-_Binghamton%2C_NY.rar", "download link")</f>
        <v>download link</v>
      </c>
      <c r="I15" s="136" t="s">
        <v>869</v>
      </c>
      <c r="J15" s="113"/>
    </row>
    <row r="16">
      <c r="A16" s="130">
        <v>33684.0</v>
      </c>
      <c r="B16" s="104"/>
      <c r="C16" s="105" t="str">
        <f t="shared" si="1"/>
        <v>setlist</v>
      </c>
      <c r="D16" s="132" t="s">
        <v>870</v>
      </c>
      <c r="E16" s="132" t="s">
        <v>871</v>
      </c>
      <c r="F16" s="133" t="s">
        <v>212</v>
      </c>
      <c r="G16" s="133" t="s">
        <v>36</v>
      </c>
      <c r="H16" s="105" t="str">
        <f>HYPERLINK("http://www.mediafire.com/download/b11cqb2jgyw096k/1992-03-21_-_Chesnut_Cabaret_-_Philadelphia%2C_PA.rar", "download link")</f>
        <v>download link</v>
      </c>
      <c r="I16" s="134" t="s">
        <v>872</v>
      </c>
      <c r="J16" s="109"/>
    </row>
    <row r="17">
      <c r="A17" s="147">
        <v>33685.0</v>
      </c>
      <c r="B17" s="114" t="s">
        <v>32</v>
      </c>
      <c r="C17" s="135" t="str">
        <f t="shared" si="1"/>
        <v>setlist</v>
      </c>
      <c r="D17" s="149" t="s">
        <v>873</v>
      </c>
      <c r="E17" s="149" t="s">
        <v>429</v>
      </c>
      <c r="F17" s="148" t="s">
        <v>874</v>
      </c>
      <c r="G17" s="148" t="s">
        <v>36</v>
      </c>
      <c r="H17" s="116" t="str">
        <f>HYPERLINK("http://www.mediafire.com/download/2e6byva2krqx6ok/1992-03-22_-_Cultural_Center_Auditorium_-_Charleston%2C_WV.rar", "download link")</f>
        <v>download link</v>
      </c>
      <c r="I17" s="136" t="s">
        <v>875</v>
      </c>
      <c r="J17" s="80"/>
    </row>
    <row r="18">
      <c r="A18" s="130">
        <v>33687.0</v>
      </c>
      <c r="B18" s="104"/>
      <c r="C18" s="105" t="str">
        <f t="shared" si="1"/>
        <v>setlist</v>
      </c>
      <c r="D18" s="132" t="s">
        <v>876</v>
      </c>
      <c r="E18" s="132" t="s">
        <v>445</v>
      </c>
      <c r="F18" s="133" t="s">
        <v>446</v>
      </c>
      <c r="G18" s="133" t="s">
        <v>36</v>
      </c>
      <c r="H18" s="105" t="str">
        <f>HYPERLINK("http://www.mediafire.com/download/3okd9o5dzb75bga/1992-03-24_-_Flood_Zone_-_Richmond%2C_VA.rar", "download link")</f>
        <v>download link</v>
      </c>
      <c r="I18" s="134" t="s">
        <v>877</v>
      </c>
      <c r="J18" s="109"/>
    </row>
    <row r="19">
      <c r="A19" s="147">
        <v>33688.0</v>
      </c>
      <c r="B19" s="114" t="s">
        <v>32</v>
      </c>
      <c r="C19" s="135" t="str">
        <f t="shared" si="1"/>
        <v>setlist</v>
      </c>
      <c r="D19" s="149" t="s">
        <v>578</v>
      </c>
      <c r="E19" s="149" t="s">
        <v>579</v>
      </c>
      <c r="F19" s="148" t="s">
        <v>446</v>
      </c>
      <c r="G19" s="148" t="s">
        <v>36</v>
      </c>
      <c r="H19" s="116" t="str">
        <f>HYPERLINK("http://www.mediafire.com/download/s3sn2tbzz0mqqtw/1992-03-25_-_Trax_-_Charlottesville%2C_VA.rar", "download link")</f>
        <v>download link</v>
      </c>
      <c r="I19" s="136" t="s">
        <v>64</v>
      </c>
      <c r="J19" s="80"/>
    </row>
    <row r="20">
      <c r="A20" s="130">
        <v>33689.0</v>
      </c>
      <c r="B20" s="104"/>
      <c r="C20" s="105" t="str">
        <f t="shared" si="1"/>
        <v>setlist</v>
      </c>
      <c r="D20" s="132" t="s">
        <v>878</v>
      </c>
      <c r="E20" s="132" t="s">
        <v>879</v>
      </c>
      <c r="F20" s="133" t="s">
        <v>443</v>
      </c>
      <c r="G20" s="133" t="s">
        <v>36</v>
      </c>
      <c r="H20" s="105" t="str">
        <f>HYPERLINK("http://www.mediafire.com/download/p7gm9npsjngyp15/1992-03-26_-_Ziggy%27s_-_Winston-Salem%2C_NC.rar", "download link")</f>
        <v>download link</v>
      </c>
      <c r="I20" s="134" t="s">
        <v>880</v>
      </c>
      <c r="J20" s="109"/>
    </row>
    <row r="21">
      <c r="A21" s="147">
        <v>33690.0</v>
      </c>
      <c r="B21" s="111"/>
      <c r="C21" s="135" t="str">
        <f t="shared" si="1"/>
        <v>setlist</v>
      </c>
      <c r="D21" s="149" t="s">
        <v>647</v>
      </c>
      <c r="E21" s="149" t="s">
        <v>541</v>
      </c>
      <c r="F21" s="148" t="s">
        <v>443</v>
      </c>
      <c r="G21" s="148" t="s">
        <v>36</v>
      </c>
      <c r="H21" s="116" t="str">
        <f>HYPERLINK("http://www.mediafire.com/download/wdgyds57y0bo62s/1992-03-27_-_13x13_Club_-_Charlotte%2C_NC.rar", "download link")</f>
        <v>download link</v>
      </c>
      <c r="I21" s="136" t="s">
        <v>881</v>
      </c>
      <c r="J21" s="80"/>
    </row>
    <row r="22">
      <c r="A22" s="130">
        <v>33691.0</v>
      </c>
      <c r="B22" s="104"/>
      <c r="C22" s="105" t="str">
        <f t="shared" si="1"/>
        <v>setlist</v>
      </c>
      <c r="D22" s="132" t="s">
        <v>761</v>
      </c>
      <c r="E22" s="132" t="s">
        <v>437</v>
      </c>
      <c r="F22" s="133" t="s">
        <v>433</v>
      </c>
      <c r="G22" s="133" t="s">
        <v>36</v>
      </c>
      <c r="H22" s="105" t="str">
        <f>HYPERLINK("http://www.mediafire.com/download/ac6oqkb3803a4k8/1992-03-28_-_Variety_Playhouse_-_Atlanta%2C_GA.rar", "download link")</f>
        <v>download link</v>
      </c>
      <c r="I22" s="134" t="s">
        <v>882</v>
      </c>
      <c r="J22" s="106" t="s">
        <v>883</v>
      </c>
    </row>
    <row r="23">
      <c r="A23" s="147">
        <v>33693.0</v>
      </c>
      <c r="B23" s="111"/>
      <c r="C23" s="135" t="str">
        <f t="shared" si="1"/>
        <v>setlist</v>
      </c>
      <c r="D23" s="149" t="s">
        <v>884</v>
      </c>
      <c r="E23" s="149" t="s">
        <v>885</v>
      </c>
      <c r="F23" s="148" t="s">
        <v>886</v>
      </c>
      <c r="G23" s="148" t="s">
        <v>36</v>
      </c>
      <c r="H23" s="116" t="str">
        <f>HYPERLINK("http://www.mediafire.com/download/2fcbc42a1qnfhl5/1992-03-30_-_Mississippi_Nights_-_St._Louis%2C_MO.rar", "download link")</f>
        <v>download link</v>
      </c>
      <c r="I23" s="136" t="s">
        <v>887</v>
      </c>
      <c r="J23" s="80"/>
    </row>
    <row r="24">
      <c r="A24" s="130">
        <v>33694.0</v>
      </c>
      <c r="B24" s="104"/>
      <c r="C24" s="105" t="str">
        <f t="shared" si="1"/>
        <v>setlist</v>
      </c>
      <c r="D24" s="132" t="s">
        <v>888</v>
      </c>
      <c r="E24" s="132" t="s">
        <v>439</v>
      </c>
      <c r="F24" s="133" t="s">
        <v>886</v>
      </c>
      <c r="G24" s="133" t="s">
        <v>36</v>
      </c>
      <c r="H24" s="105" t="str">
        <f>HYPERLINK("http://www.mediafire.com/download/ll87pww0man948o/1992-03-31_-_The_Blue_Note_-_Columbia%2C_MO.rar", "download link")</f>
        <v>download link</v>
      </c>
      <c r="I24" s="134" t="s">
        <v>889</v>
      </c>
      <c r="J24" s="109"/>
    </row>
    <row r="25">
      <c r="A25" s="147">
        <v>33695.0</v>
      </c>
      <c r="B25" s="111"/>
      <c r="C25" s="135" t="str">
        <f t="shared" si="1"/>
        <v>setlist</v>
      </c>
      <c r="D25" s="149" t="s">
        <v>890</v>
      </c>
      <c r="E25" s="149" t="s">
        <v>891</v>
      </c>
      <c r="F25" s="148" t="s">
        <v>892</v>
      </c>
      <c r="G25" s="148" t="s">
        <v>36</v>
      </c>
      <c r="H25" s="116" t="str">
        <f>HYPERLINK("http://www.mediafire.com/download/2o3hd067oz0recz/1992-04-01_-_Liberty_Hall_-_Lawrence%2C_KS.rar", "download link")</f>
        <v>download link</v>
      </c>
      <c r="I25" s="136" t="s">
        <v>893</v>
      </c>
      <c r="J25" s="80"/>
    </row>
    <row r="26">
      <c r="A26" s="130">
        <v>33697.0</v>
      </c>
      <c r="B26" s="133" t="s">
        <v>32</v>
      </c>
      <c r="C26" s="105" t="str">
        <f t="shared" si="1"/>
        <v>setlist</v>
      </c>
      <c r="D26" s="132" t="s">
        <v>894</v>
      </c>
      <c r="E26" s="132" t="s">
        <v>895</v>
      </c>
      <c r="F26" s="133" t="s">
        <v>203</v>
      </c>
      <c r="G26" s="133" t="s">
        <v>36</v>
      </c>
      <c r="H26" s="105" t="str">
        <f>HYPERLINK("http://www.mediafire.com/download/5v2bn89zwta3cyp/1992-04-03_-_Sawatch_Hall%2C_Park_Hyatt_Beaver_Creek_-_Avon%2C_CO.rar", "download link")</f>
        <v>download link</v>
      </c>
      <c r="I26" s="134" t="s">
        <v>575</v>
      </c>
      <c r="J26" s="106" t="s">
        <v>727</v>
      </c>
    </row>
    <row r="27">
      <c r="A27" s="147">
        <v>33698.0</v>
      </c>
      <c r="B27" s="158"/>
      <c r="C27" s="135" t="str">
        <f t="shared" si="1"/>
        <v>setlist</v>
      </c>
      <c r="D27" s="149" t="s">
        <v>896</v>
      </c>
      <c r="E27" s="149" t="s">
        <v>488</v>
      </c>
      <c r="F27" s="148" t="s">
        <v>203</v>
      </c>
      <c r="G27" s="148" t="s">
        <v>36</v>
      </c>
      <c r="H27" s="116" t="str">
        <f>HYPERLINK("http://www.mediafire.com/download/l8mdw3qm33jtb3m/1992-04-04_-_Balch_Fieldhouse%2C_University_of_Colorado_-_Boulder%2C_CO.rar", "download link")</f>
        <v>download link</v>
      </c>
      <c r="I27" s="136" t="s">
        <v>543</v>
      </c>
      <c r="J27" s="113" t="s">
        <v>319</v>
      </c>
    </row>
    <row r="28">
      <c r="A28" s="130">
        <v>33699.0</v>
      </c>
      <c r="B28" s="107" t="s">
        <v>32</v>
      </c>
      <c r="C28" s="105" t="str">
        <f t="shared" si="1"/>
        <v>setlist</v>
      </c>
      <c r="D28" s="132" t="s">
        <v>897</v>
      </c>
      <c r="E28" s="132" t="s">
        <v>488</v>
      </c>
      <c r="F28" s="133" t="s">
        <v>203</v>
      </c>
      <c r="G28" s="133" t="s">
        <v>36</v>
      </c>
      <c r="H28" s="105" t="str">
        <f>HYPERLINK("http://www.mediafire.com/download/pjypsx4jj994k0y/1992-04-05_-_The_Fox_Theatre_-_Boulder%2C_CO.rar", "download link")</f>
        <v>download link</v>
      </c>
      <c r="I28" s="134" t="s">
        <v>594</v>
      </c>
      <c r="J28" s="106" t="s">
        <v>898</v>
      </c>
    </row>
    <row r="29">
      <c r="A29" s="147">
        <v>33700.0</v>
      </c>
      <c r="B29" s="114" t="s">
        <v>32</v>
      </c>
      <c r="C29" s="135" t="str">
        <f t="shared" si="1"/>
        <v>setlist</v>
      </c>
      <c r="D29" s="149" t="s">
        <v>899</v>
      </c>
      <c r="E29" s="149" t="s">
        <v>900</v>
      </c>
      <c r="F29" s="148" t="s">
        <v>203</v>
      </c>
      <c r="G29" s="148" t="s">
        <v>36</v>
      </c>
      <c r="H29" s="116" t="str">
        <f>HYPERLINK("http://www.mediafire.com/download/3e166qxt8kt6jds/1992-04-06_-_Paul_Wright_Gym%2C_Western_State_College_-_Gunnison%2C_CO.rar", "download link")</f>
        <v>download link</v>
      </c>
      <c r="I29" s="136" t="s">
        <v>901</v>
      </c>
      <c r="J29" s="80"/>
    </row>
    <row r="30">
      <c r="A30" s="130">
        <v>33701.0</v>
      </c>
      <c r="B30" s="133" t="s">
        <v>32</v>
      </c>
      <c r="C30" s="105" t="str">
        <f t="shared" si="1"/>
        <v>setlist</v>
      </c>
      <c r="D30" s="132" t="s">
        <v>675</v>
      </c>
      <c r="E30" s="132" t="s">
        <v>676</v>
      </c>
      <c r="F30" s="133" t="s">
        <v>203</v>
      </c>
      <c r="G30" s="133" t="s">
        <v>36</v>
      </c>
      <c r="H30" s="105" t="str">
        <f>HYPERLINK("http://www.mediafire.com/download/qtz11pqf7hfawh2/1992-04-07_-_Fine_Arts_Auditorium%2C_Fort_Lewis_College_-_Durango%2C_CO.rar", "download link")</f>
        <v>download link</v>
      </c>
      <c r="I30" s="134" t="s">
        <v>902</v>
      </c>
      <c r="J30" s="134" t="s">
        <v>287</v>
      </c>
    </row>
    <row r="31">
      <c r="A31" s="150">
        <v>33702.0</v>
      </c>
      <c r="B31" s="165" t="s">
        <v>32</v>
      </c>
      <c r="C31" s="116" t="str">
        <f t="shared" si="1"/>
        <v>setlist</v>
      </c>
      <c r="D31" s="152" t="s">
        <v>903</v>
      </c>
      <c r="E31" s="153" t="s">
        <v>904</v>
      </c>
      <c r="F31" s="151" t="s">
        <v>811</v>
      </c>
      <c r="G31" s="196" t="s">
        <v>36</v>
      </c>
      <c r="H31" s="222" t="str">
        <f>HYPERLINK("http://www.mediafire.com/file/9f4kl1u89aioxb3/1992-04-08_-_El_Rey_Theater_-_Albuquerque%2C_NM.rar", "download link")</f>
        <v>download link</v>
      </c>
      <c r="I31" s="117" t="s">
        <v>23</v>
      </c>
      <c r="J31" s="146"/>
    </row>
    <row r="32">
      <c r="A32" s="130">
        <v>33706.0</v>
      </c>
      <c r="B32" s="133" t="s">
        <v>32</v>
      </c>
      <c r="C32" s="105" t="str">
        <f t="shared" si="1"/>
        <v>setlist</v>
      </c>
      <c r="D32" s="140" t="s">
        <v>905</v>
      </c>
      <c r="E32" s="132" t="s">
        <v>906</v>
      </c>
      <c r="F32" s="133" t="s">
        <v>805</v>
      </c>
      <c r="G32" s="133" t="s">
        <v>36</v>
      </c>
      <c r="H32" s="105" t="str">
        <f>HYPERLINK("http://www.mediafire.com/download/d8bi0uxjjn9kjqc/1992-04-12_-_Arizona_Ballroom%2C_University_of_Arizona_Student_Union_-_Tucson%2C_AZ.rar", "download link")</f>
        <v>download link</v>
      </c>
      <c r="I32" s="134" t="s">
        <v>907</v>
      </c>
      <c r="J32" s="134" t="s">
        <v>319</v>
      </c>
    </row>
    <row r="33">
      <c r="A33" s="147">
        <v>33707.0</v>
      </c>
      <c r="B33" s="114" t="s">
        <v>32</v>
      </c>
      <c r="C33" s="135" t="str">
        <f t="shared" si="1"/>
        <v>setlist</v>
      </c>
      <c r="D33" s="149" t="s">
        <v>908</v>
      </c>
      <c r="E33" s="149" t="s">
        <v>804</v>
      </c>
      <c r="F33" s="148" t="s">
        <v>805</v>
      </c>
      <c r="G33" s="148" t="s">
        <v>36</v>
      </c>
      <c r="H33" s="116" t="str">
        <f>HYPERLINK("http://www.mediafire.com/download/45zzao11t04676c/1992-04-13_-_After_the_Gold_Rush_-_Tempe%2C_AZ.rar", "download link")</f>
        <v>download link</v>
      </c>
      <c r="I33" s="136" t="s">
        <v>909</v>
      </c>
      <c r="J33" s="113" t="s">
        <v>784</v>
      </c>
    </row>
    <row r="34">
      <c r="A34" s="130">
        <v>33709.0</v>
      </c>
      <c r="B34" s="107" t="s">
        <v>32</v>
      </c>
      <c r="C34" s="105" t="str">
        <f t="shared" si="1"/>
        <v>setlist</v>
      </c>
      <c r="D34" s="132" t="s">
        <v>910</v>
      </c>
      <c r="E34" s="132" t="s">
        <v>911</v>
      </c>
      <c r="F34" s="133" t="s">
        <v>679</v>
      </c>
      <c r="G34" s="133" t="s">
        <v>36</v>
      </c>
      <c r="H34" s="105" t="str">
        <f>HYPERLINK("http://www.mediafire.com/download/6mkvo5y4mkumq7h/1992-04-15_-_Variety_Arts_Center_-_Los_Angeles%2C_CA.rar", "download link")</f>
        <v>download link</v>
      </c>
      <c r="I34" s="134" t="s">
        <v>158</v>
      </c>
      <c r="J34" s="106" t="s">
        <v>610</v>
      </c>
    </row>
    <row r="35">
      <c r="A35" s="147">
        <v>33710.0</v>
      </c>
      <c r="B35" s="114" t="s">
        <v>32</v>
      </c>
      <c r="C35" s="135" t="str">
        <f t="shared" si="1"/>
        <v>setlist</v>
      </c>
      <c r="D35" s="149" t="s">
        <v>912</v>
      </c>
      <c r="E35" s="149" t="s">
        <v>913</v>
      </c>
      <c r="F35" s="148" t="s">
        <v>679</v>
      </c>
      <c r="G35" s="148" t="s">
        <v>36</v>
      </c>
      <c r="H35" s="116" t="str">
        <f>HYPERLINK("http://www.mediafire.com/download/9m2jke1m2lrqj9g/1992-04-16_-_Anaconda_Theatre_-_Isla_Vista%2C_CA.rar", "download link")</f>
        <v>download link</v>
      </c>
      <c r="I35" s="136" t="s">
        <v>23</v>
      </c>
      <c r="J35" s="80"/>
    </row>
    <row r="36">
      <c r="A36" s="130">
        <v>33711.0</v>
      </c>
      <c r="B36" s="107" t="s">
        <v>32</v>
      </c>
      <c r="C36" s="105" t="str">
        <f t="shared" si="1"/>
        <v>setlist</v>
      </c>
      <c r="D36" s="132" t="s">
        <v>914</v>
      </c>
      <c r="E36" s="132" t="s">
        <v>683</v>
      </c>
      <c r="F36" s="133" t="s">
        <v>679</v>
      </c>
      <c r="G36" s="133" t="s">
        <v>36</v>
      </c>
      <c r="H36" s="105" t="str">
        <f>HYPERLINK("http://www.mediafire.com/download/ks6se4n7dn2mvwh/1992-04-17_-_Warfield_Theatre_-_San_Francisco%2C_CA.rar", "download link")</f>
        <v>download link</v>
      </c>
      <c r="I36" s="134" t="s">
        <v>915</v>
      </c>
      <c r="J36" s="109"/>
    </row>
    <row r="37">
      <c r="A37" s="147">
        <v>33712.0</v>
      </c>
      <c r="B37" s="114" t="s">
        <v>32</v>
      </c>
      <c r="C37" s="135" t="str">
        <f t="shared" si="1"/>
        <v>setlist</v>
      </c>
      <c r="D37" s="149" t="s">
        <v>916</v>
      </c>
      <c r="E37" s="149" t="s">
        <v>917</v>
      </c>
      <c r="F37" s="148" t="s">
        <v>679</v>
      </c>
      <c r="G37" s="148" t="s">
        <v>36</v>
      </c>
      <c r="H37" s="116" t="str">
        <f>HYPERLINK("http://www.mediafire.com/download/d1k8v9lfuawvoql/1992-04-18_-_Wilbur_Field%2C_Stanford_University_-_Palo_Alto%2C_CA.rar", "download link")</f>
        <v>download link</v>
      </c>
      <c r="I37" s="136" t="s">
        <v>918</v>
      </c>
      <c r="J37" s="136" t="s">
        <v>919</v>
      </c>
    </row>
    <row r="38">
      <c r="A38" s="130">
        <v>33713.0</v>
      </c>
      <c r="B38" s="104"/>
      <c r="C38" s="105" t="str">
        <f t="shared" si="1"/>
        <v>setlist</v>
      </c>
      <c r="D38" s="132" t="s">
        <v>677</v>
      </c>
      <c r="E38" s="132" t="s">
        <v>678</v>
      </c>
      <c r="F38" s="133" t="s">
        <v>679</v>
      </c>
      <c r="G38" s="133" t="s">
        <v>36</v>
      </c>
      <c r="H38" s="105" t="str">
        <f>HYPERLINK("http://www.mediafire.com/download/rvmdgpqcpm87owl/1992-04-19_-_The_Catalyst_-_Santa_Cruz%2C_CA.rar", "download link")</f>
        <v>download link</v>
      </c>
      <c r="I38" s="134" t="s">
        <v>920</v>
      </c>
      <c r="J38" s="109"/>
    </row>
    <row r="39">
      <c r="A39" s="147">
        <v>33715.0</v>
      </c>
      <c r="B39" s="114" t="s">
        <v>32</v>
      </c>
      <c r="C39" s="135" t="str">
        <f t="shared" si="1"/>
        <v>setlist</v>
      </c>
      <c r="D39" s="149" t="s">
        <v>921</v>
      </c>
      <c r="E39" s="149" t="s">
        <v>922</v>
      </c>
      <c r="F39" s="148" t="s">
        <v>679</v>
      </c>
      <c r="G39" s="148" t="s">
        <v>36</v>
      </c>
      <c r="H39" s="116" t="str">
        <f>HYPERLINK("http://www.mediafire.com/download/2rhv49xi8g53rlv/1992-04-21_-_Redwood_Acres_Fairgrounds_-_Eureka%2C_CA.rar", "download link")</f>
        <v>download link</v>
      </c>
      <c r="I39" s="136" t="s">
        <v>923</v>
      </c>
      <c r="J39" s="136" t="s">
        <v>924</v>
      </c>
    </row>
    <row r="40">
      <c r="A40" s="130">
        <v>33716.0</v>
      </c>
      <c r="B40" s="133" t="s">
        <v>32</v>
      </c>
      <c r="C40" s="105" t="str">
        <f t="shared" si="1"/>
        <v>setlist</v>
      </c>
      <c r="D40" s="132" t="s">
        <v>925</v>
      </c>
      <c r="E40" s="132" t="s">
        <v>695</v>
      </c>
      <c r="F40" s="133" t="s">
        <v>692</v>
      </c>
      <c r="G40" s="133" t="s">
        <v>36</v>
      </c>
      <c r="H40" s="105" t="str">
        <f>HYPERLINK("http://www.mediafire.com/download/i02h457la5i3gci/1992-04-22_-_Hilton_Ballroom_-_Eugene%2C_OR.rar", "download link")</f>
        <v>download link</v>
      </c>
      <c r="I40" s="134" t="s">
        <v>23</v>
      </c>
      <c r="J40" s="106" t="s">
        <v>926</v>
      </c>
    </row>
    <row r="41">
      <c r="A41" s="150">
        <v>33717.0</v>
      </c>
      <c r="B41" s="144"/>
      <c r="C41" s="116" t="str">
        <f t="shared" si="1"/>
        <v>setlist</v>
      </c>
      <c r="D41" s="153" t="s">
        <v>927</v>
      </c>
      <c r="E41" s="153" t="s">
        <v>791</v>
      </c>
      <c r="F41" s="151" t="s">
        <v>701</v>
      </c>
      <c r="G41" s="151" t="s">
        <v>36</v>
      </c>
      <c r="H41" s="116" t="str">
        <f>HYPERLINK("http://www.mediafire.com/download/ge5xou147cjtc5g/1992-04-23_-_Oz_Nightclub_-_Seattle%2C_WA.rar", "download link")</f>
        <v>download link</v>
      </c>
      <c r="I41" s="117" t="s">
        <v>928</v>
      </c>
      <c r="J41" s="146"/>
    </row>
    <row r="42">
      <c r="A42" s="130">
        <v>33718.0</v>
      </c>
      <c r="B42" s="107" t="s">
        <v>32</v>
      </c>
      <c r="C42" s="105" t="str">
        <f t="shared" si="1"/>
        <v>setlist</v>
      </c>
      <c r="D42" s="132" t="s">
        <v>794</v>
      </c>
      <c r="E42" s="132" t="s">
        <v>279</v>
      </c>
      <c r="F42" s="133" t="s">
        <v>692</v>
      </c>
      <c r="G42" s="133" t="s">
        <v>36</v>
      </c>
      <c r="H42" s="105" t="str">
        <f>HYPERLINK("http://www.mediafire.com/download/v2ehb2v7933rnvf/1992-04-24_-_Roseland_Theater_-_Portland%2C_OR.rar", "download link")</f>
        <v>download link</v>
      </c>
      <c r="I42" s="134" t="s">
        <v>929</v>
      </c>
      <c r="J42" s="109"/>
    </row>
    <row r="43">
      <c r="A43" s="147">
        <v>33719.0</v>
      </c>
      <c r="B43" s="114" t="s">
        <v>32</v>
      </c>
      <c r="C43" s="135" t="str">
        <f t="shared" si="1"/>
        <v>setlist</v>
      </c>
      <c r="D43" s="149" t="s">
        <v>699</v>
      </c>
      <c r="E43" s="149" t="s">
        <v>700</v>
      </c>
      <c r="F43" s="148" t="s">
        <v>701</v>
      </c>
      <c r="G43" s="148" t="s">
        <v>36</v>
      </c>
      <c r="H43" s="116" t="str">
        <f>HYPERLINK("http://www.mediafire.com/download/iw0ceepq7twdrh1/1992-04-25_-_Campus_Recreation_Center%2C_Evergreen_College_-_Olympia%2C_WA.rar", "download link")</f>
        <v>download link</v>
      </c>
      <c r="I43" s="136" t="s">
        <v>930</v>
      </c>
      <c r="J43" s="113" t="s">
        <v>931</v>
      </c>
    </row>
    <row r="44">
      <c r="A44" s="130">
        <v>33723.0</v>
      </c>
      <c r="B44" s="133" t="s">
        <v>32</v>
      </c>
      <c r="C44" s="105" t="str">
        <f t="shared" si="1"/>
        <v>setlist</v>
      </c>
      <c r="D44" s="132" t="s">
        <v>932</v>
      </c>
      <c r="E44" s="132" t="s">
        <v>485</v>
      </c>
      <c r="F44" s="133" t="s">
        <v>486</v>
      </c>
      <c r="G44" s="133" t="s">
        <v>36</v>
      </c>
      <c r="H44" s="105" t="str">
        <f>HYPERLINK("http://www.mediafire.com/download/hqxrau7ubf4u2z7/1992-04-29_-_First_Avenue_-_Minneapolis%2C_MN.rar", "download link")</f>
        <v>download link</v>
      </c>
      <c r="I44" s="134" t="s">
        <v>933</v>
      </c>
      <c r="J44" s="106"/>
    </row>
    <row r="45">
      <c r="A45" s="147">
        <v>33724.0</v>
      </c>
      <c r="B45" s="114" t="s">
        <v>32</v>
      </c>
      <c r="C45" s="135" t="str">
        <f t="shared" si="1"/>
        <v>setlist</v>
      </c>
      <c r="D45" s="149" t="s">
        <v>704</v>
      </c>
      <c r="E45" s="149" t="s">
        <v>482</v>
      </c>
      <c r="F45" s="148" t="s">
        <v>483</v>
      </c>
      <c r="G45" s="148" t="s">
        <v>36</v>
      </c>
      <c r="H45" s="116" t="str">
        <f>HYPERLINK("http://www.mediafire.com/download/6mi90y6gjtt31zy/1992-04-30_-_Barrymore_Theatre_-_Madison%2C_WI.rar", "download link")</f>
        <v>download link</v>
      </c>
      <c r="I45" s="136" t="s">
        <v>934</v>
      </c>
      <c r="J45" s="136" t="s">
        <v>595</v>
      </c>
    </row>
    <row r="46">
      <c r="A46" s="130">
        <v>33725.0</v>
      </c>
      <c r="B46" s="107" t="s">
        <v>32</v>
      </c>
      <c r="C46" s="105" t="str">
        <f t="shared" si="1"/>
        <v>setlist</v>
      </c>
      <c r="D46" s="132" t="s">
        <v>935</v>
      </c>
      <c r="E46" s="132" t="s">
        <v>936</v>
      </c>
      <c r="F46" s="133" t="s">
        <v>483</v>
      </c>
      <c r="G46" s="133" t="s">
        <v>36</v>
      </c>
      <c r="H46" s="105" t="str">
        <f>HYPERLINK("http://www.mediafire.com/download/h1a4n4106u639vw/1992-05-01_-_The_Rave_-_Milwaukee%2C_WI.rar", "download link")</f>
        <v>download link</v>
      </c>
      <c r="I46" s="134" t="s">
        <v>937</v>
      </c>
      <c r="J46" s="106"/>
    </row>
    <row r="47">
      <c r="A47" s="147">
        <v>33726.0</v>
      </c>
      <c r="B47" s="111"/>
      <c r="C47" s="135" t="str">
        <f t="shared" si="1"/>
        <v>setlist</v>
      </c>
      <c r="D47" s="149" t="s">
        <v>938</v>
      </c>
      <c r="E47" s="149" t="s">
        <v>479</v>
      </c>
      <c r="F47" s="148" t="s">
        <v>480</v>
      </c>
      <c r="G47" s="148" t="s">
        <v>36</v>
      </c>
      <c r="H47" s="116" t="str">
        <f>HYPERLINK("http://www.mediafire.com/download/7pn2mhb88f2xw8s/1992-05-02_-_Cabaret_Metro_-_Chicago%2C_IL.rar", "download link")</f>
        <v>download link</v>
      </c>
      <c r="I47" s="136" t="s">
        <v>939</v>
      </c>
      <c r="J47" s="80"/>
    </row>
    <row r="48">
      <c r="A48" s="130">
        <v>33727.0</v>
      </c>
      <c r="B48" s="104"/>
      <c r="C48" s="105" t="str">
        <f t="shared" si="1"/>
        <v>setlist</v>
      </c>
      <c r="D48" s="132" t="s">
        <v>940</v>
      </c>
      <c r="E48" s="132" t="s">
        <v>941</v>
      </c>
      <c r="F48" s="133" t="s">
        <v>712</v>
      </c>
      <c r="G48" s="133" t="s">
        <v>36</v>
      </c>
      <c r="H48" s="105" t="str">
        <f>HYPERLINK("http://www.mediafire.com/download/1ngps55815rh08i/1992-05-03_-_Michigan_State_University_Union_Ballroom_-_East_Lansing%2C_MI.rar", "download link")</f>
        <v>download link</v>
      </c>
      <c r="I48" s="134" t="s">
        <v>939</v>
      </c>
      <c r="J48" s="109"/>
    </row>
    <row r="49">
      <c r="A49" s="150">
        <v>33729.0</v>
      </c>
      <c r="B49" s="144"/>
      <c r="C49" s="116" t="str">
        <f t="shared" si="1"/>
        <v>setlist</v>
      </c>
      <c r="D49" s="153" t="s">
        <v>942</v>
      </c>
      <c r="E49" s="153" t="s">
        <v>943</v>
      </c>
      <c r="F49" s="151" t="s">
        <v>472</v>
      </c>
      <c r="G49" s="151" t="s">
        <v>36</v>
      </c>
      <c r="H49" s="116" t="str">
        <f>HYPERLINK("http://www.mediafire.com/download/1zl9roe6d3mmt45/1992-05-05_-_Bogart%27s_-_Cincinnati%2C_OH.rar", "download link")</f>
        <v>download link</v>
      </c>
      <c r="I49" s="117" t="s">
        <v>944</v>
      </c>
      <c r="J49" s="118" t="s">
        <v>111</v>
      </c>
    </row>
    <row r="50">
      <c r="A50" s="130">
        <v>33730.0</v>
      </c>
      <c r="B50" s="107" t="s">
        <v>32</v>
      </c>
      <c r="C50" s="105" t="str">
        <f t="shared" si="1"/>
        <v>setlist</v>
      </c>
      <c r="D50" s="132" t="s">
        <v>945</v>
      </c>
      <c r="E50" s="132" t="s">
        <v>946</v>
      </c>
      <c r="F50" s="133" t="s">
        <v>712</v>
      </c>
      <c r="G50" s="133" t="s">
        <v>36</v>
      </c>
      <c r="H50" s="105" t="str">
        <f>HYPERLINK("http://www.mediafire.com/download/ws2xhdutwbdgthi/1992-05-06_-_St._Andrew%27s_Hall_-_Detroit%2C_MI.rar", "download link")</f>
        <v>download link</v>
      </c>
      <c r="I50" s="134" t="s">
        <v>947</v>
      </c>
      <c r="J50" s="106"/>
    </row>
    <row r="51">
      <c r="A51" s="147">
        <v>33731.0</v>
      </c>
      <c r="B51" s="111"/>
      <c r="C51" s="135" t="str">
        <f t="shared" si="1"/>
        <v>setlist</v>
      </c>
      <c r="D51" s="149" t="s">
        <v>948</v>
      </c>
      <c r="E51" s="149" t="s">
        <v>773</v>
      </c>
      <c r="F51" s="148" t="s">
        <v>472</v>
      </c>
      <c r="G51" s="148" t="s">
        <v>36</v>
      </c>
      <c r="H51" s="116" t="str">
        <f>HYPERLINK("http://www.mediafire.com/download/o6y2nz42ycvjq6i/1992-05-07_-_The_Agora_Theatre_-_Cleveland%2C_OH.rar", "download link")</f>
        <v>download link</v>
      </c>
      <c r="I51" s="136" t="s">
        <v>949</v>
      </c>
      <c r="J51" s="80"/>
    </row>
    <row r="52">
      <c r="A52" s="130">
        <v>33732.0</v>
      </c>
      <c r="B52" s="104"/>
      <c r="C52" s="105" t="str">
        <f t="shared" si="1"/>
        <v>setlist</v>
      </c>
      <c r="D52" s="132" t="s">
        <v>950</v>
      </c>
      <c r="E52" s="132" t="s">
        <v>715</v>
      </c>
      <c r="F52" s="133" t="s">
        <v>129</v>
      </c>
      <c r="G52" s="133" t="s">
        <v>36</v>
      </c>
      <c r="H52" s="105" t="str">
        <f>HYPERLINK("http://www.mediafire.com/download/ca1rq6h0iuha8m1/1992-05-08_-_The_Riviera_Theatre_-_North_Tonawanda%2C_NY.rar", "download link")</f>
        <v>download link</v>
      </c>
      <c r="I52" s="134" t="s">
        <v>951</v>
      </c>
      <c r="J52" s="109"/>
    </row>
    <row r="53">
      <c r="A53" s="147">
        <v>33733.0</v>
      </c>
      <c r="B53" s="114" t="s">
        <v>32</v>
      </c>
      <c r="C53" s="135" t="str">
        <f t="shared" si="1"/>
        <v>setlist</v>
      </c>
      <c r="D53" s="149" t="s">
        <v>952</v>
      </c>
      <c r="E53" s="149" t="s">
        <v>311</v>
      </c>
      <c r="F53" s="148" t="s">
        <v>129</v>
      </c>
      <c r="G53" s="148" t="s">
        <v>36</v>
      </c>
      <c r="H53" s="116" t="str">
        <f>HYPERLINK("http://www.mediafire.com/download/4e0527x4nvs4bjp/1992-05-09_-_The_Syracuse_Armory_-_Syracuse%2C_NY.rar", "download link")</f>
        <v>download link</v>
      </c>
      <c r="I53" s="136" t="s">
        <v>953</v>
      </c>
      <c r="J53" s="113"/>
    </row>
    <row r="54">
      <c r="A54" s="130">
        <v>33734.0</v>
      </c>
      <c r="B54" s="104"/>
      <c r="C54" s="105" t="str">
        <f t="shared" si="1"/>
        <v>setlist</v>
      </c>
      <c r="D54" s="132" t="s">
        <v>313</v>
      </c>
      <c r="E54" s="132" t="s">
        <v>164</v>
      </c>
      <c r="F54" s="133" t="s">
        <v>95</v>
      </c>
      <c r="G54" s="133" t="s">
        <v>36</v>
      </c>
      <c r="H54" s="105" t="str">
        <f>HYPERLINK("http://www.mediafire.com/download/48uc8skc5qt83zr/1992-05-10_-_Campus_Pond%2C_University_of_Massachusetts_-_Amherst%2C_MA.rar", "download link")</f>
        <v>download link</v>
      </c>
      <c r="I54" s="134" t="s">
        <v>527</v>
      </c>
      <c r="J54" s="109"/>
    </row>
    <row r="55">
      <c r="A55" s="147">
        <v>33736.0</v>
      </c>
      <c r="B55" s="148" t="s">
        <v>32</v>
      </c>
      <c r="C55" s="135" t="str">
        <f t="shared" si="1"/>
        <v>setlist</v>
      </c>
      <c r="D55" s="149" t="s">
        <v>148</v>
      </c>
      <c r="E55" s="149" t="s">
        <v>149</v>
      </c>
      <c r="F55" s="148" t="s">
        <v>129</v>
      </c>
      <c r="G55" s="148" t="s">
        <v>36</v>
      </c>
      <c r="H55" s="116" t="str">
        <f>HYPERLINK("http://www.mediafire.com/download/7wc1c6malaun3ge/1992-05-12_-_St._Lawrence_University_-_Canton%2C_NY.rar", "download link")</f>
        <v>download link</v>
      </c>
      <c r="I55" s="136" t="s">
        <v>954</v>
      </c>
      <c r="J55" s="136" t="s">
        <v>955</v>
      </c>
    </row>
    <row r="56">
      <c r="A56" s="130">
        <v>33738.0</v>
      </c>
      <c r="B56" s="107" t="s">
        <v>32</v>
      </c>
      <c r="C56" s="105" t="str">
        <f t="shared" si="1"/>
        <v>setlist</v>
      </c>
      <c r="D56" s="132" t="s">
        <v>570</v>
      </c>
      <c r="E56" s="132" t="s">
        <v>571</v>
      </c>
      <c r="F56" s="133" t="s">
        <v>129</v>
      </c>
      <c r="G56" s="133" t="s">
        <v>36</v>
      </c>
      <c r="H56" s="105" t="str">
        <f>HYPERLINK("http://www.mediafire.com/download/no5vlanwafz8vfy/1992-05-14_-_The_Capitol_Theatre_-_Port_Chester%2C_NY.rar", "download link")</f>
        <v>download link</v>
      </c>
      <c r="I56" s="134" t="s">
        <v>956</v>
      </c>
      <c r="J56" s="109"/>
    </row>
    <row r="57">
      <c r="A57" s="150">
        <v>33739.0</v>
      </c>
      <c r="B57" s="144"/>
      <c r="C57" s="116" t="str">
        <f t="shared" si="1"/>
        <v>setlist</v>
      </c>
      <c r="D57" s="153" t="s">
        <v>957</v>
      </c>
      <c r="E57" s="153" t="s">
        <v>162</v>
      </c>
      <c r="F57" s="151" t="s">
        <v>129</v>
      </c>
      <c r="G57" s="156"/>
      <c r="H57" s="144"/>
      <c r="I57" s="146"/>
      <c r="J57" s="146"/>
    </row>
    <row r="58">
      <c r="A58" s="130">
        <v>33740.0</v>
      </c>
      <c r="B58" s="107" t="s">
        <v>32</v>
      </c>
      <c r="C58" s="105" t="str">
        <f t="shared" si="1"/>
        <v>setlist</v>
      </c>
      <c r="D58" s="132" t="s">
        <v>958</v>
      </c>
      <c r="E58" s="132" t="s">
        <v>94</v>
      </c>
      <c r="F58" s="133" t="s">
        <v>95</v>
      </c>
      <c r="G58" s="133" t="s">
        <v>36</v>
      </c>
      <c r="H58" s="105" t="str">
        <f>HYPERLINK("http://www.mediafire.com/download/v4uhy6vpwcjp4d2/1992-05-16_-_The_Orpheum_Theatre_-_Boston%2C_MA.rar", "download link")</f>
        <v>download link</v>
      </c>
      <c r="I58" s="134" t="s">
        <v>23</v>
      </c>
      <c r="J58" s="106" t="s">
        <v>959</v>
      </c>
    </row>
    <row r="59">
      <c r="A59" s="147">
        <v>33741.0</v>
      </c>
      <c r="B59" s="111"/>
      <c r="C59" s="135" t="str">
        <f t="shared" si="1"/>
        <v>setlist</v>
      </c>
      <c r="D59" s="149" t="s">
        <v>960</v>
      </c>
      <c r="E59" s="149" t="s">
        <v>961</v>
      </c>
      <c r="F59" s="148" t="s">
        <v>129</v>
      </c>
      <c r="G59" s="148" t="s">
        <v>36</v>
      </c>
      <c r="H59" s="135" t="str">
        <f>HYPERLINK("http://www.mediafire.com/download/7nk7zh0dpm0z190/1992-05-17_-_Achilles_Rink%2C_Union_College_-_Schenectady%2C_NY.rar", "download link")</f>
        <v>download link</v>
      </c>
      <c r="I59" s="136" t="s">
        <v>962</v>
      </c>
      <c r="J59" s="80"/>
    </row>
    <row r="60">
      <c r="A60" s="209">
        <v>33742.0</v>
      </c>
      <c r="B60" s="120" t="s">
        <v>32</v>
      </c>
      <c r="C60" s="123" t="str">
        <f t="shared" si="1"/>
        <v>setlist</v>
      </c>
      <c r="D60" s="211" t="s">
        <v>860</v>
      </c>
      <c r="E60" s="211" t="s">
        <v>34</v>
      </c>
      <c r="F60" s="210" t="s">
        <v>35</v>
      </c>
      <c r="G60" s="210" t="s">
        <v>36</v>
      </c>
      <c r="H60" s="123" t="str">
        <f>HYPERLINK("http://www.mediafire.com/download/i8m7t9e5g0wwwnf/1992-05-18_-_The_Flynn_Theatre_-_Burlington%2C_VT.rar", "download link")</f>
        <v>download link</v>
      </c>
      <c r="I60" s="137" t="s">
        <v>801</v>
      </c>
      <c r="J60" s="189"/>
    </row>
    <row r="61">
      <c r="A61" s="92"/>
      <c r="B61" s="93"/>
      <c r="C61" s="65"/>
      <c r="D61" s="83" t="s">
        <v>963</v>
      </c>
      <c r="E61" s="95"/>
      <c r="F61" s="93"/>
      <c r="G61" s="93"/>
      <c r="H61" s="93"/>
      <c r="I61" s="95"/>
      <c r="J61" s="95"/>
    </row>
    <row r="62">
      <c r="A62" s="96">
        <v>33774.0</v>
      </c>
      <c r="B62" s="127" t="s">
        <v>32</v>
      </c>
      <c r="C62" s="98" t="str">
        <f t="shared" ref="C62:C69" si="2">HYPERLINK("http://www.phish.net/setlists/?d="&amp;RIGHT(TEXT(A62,"mm/dd/yyyy"),4)&amp;"-"&amp;LEFT(TEXT(A62,"mm/dd/yyyy"),2)&amp;"-"&amp;MID(TEXT(A62,"mm/dd/yyyy"),4,2), "setlist")</f>
        <v>setlist</v>
      </c>
      <c r="D62" s="100" t="s">
        <v>964</v>
      </c>
      <c r="E62" s="100" t="s">
        <v>965</v>
      </c>
      <c r="F62" s="97" t="s">
        <v>966</v>
      </c>
      <c r="G62" s="97" t="s">
        <v>36</v>
      </c>
      <c r="H62" s="98" t="str">
        <f>HYPERLINK("http://www.mediafire.com/download/bjve60yo2sttmk4/1992-06-19_-_Stadtpark_-_Hamburg%2C_Germany.rar", "download link")</f>
        <v>download link</v>
      </c>
      <c r="I62" s="101" t="s">
        <v>967</v>
      </c>
      <c r="J62" s="129"/>
    </row>
    <row r="63">
      <c r="A63" s="130">
        <v>33775.0</v>
      </c>
      <c r="B63" s="107" t="s">
        <v>32</v>
      </c>
      <c r="C63" s="105" t="str">
        <f t="shared" si="2"/>
        <v>setlist</v>
      </c>
      <c r="D63" s="132" t="s">
        <v>968</v>
      </c>
      <c r="E63" s="132" t="s">
        <v>969</v>
      </c>
      <c r="F63" s="133" t="s">
        <v>966</v>
      </c>
      <c r="G63" s="133" t="s">
        <v>36</v>
      </c>
      <c r="H63" s="105" t="str">
        <f>HYPERLINK("http://www.mediafire.com/download/d7edhej7wrvi526/1992-06-20_-_Waldbuhne_-_Northeim%2C_Germany.rar", "download link")</f>
        <v>download link</v>
      </c>
      <c r="I63" s="134" t="s">
        <v>205</v>
      </c>
      <c r="J63" s="109"/>
    </row>
    <row r="64">
      <c r="A64" s="147">
        <v>33778.0</v>
      </c>
      <c r="B64" s="114" t="s">
        <v>32</v>
      </c>
      <c r="C64" s="135" t="str">
        <f t="shared" si="2"/>
        <v>setlist</v>
      </c>
      <c r="D64" s="149" t="s">
        <v>970</v>
      </c>
      <c r="E64" s="149" t="s">
        <v>971</v>
      </c>
      <c r="F64" s="148" t="s">
        <v>966</v>
      </c>
      <c r="G64" s="148" t="s">
        <v>36</v>
      </c>
      <c r="H64" s="135" t="str">
        <f>HYPERLINK("http://www.mediafire.com/download/4nweogajm3j3nhx/1992-06-23_-_Philipshalle_-_Dusseldorf%2C_Germany.rar", "download link")</f>
        <v>download link</v>
      </c>
      <c r="I64" s="136" t="s">
        <v>122</v>
      </c>
      <c r="J64" s="80"/>
    </row>
    <row r="65">
      <c r="A65" s="130">
        <v>33779.0</v>
      </c>
      <c r="B65" s="107" t="s">
        <v>32</v>
      </c>
      <c r="C65" s="105" t="str">
        <f t="shared" si="2"/>
        <v>setlist</v>
      </c>
      <c r="D65" s="132" t="s">
        <v>972</v>
      </c>
      <c r="E65" s="132" t="s">
        <v>973</v>
      </c>
      <c r="F65" s="133" t="s">
        <v>966</v>
      </c>
      <c r="G65" s="133" t="s">
        <v>36</v>
      </c>
      <c r="H65" s="105" t="str">
        <f>HYPERLINK("http://www.mediafire.com/download/n3gga3n1knoynxi/1992-06-24_-_Resi_-_Nuremberg%2C_Germany.rar", "download link")</f>
        <v>download link</v>
      </c>
      <c r="I65" s="134" t="s">
        <v>205</v>
      </c>
      <c r="J65" s="109"/>
    </row>
    <row r="66">
      <c r="A66" s="147">
        <v>33783.0</v>
      </c>
      <c r="B66" s="111"/>
      <c r="C66" s="135" t="str">
        <f t="shared" si="2"/>
        <v>setlist</v>
      </c>
      <c r="D66" s="149" t="s">
        <v>974</v>
      </c>
      <c r="E66" s="149" t="s">
        <v>975</v>
      </c>
      <c r="F66" s="148" t="s">
        <v>976</v>
      </c>
      <c r="G66" s="148" t="s">
        <v>36</v>
      </c>
      <c r="H66" s="135" t="str">
        <f>HYPERLINK("http://www.mediafire.com/download/w6ry27xhb5rnw8d/1992-06-28_-_Roskilde_Festival_-_Roskilde%2C_Denmark.rar", "download link")</f>
        <v>download link</v>
      </c>
      <c r="I66" s="136" t="s">
        <v>977</v>
      </c>
      <c r="J66" s="80"/>
    </row>
    <row r="67">
      <c r="A67" s="130">
        <v>33785.0</v>
      </c>
      <c r="B67" s="104"/>
      <c r="C67" s="105" t="str">
        <f t="shared" si="2"/>
        <v>setlist</v>
      </c>
      <c r="D67" s="132" t="s">
        <v>978</v>
      </c>
      <c r="E67" s="132" t="s">
        <v>979</v>
      </c>
      <c r="F67" s="133" t="s">
        <v>980</v>
      </c>
      <c r="G67" s="131"/>
      <c r="H67" s="104"/>
      <c r="I67" s="109"/>
      <c r="J67" s="109"/>
    </row>
    <row r="68">
      <c r="A68" s="150">
        <v>33786.0</v>
      </c>
      <c r="B68" s="144"/>
      <c r="C68" s="116" t="str">
        <f t="shared" si="2"/>
        <v>setlist</v>
      </c>
      <c r="D68" s="153" t="s">
        <v>981</v>
      </c>
      <c r="E68" s="153" t="s">
        <v>982</v>
      </c>
      <c r="F68" s="151" t="s">
        <v>983</v>
      </c>
      <c r="G68" s="156"/>
      <c r="H68" s="144"/>
      <c r="I68" s="146"/>
      <c r="J68" s="146"/>
    </row>
    <row r="69">
      <c r="A69" s="209">
        <v>33788.0</v>
      </c>
      <c r="B69" s="187"/>
      <c r="C69" s="123" t="str">
        <f t="shared" si="2"/>
        <v>setlist</v>
      </c>
      <c r="D69" s="211" t="s">
        <v>984</v>
      </c>
      <c r="E69" s="211" t="s">
        <v>985</v>
      </c>
      <c r="F69" s="210" t="s">
        <v>986</v>
      </c>
      <c r="G69" s="223"/>
      <c r="H69" s="187"/>
      <c r="I69" s="189"/>
      <c r="J69" s="189"/>
    </row>
    <row r="70">
      <c r="A70" s="92"/>
      <c r="B70" s="93"/>
      <c r="C70" s="65"/>
      <c r="D70" s="83" t="s">
        <v>987</v>
      </c>
      <c r="E70" s="95"/>
      <c r="F70" s="93"/>
      <c r="G70" s="93"/>
      <c r="H70" s="93"/>
      <c r="I70" s="95"/>
      <c r="J70" s="95"/>
    </row>
    <row r="71">
      <c r="A71" s="96">
        <v>33794.0</v>
      </c>
      <c r="B71" s="126"/>
      <c r="C71" s="98" t="str">
        <f t="shared" ref="C71:C105" si="3">HYPERLINK("http://www.phish.net/setlists/?d="&amp;RIGHT(TEXT(A71,"mm/dd/yyyy"),4)&amp;"-"&amp;LEFT(TEXT(A71,"mm/dd/yyyy"),2)&amp;"-"&amp;MID(TEXT(A71,"mm/dd/yyyy"),4,2), "setlist")</f>
        <v>setlist</v>
      </c>
      <c r="D71" s="100" t="s">
        <v>988</v>
      </c>
      <c r="E71" s="100" t="s">
        <v>279</v>
      </c>
      <c r="F71" s="97" t="s">
        <v>257</v>
      </c>
      <c r="G71" s="97" t="s">
        <v>36</v>
      </c>
      <c r="H71" s="98" t="str">
        <f>HYPERLINK("http://www.mediafire.com/download/gwe07fyhpem30g1/1992-07-09_-_Cumberland_County_Civic_Center_-_Portland%2C_ME.rar", "download link")</f>
        <v>download link</v>
      </c>
      <c r="I71" s="101" t="s">
        <v>527</v>
      </c>
      <c r="J71" s="129"/>
    </row>
    <row r="72">
      <c r="A72" s="130">
        <v>33795.0</v>
      </c>
      <c r="B72" s="104"/>
      <c r="C72" s="105" t="str">
        <f t="shared" si="3"/>
        <v>setlist</v>
      </c>
      <c r="D72" s="132" t="s">
        <v>989</v>
      </c>
      <c r="E72" s="132" t="s">
        <v>311</v>
      </c>
      <c r="F72" s="133" t="s">
        <v>129</v>
      </c>
      <c r="G72" s="133" t="s">
        <v>36</v>
      </c>
      <c r="H72" s="105" t="str">
        <f>HYPERLINK("http://www.mediafire.com/download/74fikpaf5kkk6f8/1992-07-10_-_Empire_Court_-_Syracuse%2C_NY.rar", "download link")</f>
        <v>download link</v>
      </c>
      <c r="I72" s="134" t="s">
        <v>990</v>
      </c>
      <c r="J72" s="109"/>
    </row>
    <row r="73">
      <c r="A73" s="147">
        <v>33796.0</v>
      </c>
      <c r="B73" s="114" t="s">
        <v>32</v>
      </c>
      <c r="C73" s="135" t="str">
        <f t="shared" si="3"/>
        <v>setlist</v>
      </c>
      <c r="D73" s="149" t="s">
        <v>991</v>
      </c>
      <c r="E73" s="149" t="s">
        <v>992</v>
      </c>
      <c r="F73" s="148" t="s">
        <v>43</v>
      </c>
      <c r="G73" s="148" t="s">
        <v>36</v>
      </c>
      <c r="H73" s="135" t="str">
        <f>HYPERLINK("http://www.mediafire.com/download/ead07acvte0jac9/1992-07-11_-_Garden_State_Arts_Center_-_Holmdel%2C_NJ.rar", "download link")</f>
        <v>download link</v>
      </c>
      <c r="I73" s="136" t="s">
        <v>23</v>
      </c>
      <c r="J73" s="80"/>
    </row>
    <row r="74">
      <c r="A74" s="130">
        <v>33797.0</v>
      </c>
      <c r="B74" s="104"/>
      <c r="C74" s="105" t="str">
        <f t="shared" si="3"/>
        <v>setlist</v>
      </c>
      <c r="D74" s="132" t="s">
        <v>993</v>
      </c>
      <c r="E74" s="132" t="s">
        <v>994</v>
      </c>
      <c r="F74" s="133" t="s">
        <v>129</v>
      </c>
      <c r="G74" s="133" t="s">
        <v>36</v>
      </c>
      <c r="H74" s="105" t="str">
        <f>HYPERLINK("http://www.mediafire.com/download/oqndqmt8aivej9i/1992-07-12_-_Jones_Beach_Amphitheater_-_Wantagh%2C_NY.rar", "download link")</f>
        <v>download link</v>
      </c>
      <c r="I74" s="134" t="s">
        <v>995</v>
      </c>
      <c r="J74" s="109"/>
    </row>
    <row r="75">
      <c r="A75" s="147">
        <v>33799.0</v>
      </c>
      <c r="B75" s="111"/>
      <c r="C75" s="135" t="str">
        <f t="shared" si="3"/>
        <v>setlist</v>
      </c>
      <c r="D75" s="149" t="s">
        <v>996</v>
      </c>
      <c r="E75" s="149" t="s">
        <v>997</v>
      </c>
      <c r="F75" s="148" t="s">
        <v>446</v>
      </c>
      <c r="G75" s="148" t="s">
        <v>36</v>
      </c>
      <c r="H75" s="135" t="str">
        <f>HYPERLINK("http://www.mediafire.com/download/1jm8bc393baqo08/1992-07-14_-_The_Boathouse_-_Norfolk%2C_VA.rar", "download link")</f>
        <v>download link</v>
      </c>
      <c r="I75" s="136" t="s">
        <v>998</v>
      </c>
      <c r="J75" s="80"/>
    </row>
    <row r="76">
      <c r="A76" s="130">
        <v>33800.0</v>
      </c>
      <c r="B76" s="107" t="s">
        <v>32</v>
      </c>
      <c r="C76" s="105" t="str">
        <f t="shared" si="3"/>
        <v>setlist</v>
      </c>
      <c r="D76" s="132" t="s">
        <v>578</v>
      </c>
      <c r="E76" s="132" t="s">
        <v>579</v>
      </c>
      <c r="F76" s="133" t="s">
        <v>446</v>
      </c>
      <c r="G76" s="133" t="s">
        <v>36</v>
      </c>
      <c r="H76" s="105" t="str">
        <f>HYPERLINK("http://www.mediafire.com/download/fi7b3c1ly3f5my8/1992-07-15_-_Trax_-_Charlottesville%2C_VA.rar", "download link")</f>
        <v>download link</v>
      </c>
      <c r="I76" s="134" t="s">
        <v>546</v>
      </c>
      <c r="J76" s="109"/>
    </row>
    <row r="77">
      <c r="A77" s="147">
        <v>33801.0</v>
      </c>
      <c r="B77" s="111"/>
      <c r="C77" s="135" t="str">
        <f t="shared" si="3"/>
        <v>setlist</v>
      </c>
      <c r="D77" s="149" t="s">
        <v>876</v>
      </c>
      <c r="E77" s="149" t="s">
        <v>445</v>
      </c>
      <c r="F77" s="148" t="s">
        <v>446</v>
      </c>
      <c r="G77" s="148" t="s">
        <v>36</v>
      </c>
      <c r="H77" s="135" t="str">
        <f>HYPERLINK("http://www.mediafire.com/download/fvxrwkurfey0p3w/1992-07-16_-_Flood_Zone_-_Richmond%2C_VA.rar", "download link")</f>
        <v>download link</v>
      </c>
      <c r="I77" s="136" t="s">
        <v>999</v>
      </c>
      <c r="J77" s="80"/>
    </row>
    <row r="78">
      <c r="A78" s="130">
        <v>33802.0</v>
      </c>
      <c r="B78" s="104"/>
      <c r="C78" s="105" t="str">
        <f t="shared" si="3"/>
        <v>setlist</v>
      </c>
      <c r="D78" s="132" t="s">
        <v>1000</v>
      </c>
      <c r="E78" s="132" t="s">
        <v>439</v>
      </c>
      <c r="F78" s="133" t="s">
        <v>397</v>
      </c>
      <c r="G78" s="131"/>
      <c r="H78" s="104"/>
      <c r="I78" s="109"/>
      <c r="J78" s="109"/>
    </row>
    <row r="79">
      <c r="A79" s="150">
        <v>33803.0</v>
      </c>
      <c r="B79" s="144"/>
      <c r="C79" s="116" t="str">
        <f t="shared" si="3"/>
        <v>setlist</v>
      </c>
      <c r="D79" s="153" t="s">
        <v>1001</v>
      </c>
      <c r="E79" s="153" t="s">
        <v>871</v>
      </c>
      <c r="F79" s="151" t="s">
        <v>212</v>
      </c>
      <c r="G79" s="156"/>
      <c r="H79" s="144"/>
      <c r="I79" s="146"/>
      <c r="J79" s="146"/>
    </row>
    <row r="80">
      <c r="A80" s="130">
        <v>33804.0</v>
      </c>
      <c r="B80" s="104"/>
      <c r="C80" s="105" t="str">
        <f t="shared" si="3"/>
        <v>setlist</v>
      </c>
      <c r="D80" s="132" t="s">
        <v>991</v>
      </c>
      <c r="E80" s="132" t="s">
        <v>992</v>
      </c>
      <c r="F80" s="133" t="s">
        <v>43</v>
      </c>
      <c r="G80" s="133" t="s">
        <v>36</v>
      </c>
      <c r="H80" s="105" t="str">
        <f>HYPERLINK("http://www.mediafire.com/download/9wyaznxg9yeqrm7/1992-07-19_-_Garden_States_Art_Center_-_Holmdel%2C_NJ.rar", "download link")</f>
        <v>download link</v>
      </c>
      <c r="I80" s="134" t="s">
        <v>1002</v>
      </c>
      <c r="J80" s="109"/>
    </row>
    <row r="81">
      <c r="A81" s="147">
        <v>33806.0</v>
      </c>
      <c r="B81" s="114" t="s">
        <v>32</v>
      </c>
      <c r="C81" s="135" t="str">
        <f t="shared" si="3"/>
        <v>setlist</v>
      </c>
      <c r="D81" s="149" t="s">
        <v>1003</v>
      </c>
      <c r="E81" s="149" t="s">
        <v>1004</v>
      </c>
      <c r="F81" s="148" t="s">
        <v>95</v>
      </c>
      <c r="G81" s="148" t="s">
        <v>36</v>
      </c>
      <c r="H81" s="135" t="str">
        <f>HYPERLINK("http://www.mediafire.com/download/a271dkcbafi71a8/1992-07-21_-_Great_Woods_Center_for_the_Performing_Arts_-_Mansfield%2C_MA.rar", "download link")</f>
        <v>download link</v>
      </c>
      <c r="I81" s="136" t="s">
        <v>572</v>
      </c>
      <c r="J81" s="80"/>
    </row>
    <row r="82">
      <c r="A82" s="130">
        <v>33807.0</v>
      </c>
      <c r="B82" s="104"/>
      <c r="C82" s="105" t="str">
        <f t="shared" si="3"/>
        <v>setlist</v>
      </c>
      <c r="D82" s="132" t="s">
        <v>1005</v>
      </c>
      <c r="E82" s="132" t="s">
        <v>1006</v>
      </c>
      <c r="F82" s="133" t="s">
        <v>182</v>
      </c>
      <c r="G82" s="131"/>
      <c r="H82" s="104"/>
      <c r="I82" s="109"/>
      <c r="J82" s="109"/>
    </row>
    <row r="83">
      <c r="A83" s="150">
        <v>33808.0</v>
      </c>
      <c r="B83" s="115" t="s">
        <v>32</v>
      </c>
      <c r="C83" s="116" t="str">
        <f t="shared" si="3"/>
        <v>setlist</v>
      </c>
      <c r="D83" s="153" t="s">
        <v>1007</v>
      </c>
      <c r="E83" s="153" t="s">
        <v>162</v>
      </c>
      <c r="F83" s="151" t="s">
        <v>129</v>
      </c>
      <c r="G83" s="151">
        <v>128.0</v>
      </c>
      <c r="H83" s="116" t="str">
        <f>HYPERLINK("http://www.mediafire.com/download/azme3gjo4yf1kqa/1992-07-23_-_MTV_Studios_-_New_York%2C_NY.rar", "download link")</f>
        <v>download link</v>
      </c>
      <c r="I83" s="117" t="s">
        <v>1008</v>
      </c>
      <c r="J83" s="118" t="s">
        <v>1009</v>
      </c>
    </row>
    <row r="84">
      <c r="A84" s="130">
        <v>33809.0</v>
      </c>
      <c r="B84" s="107" t="s">
        <v>32</v>
      </c>
      <c r="C84" s="105" t="str">
        <f t="shared" si="3"/>
        <v>setlist</v>
      </c>
      <c r="D84" s="132" t="s">
        <v>993</v>
      </c>
      <c r="E84" s="132" t="s">
        <v>994</v>
      </c>
      <c r="F84" s="133" t="s">
        <v>129</v>
      </c>
      <c r="G84" s="133" t="s">
        <v>36</v>
      </c>
      <c r="H84" s="105" t="str">
        <f>HYPERLINK("http://www.mediafire.com/download/2bhq23un4ujxh33/1992-07-24_-_Jones_Beach_Amphitheater_-_Wantagh%2C_NY.rar", "download link")</f>
        <v>download link</v>
      </c>
      <c r="I84" s="134" t="s">
        <v>572</v>
      </c>
      <c r="J84" s="109"/>
    </row>
    <row r="85">
      <c r="A85" s="150">
        <v>33810.0</v>
      </c>
      <c r="B85" s="115" t="s">
        <v>32</v>
      </c>
      <c r="C85" s="116" t="str">
        <f t="shared" si="3"/>
        <v>setlist</v>
      </c>
      <c r="D85" s="153" t="s">
        <v>1010</v>
      </c>
      <c r="E85" s="153" t="s">
        <v>1011</v>
      </c>
      <c r="F85" s="151" t="s">
        <v>35</v>
      </c>
      <c r="G85" s="151" t="s">
        <v>36</v>
      </c>
      <c r="H85" s="116" t="str">
        <f>HYPERLINK("http://www.mediafire.com/download/i66i1zmzj0x2br9/1992-07-25_-_Stowe_Performing_Arts_Center_-_Stowe%2C_VT.rar", "download link")</f>
        <v>download link</v>
      </c>
      <c r="I85" s="117" t="s">
        <v>1012</v>
      </c>
      <c r="J85" s="146"/>
    </row>
    <row r="86">
      <c r="A86" s="130">
        <v>33811.0</v>
      </c>
      <c r="B86" s="104"/>
      <c r="C86" s="105" t="str">
        <f t="shared" si="3"/>
        <v>setlist</v>
      </c>
      <c r="D86" s="132" t="s">
        <v>1013</v>
      </c>
      <c r="E86" s="132" t="s">
        <v>1014</v>
      </c>
      <c r="F86" s="133" t="s">
        <v>129</v>
      </c>
      <c r="G86" s="131"/>
      <c r="H86" s="104"/>
      <c r="I86" s="109"/>
      <c r="J86" s="109"/>
    </row>
    <row r="87">
      <c r="A87" s="150">
        <v>33812.0</v>
      </c>
      <c r="B87" s="144"/>
      <c r="C87" s="116" t="str">
        <f t="shared" si="3"/>
        <v>setlist</v>
      </c>
      <c r="D87" s="153" t="s">
        <v>1015</v>
      </c>
      <c r="E87" s="153" t="s">
        <v>1016</v>
      </c>
      <c r="F87" s="151" t="s">
        <v>129</v>
      </c>
      <c r="G87" s="151" t="s">
        <v>36</v>
      </c>
      <c r="H87" s="116" t="str">
        <f>HYPERLINK("http://www.mediafire.com/download/tdppf37nc055jt7/1992-07-27_-_Saratoga_Performing_Arts_Center_-_Saratoga_Springs%2C_NY.rar", "download link")</f>
        <v>download link</v>
      </c>
      <c r="I87" s="117" t="s">
        <v>1017</v>
      </c>
      <c r="J87" s="118"/>
    </row>
    <row r="88">
      <c r="A88" s="130">
        <v>33813.0</v>
      </c>
      <c r="B88" s="104"/>
      <c r="C88" s="105" t="str">
        <f t="shared" si="3"/>
        <v>setlist</v>
      </c>
      <c r="D88" s="132" t="s">
        <v>1018</v>
      </c>
      <c r="E88" s="132" t="s">
        <v>1019</v>
      </c>
      <c r="F88" s="133" t="s">
        <v>129</v>
      </c>
      <c r="G88" s="131"/>
      <c r="H88" s="104"/>
      <c r="I88" s="109"/>
      <c r="J88" s="109"/>
    </row>
    <row r="89">
      <c r="A89" s="150">
        <v>33815.0</v>
      </c>
      <c r="B89" s="144"/>
      <c r="C89" s="116" t="str">
        <f t="shared" si="3"/>
        <v>setlist</v>
      </c>
      <c r="D89" s="153" t="s">
        <v>1020</v>
      </c>
      <c r="E89" s="153" t="s">
        <v>1021</v>
      </c>
      <c r="F89" s="151" t="s">
        <v>712</v>
      </c>
      <c r="G89" s="151" t="s">
        <v>36</v>
      </c>
      <c r="H89" s="116" t="str">
        <f>HYPERLINK("http://www.mediafire.com/download/gs3gyomdki43ogc/1992-07-30_-_Meadow_Brook_Music_Festival_-_Rochester_Hills%2C_MI.rar", "download link")</f>
        <v>download link</v>
      </c>
      <c r="I89" s="117" t="s">
        <v>1022</v>
      </c>
      <c r="J89" s="146"/>
    </row>
    <row r="90">
      <c r="A90" s="130">
        <v>33816.0</v>
      </c>
      <c r="B90" s="104"/>
      <c r="C90" s="105" t="str">
        <f t="shared" si="3"/>
        <v>setlist</v>
      </c>
      <c r="D90" s="132" t="s">
        <v>1023</v>
      </c>
      <c r="E90" s="132" t="s">
        <v>1024</v>
      </c>
      <c r="F90" s="133" t="s">
        <v>472</v>
      </c>
      <c r="G90" s="131"/>
      <c r="H90" s="104"/>
      <c r="I90" s="109"/>
      <c r="J90" s="109"/>
    </row>
    <row r="91">
      <c r="A91" s="150">
        <v>33817.0</v>
      </c>
      <c r="B91" s="144"/>
      <c r="C91" s="116" t="str">
        <f t="shared" si="3"/>
        <v>setlist</v>
      </c>
      <c r="D91" s="153" t="s">
        <v>1025</v>
      </c>
      <c r="E91" s="153" t="s">
        <v>1026</v>
      </c>
      <c r="F91" s="151" t="s">
        <v>480</v>
      </c>
      <c r="G91" s="151" t="s">
        <v>36</v>
      </c>
      <c r="H91" s="116" t="str">
        <f>HYPERLINK("http://www.mediafire.com/download/pt91nijz36qj8k9/1992-08-01_-_Poplar_Creek_Music_Center_-_Hoffman_Estates%2C_IL.rar", "download link")</f>
        <v>download link</v>
      </c>
      <c r="I91" s="117" t="s">
        <v>1027</v>
      </c>
      <c r="J91" s="146"/>
    </row>
    <row r="92">
      <c r="A92" s="130">
        <v>33818.0</v>
      </c>
      <c r="B92" s="104"/>
      <c r="C92" s="105" t="str">
        <f t="shared" si="3"/>
        <v>setlist</v>
      </c>
      <c r="D92" s="132" t="s">
        <v>1028</v>
      </c>
      <c r="E92" s="132" t="s">
        <v>1029</v>
      </c>
      <c r="F92" s="133" t="s">
        <v>886</v>
      </c>
      <c r="G92" s="133" t="s">
        <v>36</v>
      </c>
      <c r="H92" s="105" t="str">
        <f>HYPERLINK("http://www.mediafire.com/download/arib92nbf90w32c/1992-08-02_-_Riverport_Amphitheater_-_Maryland_Heights%2C_MO.rar", "download link")</f>
        <v>download link</v>
      </c>
      <c r="I92" s="134" t="s">
        <v>1030</v>
      </c>
      <c r="J92" s="134" t="s">
        <v>727</v>
      </c>
    </row>
    <row r="93">
      <c r="A93" s="150">
        <v>33829.0</v>
      </c>
      <c r="B93" s="115" t="s">
        <v>32</v>
      </c>
      <c r="C93" s="116" t="str">
        <f t="shared" si="3"/>
        <v>setlist</v>
      </c>
      <c r="D93" s="153" t="s">
        <v>1031</v>
      </c>
      <c r="E93" s="153" t="s">
        <v>911</v>
      </c>
      <c r="F93" s="151" t="s">
        <v>679</v>
      </c>
      <c r="G93" s="151" t="s">
        <v>36</v>
      </c>
      <c r="H93" s="116" t="str">
        <f>HYPERLINK("http://www.mediafire.com/download/okvy35pd2zr5aqj/1992-08-13_-_Greek_Theatre_-_Los_Angeles%2C_CA.rar", "download link")</f>
        <v>download link</v>
      </c>
      <c r="I93" s="117" t="s">
        <v>1032</v>
      </c>
      <c r="J93" s="146"/>
    </row>
    <row r="94">
      <c r="A94" s="130">
        <v>33830.0</v>
      </c>
      <c r="B94" s="107" t="s">
        <v>32</v>
      </c>
      <c r="C94" s="105" t="str">
        <f t="shared" si="3"/>
        <v>setlist</v>
      </c>
      <c r="D94" s="132" t="s">
        <v>1031</v>
      </c>
      <c r="E94" s="132" t="s">
        <v>911</v>
      </c>
      <c r="F94" s="133" t="s">
        <v>679</v>
      </c>
      <c r="G94" s="133" t="s">
        <v>36</v>
      </c>
      <c r="H94" s="105" t="str">
        <f>HYPERLINK("http://www.mediafire.com/download/8wcevm0nyll9rca/1992-08-14_-_Greek_Theatre_-_Los_Angeles%2C_CA.rar", "download link")</f>
        <v>download link</v>
      </c>
      <c r="I94" s="134" t="s">
        <v>1033</v>
      </c>
      <c r="J94" s="109"/>
    </row>
    <row r="95">
      <c r="A95" s="150">
        <v>33831.0</v>
      </c>
      <c r="B95" s="115" t="s">
        <v>32</v>
      </c>
      <c r="C95" s="116" t="str">
        <f t="shared" si="3"/>
        <v>setlist</v>
      </c>
      <c r="D95" s="153" t="s">
        <v>1031</v>
      </c>
      <c r="E95" s="153" t="s">
        <v>911</v>
      </c>
      <c r="F95" s="151" t="s">
        <v>679</v>
      </c>
      <c r="G95" s="151" t="s">
        <v>36</v>
      </c>
      <c r="H95" s="116" t="str">
        <f>HYPERLINK("http://www.mediafire.com/download/xdb3j0bf0ss00b1/1992-08-15_-_Greek_Theatre_-_Los_Angeles%2C_CA.rar", "download link")</f>
        <v>download link</v>
      </c>
      <c r="I95" s="117" t="s">
        <v>23</v>
      </c>
      <c r="J95" s="146"/>
    </row>
    <row r="96">
      <c r="A96" s="130">
        <v>33833.0</v>
      </c>
      <c r="B96" s="107" t="s">
        <v>32</v>
      </c>
      <c r="C96" s="105" t="str">
        <f t="shared" si="3"/>
        <v>setlist</v>
      </c>
      <c r="D96" s="132" t="s">
        <v>1034</v>
      </c>
      <c r="E96" s="132" t="s">
        <v>1035</v>
      </c>
      <c r="F96" s="133" t="s">
        <v>679</v>
      </c>
      <c r="G96" s="133" t="s">
        <v>36</v>
      </c>
      <c r="H96" s="105" t="str">
        <f>HYPERLINK("http://www.mediafire.com/download/p3lwhdhr1414n98/1992-08-17_-_The_Coach_House_-_San_Juan_Capistrano%2C_CA.rar", "download link")</f>
        <v>download link</v>
      </c>
      <c r="I96" s="134" t="s">
        <v>1036</v>
      </c>
      <c r="J96" s="109"/>
    </row>
    <row r="97">
      <c r="A97" s="150">
        <v>33835.0</v>
      </c>
      <c r="B97" s="144"/>
      <c r="C97" s="116" t="str">
        <f t="shared" si="3"/>
        <v>setlist</v>
      </c>
      <c r="D97" s="153" t="s">
        <v>1037</v>
      </c>
      <c r="E97" s="153" t="s">
        <v>906</v>
      </c>
      <c r="F97" s="151" t="s">
        <v>805</v>
      </c>
      <c r="G97" s="151" t="s">
        <v>36</v>
      </c>
      <c r="H97" s="116" t="str">
        <f>HYPERLINK("http://www.mediafire.com/download/bdmvfmyomlftm75/1992-08-19_-_Pima_County_Fairgrounds_-_Tucson%2C_AZ.rar", "download link")</f>
        <v>download link</v>
      </c>
      <c r="I97" s="117" t="s">
        <v>1038</v>
      </c>
      <c r="J97" s="146"/>
    </row>
    <row r="98">
      <c r="A98" s="130">
        <v>33836.0</v>
      </c>
      <c r="B98" s="104"/>
      <c r="C98" s="105" t="str">
        <f t="shared" si="3"/>
        <v>setlist</v>
      </c>
      <c r="D98" s="132" t="s">
        <v>1039</v>
      </c>
      <c r="E98" s="132" t="s">
        <v>1040</v>
      </c>
      <c r="F98" s="133" t="s">
        <v>811</v>
      </c>
      <c r="G98" s="131"/>
      <c r="H98" s="104"/>
      <c r="I98" s="109"/>
      <c r="J98" s="109"/>
    </row>
    <row r="99">
      <c r="A99" s="150">
        <v>33839.0</v>
      </c>
      <c r="B99" s="144"/>
      <c r="C99" s="116" t="str">
        <f t="shared" si="3"/>
        <v>setlist</v>
      </c>
      <c r="D99" s="153" t="s">
        <v>1041</v>
      </c>
      <c r="E99" s="153" t="s">
        <v>1042</v>
      </c>
      <c r="F99" s="151" t="s">
        <v>203</v>
      </c>
      <c r="G99" s="156"/>
      <c r="H99" s="144"/>
      <c r="I99" s="146"/>
      <c r="J99" s="146"/>
    </row>
    <row r="100">
      <c r="A100" s="130">
        <v>33840.0</v>
      </c>
      <c r="B100" s="104"/>
      <c r="C100" s="105" t="str">
        <f t="shared" si="3"/>
        <v>setlist</v>
      </c>
      <c r="D100" s="132" t="s">
        <v>1043</v>
      </c>
      <c r="E100" s="132" t="s">
        <v>1044</v>
      </c>
      <c r="F100" s="133" t="s">
        <v>203</v>
      </c>
      <c r="G100" s="131"/>
      <c r="H100" s="104"/>
      <c r="I100" s="109"/>
      <c r="J100" s="109"/>
    </row>
    <row r="101">
      <c r="A101" s="150">
        <v>33841.0</v>
      </c>
      <c r="B101" s="144"/>
      <c r="C101" s="116" t="str">
        <f t="shared" si="3"/>
        <v>setlist</v>
      </c>
      <c r="D101" s="153" t="s">
        <v>1045</v>
      </c>
      <c r="E101" s="153" t="s">
        <v>810</v>
      </c>
      <c r="F101" s="151" t="s">
        <v>811</v>
      </c>
      <c r="G101" s="151" t="s">
        <v>36</v>
      </c>
      <c r="H101" s="116" t="str">
        <f>HYPERLINK("http://www.mediafire.com/download/1j1o0ov6e50lbkb/1992-08-25_-_The_Downs_-_Santa_Fe%2C_NM.rar", "download link")</f>
        <v>download link</v>
      </c>
      <c r="I101" s="117" t="s">
        <v>1046</v>
      </c>
      <c r="J101" s="146"/>
    </row>
    <row r="102">
      <c r="A102" s="130">
        <v>33843.0</v>
      </c>
      <c r="B102" s="104"/>
      <c r="C102" s="105" t="str">
        <f t="shared" si="3"/>
        <v>setlist</v>
      </c>
      <c r="D102" s="132" t="s">
        <v>1047</v>
      </c>
      <c r="E102" s="132" t="s">
        <v>913</v>
      </c>
      <c r="F102" s="133" t="s">
        <v>679</v>
      </c>
      <c r="G102" s="195" t="s">
        <v>36</v>
      </c>
      <c r="H102" s="105" t="str">
        <f>HYPERLINK("https://www.mediafire.com/file/a6ifp6tor0ek3jo/1992-08-27_-_Santa_Barbara_Bowl_-_Santa_Barbara%252C_CA.rar/file", "download link")</f>
        <v>download link</v>
      </c>
      <c r="I102" s="134" t="s">
        <v>1048</v>
      </c>
      <c r="J102" s="109"/>
    </row>
    <row r="103">
      <c r="A103" s="150">
        <v>33844.0</v>
      </c>
      <c r="B103" s="144"/>
      <c r="C103" s="116" t="str">
        <f t="shared" si="3"/>
        <v>setlist</v>
      </c>
      <c r="D103" s="153" t="s">
        <v>1049</v>
      </c>
      <c r="E103" s="153" t="s">
        <v>531</v>
      </c>
      <c r="F103" s="151" t="s">
        <v>679</v>
      </c>
      <c r="G103" s="151" t="s">
        <v>36</v>
      </c>
      <c r="H103" s="116" t="str">
        <f>HYPERLINK("http://www.mediafire.com/download/10b7i22b7ri6n1u/1992-08-28_-_Concord_Pavilion_-_Concord%2C_CA.rar", "download link")</f>
        <v>download link</v>
      </c>
      <c r="I103" s="117" t="s">
        <v>1050</v>
      </c>
      <c r="J103" s="118" t="s">
        <v>1051</v>
      </c>
    </row>
    <row r="104">
      <c r="A104" s="130">
        <v>33845.0</v>
      </c>
      <c r="B104" s="107" t="s">
        <v>32</v>
      </c>
      <c r="C104" s="105" t="str">
        <f t="shared" si="3"/>
        <v>setlist</v>
      </c>
      <c r="D104" s="132" t="s">
        <v>1052</v>
      </c>
      <c r="E104" s="132" t="s">
        <v>1053</v>
      </c>
      <c r="F104" s="133" t="s">
        <v>679</v>
      </c>
      <c r="G104" s="133" t="s">
        <v>36</v>
      </c>
      <c r="H104" s="105" t="str">
        <f>HYPERLINK("http://www.mediafire.com/download/r95u6eec38g7j9l/1992-08-29_-_Shoreline_Amphitheatre_-_Mountain_View%2C_CA.rar", "download link")</f>
        <v>download link</v>
      </c>
      <c r="I104" s="134" t="s">
        <v>1054</v>
      </c>
      <c r="J104" s="109"/>
    </row>
    <row r="105">
      <c r="A105" s="198">
        <v>33846.0</v>
      </c>
      <c r="B105" s="175"/>
      <c r="C105" s="166" t="str">
        <f t="shared" si="3"/>
        <v>setlist</v>
      </c>
      <c r="D105" s="200" t="s">
        <v>1055</v>
      </c>
      <c r="E105" s="200" t="s">
        <v>1056</v>
      </c>
      <c r="F105" s="201" t="s">
        <v>679</v>
      </c>
      <c r="G105" s="201" t="s">
        <v>36</v>
      </c>
      <c r="H105" s="116" t="str">
        <f>HYPERLINK("http://www.mediafire.com/download/7wtplv5hp6k96xd/1992-08-30_-_Cal_Expo_Amphitheater_-_Sacramento%2C_CA.rar", "download link")</f>
        <v>download link</v>
      </c>
      <c r="I105" s="117" t="s">
        <v>1050</v>
      </c>
      <c r="J105" s="176"/>
    </row>
    <row r="106">
      <c r="A106" s="92"/>
      <c r="B106" s="93"/>
      <c r="C106" s="65"/>
      <c r="D106" s="83" t="s">
        <v>1057</v>
      </c>
      <c r="E106" s="95"/>
      <c r="F106" s="93"/>
      <c r="G106" s="93"/>
      <c r="H106" s="93"/>
      <c r="I106" s="224"/>
      <c r="J106" s="93"/>
    </row>
    <row r="107">
      <c r="A107" s="96">
        <v>33907.0</v>
      </c>
      <c r="B107" s="126"/>
      <c r="C107" s="98" t="str">
        <f t="shared" ref="C107:C128" si="4">HYPERLINK("http://www.phish.net/setlists/?d="&amp;RIGHT(TEXT(A107,"mm/dd/yyyy"),4)&amp;"-"&amp;LEFT(TEXT(A107,"mm/dd/yyyy"),2)&amp;"-"&amp;MID(TEXT(A107,"mm/dd/yyyy"),4,2), "setlist")</f>
        <v>setlist</v>
      </c>
      <c r="D107" s="100" t="s">
        <v>1058</v>
      </c>
      <c r="E107" s="100" t="s">
        <v>94</v>
      </c>
      <c r="F107" s="97" t="s">
        <v>95</v>
      </c>
      <c r="G107" s="97" t="s">
        <v>36</v>
      </c>
      <c r="H107" s="98" t="str">
        <f>HYPERLINK("http://www.mediafire.com/download/461rql1ijdsevt1/1992-10-30_-_Boston_Garden_-_Boston%2C_MA.rar", "download link")</f>
        <v>download link</v>
      </c>
      <c r="I107" s="101" t="s">
        <v>527</v>
      </c>
      <c r="J107" s="126"/>
    </row>
    <row r="108">
      <c r="A108" s="130">
        <v>33927.0</v>
      </c>
      <c r="B108" s="107" t="s">
        <v>32</v>
      </c>
      <c r="C108" s="105" t="str">
        <f t="shared" si="4"/>
        <v>setlist</v>
      </c>
      <c r="D108" s="132" t="s">
        <v>1059</v>
      </c>
      <c r="E108" s="132" t="s">
        <v>1060</v>
      </c>
      <c r="F108" s="133" t="s">
        <v>35</v>
      </c>
      <c r="G108" s="133" t="s">
        <v>36</v>
      </c>
      <c r="H108" s="105" t="str">
        <f>HYPERLINK("http://www.mediafire.com/download/7p6ht18qcdxlgfp/1992-11-19_-_Ross_Arena%2C_St._Michael%27s_College_-_Colchester%2C_VT.rar", "download link")</f>
        <v>download link</v>
      </c>
      <c r="I108" s="134" t="s">
        <v>923</v>
      </c>
      <c r="J108" s="104"/>
    </row>
    <row r="109">
      <c r="A109" s="147">
        <v>33928.0</v>
      </c>
      <c r="B109" s="114" t="s">
        <v>32</v>
      </c>
      <c r="C109" s="135" t="str">
        <f t="shared" si="4"/>
        <v>setlist</v>
      </c>
      <c r="D109" s="149" t="s">
        <v>866</v>
      </c>
      <c r="E109" s="149" t="s">
        <v>309</v>
      </c>
      <c r="F109" s="148" t="s">
        <v>129</v>
      </c>
      <c r="G109" s="148" t="s">
        <v>36</v>
      </c>
      <c r="H109" s="116" t="str">
        <f>HYPERLINK("http://www.mediafire.com/download/pak1uaqkc4v2mao/1992-11-20_-_Palace_Theatre_-_Albany%2C_NY.rar", "download link")</f>
        <v>download link</v>
      </c>
      <c r="I109" s="136" t="s">
        <v>1061</v>
      </c>
      <c r="J109" s="113" t="s">
        <v>1062</v>
      </c>
    </row>
    <row r="110">
      <c r="A110" s="130">
        <v>33929.0</v>
      </c>
      <c r="B110" s="104"/>
      <c r="C110" s="105" t="str">
        <f t="shared" si="4"/>
        <v>setlist</v>
      </c>
      <c r="D110" s="132" t="s">
        <v>1063</v>
      </c>
      <c r="E110" s="132" t="s">
        <v>1064</v>
      </c>
      <c r="F110" s="133" t="s">
        <v>129</v>
      </c>
      <c r="G110" s="133" t="s">
        <v>36</v>
      </c>
      <c r="H110" s="105" t="str">
        <f>HYPERLINK("http://www.mediafire.com/download/o465kwf3ol2xn6w/1992-11-21_-_Pritchard_Gym%2C_SB_Sports_Complex%2C_SUNY_Stony_Brook_-_Stony_Brook%2C_NY.rar", "download link")</f>
        <v>download link</v>
      </c>
      <c r="I110" s="134" t="s">
        <v>1065</v>
      </c>
      <c r="J110" s="104"/>
    </row>
    <row r="111">
      <c r="A111" s="147">
        <v>33930.0</v>
      </c>
      <c r="B111" s="111"/>
      <c r="C111" s="135" t="str">
        <f t="shared" si="4"/>
        <v>setlist</v>
      </c>
      <c r="D111" s="149" t="s">
        <v>1066</v>
      </c>
      <c r="E111" s="149" t="s">
        <v>168</v>
      </c>
      <c r="F111" s="148" t="s">
        <v>129</v>
      </c>
      <c r="G111" s="148" t="s">
        <v>36</v>
      </c>
      <c r="H111" s="116" t="str">
        <f>HYPERLINK("http://www.mediafire.com/download/tktdrys8gzb7hi1/1992-11-22_-_Bailey_Hall%2C_Cornell_University_-_Ithaca%2C_NY.rar", "download link")</f>
        <v>download link</v>
      </c>
      <c r="I111" s="136" t="s">
        <v>1067</v>
      </c>
      <c r="J111" s="111"/>
    </row>
    <row r="112">
      <c r="A112" s="130">
        <v>33931.0</v>
      </c>
      <c r="B112" s="104"/>
      <c r="C112" s="105" t="str">
        <f t="shared" si="4"/>
        <v>setlist</v>
      </c>
      <c r="D112" s="132" t="s">
        <v>868</v>
      </c>
      <c r="E112" s="132" t="s">
        <v>227</v>
      </c>
      <c r="F112" s="133" t="s">
        <v>129</v>
      </c>
      <c r="G112" s="133" t="s">
        <v>36</v>
      </c>
      <c r="H112" s="105" t="str">
        <f>HYPERLINK("http://www.mediafire.com/download/wtgcwmdwi4paij1/1992-11-23_-_Broome_County_Forum_-_Binghamton%2C_NY.rar", "download link")</f>
        <v>download link</v>
      </c>
      <c r="I112" s="134" t="s">
        <v>1068</v>
      </c>
      <c r="J112" s="104"/>
    </row>
    <row r="113">
      <c r="A113" s="147">
        <v>33933.0</v>
      </c>
      <c r="B113" s="225"/>
      <c r="C113" s="135" t="str">
        <f t="shared" si="4"/>
        <v>setlist</v>
      </c>
      <c r="D113" s="149" t="s">
        <v>1069</v>
      </c>
      <c r="E113" s="149" t="s">
        <v>1070</v>
      </c>
      <c r="F113" s="148" t="s">
        <v>212</v>
      </c>
      <c r="G113" s="148" t="s">
        <v>36</v>
      </c>
      <c r="H113" s="116" t="str">
        <f>HYPERLINK("http://www.mediafire.com/download/3iglthoqy2ctxbi/1992-11-25_-_Keswick_Theatre_-_Glenside%2C_PA.rar", "download link")</f>
        <v>download link</v>
      </c>
      <c r="I113" s="136" t="s">
        <v>1071</v>
      </c>
      <c r="J113" s="111"/>
    </row>
    <row r="114">
      <c r="A114" s="130">
        <v>33935.0</v>
      </c>
      <c r="B114" s="226"/>
      <c r="C114" s="105" t="str">
        <f t="shared" si="4"/>
        <v>setlist</v>
      </c>
      <c r="D114" s="132" t="s">
        <v>570</v>
      </c>
      <c r="E114" s="132" t="s">
        <v>571</v>
      </c>
      <c r="F114" s="133" t="s">
        <v>129</v>
      </c>
      <c r="G114" s="133" t="s">
        <v>36</v>
      </c>
      <c r="H114" s="105" t="str">
        <f>HYPERLINK("http://www.mediafire.com/download/hjmsy7pu9777b9f/1992-11-27_-_The_Capitol_Theatre_-_Port_Chester%2C_NY.rar", "download link")</f>
        <v>download link</v>
      </c>
      <c r="I114" s="134" t="s">
        <v>1065</v>
      </c>
      <c r="J114" s="104"/>
    </row>
    <row r="115">
      <c r="A115" s="147">
        <v>33936.0</v>
      </c>
      <c r="B115" s="111"/>
      <c r="C115" s="135" t="str">
        <f t="shared" si="4"/>
        <v>setlist</v>
      </c>
      <c r="D115" s="149" t="s">
        <v>570</v>
      </c>
      <c r="E115" s="149" t="s">
        <v>571</v>
      </c>
      <c r="F115" s="148" t="s">
        <v>129</v>
      </c>
      <c r="G115" s="148" t="s">
        <v>36</v>
      </c>
      <c r="H115" s="116" t="str">
        <f>HYPERLINK("http://www.mediafire.com/download/ikszz72jpinp47d/1992-11-28_-_The_Capitol_Theatre_-_Port_Chester%2C_NY.rar", "download link")</f>
        <v>download link</v>
      </c>
      <c r="I115" s="136" t="s">
        <v>1065</v>
      </c>
      <c r="J115" s="111"/>
    </row>
    <row r="116">
      <c r="A116" s="130">
        <v>33938.0</v>
      </c>
      <c r="B116" s="226"/>
      <c r="C116" s="105" t="str">
        <f t="shared" si="4"/>
        <v>setlist</v>
      </c>
      <c r="D116" s="132" t="s">
        <v>1072</v>
      </c>
      <c r="E116" s="132" t="s">
        <v>1073</v>
      </c>
      <c r="F116" s="133" t="s">
        <v>212</v>
      </c>
      <c r="G116" s="133" t="s">
        <v>36</v>
      </c>
      <c r="H116" s="105" t="str">
        <f>HYPERLINK("http://www.mediafire.com/download/xlxefx6jn34fx4i/1992-11-30_-_Metropol_-_Pittsburgh%2C_PA.rar", "download link")</f>
        <v>download link</v>
      </c>
      <c r="I116" s="134" t="s">
        <v>1074</v>
      </c>
      <c r="J116" s="104"/>
    </row>
    <row r="117">
      <c r="A117" s="147">
        <v>33939.0</v>
      </c>
      <c r="B117" s="111"/>
      <c r="C117" s="135" t="str">
        <f t="shared" si="4"/>
        <v>setlist</v>
      </c>
      <c r="D117" s="149" t="s">
        <v>1075</v>
      </c>
      <c r="E117" s="149" t="s">
        <v>474</v>
      </c>
      <c r="F117" s="148" t="s">
        <v>472</v>
      </c>
      <c r="G117" s="158"/>
      <c r="H117" s="111"/>
      <c r="I117" s="80"/>
      <c r="J117" s="136" t="s">
        <v>515</v>
      </c>
    </row>
    <row r="118">
      <c r="A118" s="130">
        <v>33940.0</v>
      </c>
      <c r="B118" s="104"/>
      <c r="C118" s="105" t="str">
        <f t="shared" si="4"/>
        <v>setlist</v>
      </c>
      <c r="D118" s="132" t="s">
        <v>1076</v>
      </c>
      <c r="E118" s="132" t="s">
        <v>471</v>
      </c>
      <c r="F118" s="133" t="s">
        <v>472</v>
      </c>
      <c r="G118" s="133" t="s">
        <v>36</v>
      </c>
      <c r="H118" s="105" t="str">
        <f>HYPERLINK("http://www.mediafire.com/download/xhn5afq8tao5lw7/1992-12-02_-_Newport_Music_Hall_-_Columbus%2C_OH.rar", "download link")</f>
        <v>download link</v>
      </c>
      <c r="I118" s="134" t="s">
        <v>1077</v>
      </c>
      <c r="J118" s="104"/>
    </row>
    <row r="119">
      <c r="A119" s="147">
        <v>33941.0</v>
      </c>
      <c r="B119" s="111"/>
      <c r="C119" s="135" t="str">
        <f t="shared" si="4"/>
        <v>setlist</v>
      </c>
      <c r="D119" s="149" t="s">
        <v>942</v>
      </c>
      <c r="E119" s="149" t="s">
        <v>943</v>
      </c>
      <c r="F119" s="148" t="s">
        <v>472</v>
      </c>
      <c r="G119" s="148" t="s">
        <v>36</v>
      </c>
      <c r="H119" s="116" t="str">
        <f>HYPERLINK("http://www.mediafire.com/download/11h138e020s97d0/1992-12-03_-_Bogart%27s_-_Cincinnati%2C_OH.rar", "download link")</f>
        <v>download link</v>
      </c>
      <c r="I119" s="136" t="s">
        <v>1078</v>
      </c>
      <c r="J119" s="111"/>
    </row>
    <row r="120">
      <c r="A120" s="130">
        <v>33942.0</v>
      </c>
      <c r="B120" s="104"/>
      <c r="C120" s="105" t="str">
        <f t="shared" si="4"/>
        <v>setlist</v>
      </c>
      <c r="D120" s="132" t="s">
        <v>884</v>
      </c>
      <c r="E120" s="132" t="s">
        <v>885</v>
      </c>
      <c r="F120" s="133" t="s">
        <v>886</v>
      </c>
      <c r="G120" s="133" t="s">
        <v>36</v>
      </c>
      <c r="H120" s="105" t="str">
        <f>HYPERLINK("http://www.mediafire.com/download/7pwfs8t5mfifx78/1992-12-04_-_Mississippi_Nights_-_St._Louis%2C_MO.rar", "download link")</f>
        <v>download link</v>
      </c>
      <c r="I120" s="134" t="s">
        <v>1079</v>
      </c>
      <c r="J120" s="104"/>
    </row>
    <row r="121">
      <c r="A121" s="147">
        <v>33943.0</v>
      </c>
      <c r="B121" s="114" t="s">
        <v>32</v>
      </c>
      <c r="C121" s="135" t="str">
        <f t="shared" si="4"/>
        <v>setlist</v>
      </c>
      <c r="D121" s="149" t="s">
        <v>1080</v>
      </c>
      <c r="E121" s="149" t="s">
        <v>479</v>
      </c>
      <c r="F121" s="148" t="s">
        <v>480</v>
      </c>
      <c r="G121" s="148" t="s">
        <v>36</v>
      </c>
      <c r="H121" s="116" t="str">
        <f>HYPERLINK("http://www.mediafire.com/download/9hx8liawcqmtikk/1992-12-05_-_The_Vic_Theatre_-_Chicago%2C_IL.rar", "download link")</f>
        <v>download link</v>
      </c>
      <c r="I121" s="136" t="s">
        <v>23</v>
      </c>
      <c r="J121" s="113" t="s">
        <v>848</v>
      </c>
    </row>
    <row r="122">
      <c r="A122" s="130">
        <v>33944.0</v>
      </c>
      <c r="B122" s="104"/>
      <c r="C122" s="105" t="str">
        <f t="shared" si="4"/>
        <v>setlist</v>
      </c>
      <c r="D122" s="132" t="s">
        <v>1080</v>
      </c>
      <c r="E122" s="132" t="s">
        <v>479</v>
      </c>
      <c r="F122" s="133" t="s">
        <v>480</v>
      </c>
      <c r="G122" s="133" t="s">
        <v>36</v>
      </c>
      <c r="H122" s="105" t="str">
        <f>HYPERLINK("http://www.mediafire.com/download/w0btyzfe1dcj05c/1992-12-06_-_The_Vic_Theatre_-_Chicago%2C_IL.rar", "download link")</f>
        <v>download link</v>
      </c>
      <c r="I122" s="134" t="s">
        <v>1081</v>
      </c>
      <c r="J122" s="104"/>
    </row>
    <row r="123">
      <c r="A123" s="147">
        <v>33945.0</v>
      </c>
      <c r="B123" s="111"/>
      <c r="C123" s="135" t="str">
        <f t="shared" si="4"/>
        <v>setlist</v>
      </c>
      <c r="D123" s="149" t="s">
        <v>932</v>
      </c>
      <c r="E123" s="149" t="s">
        <v>485</v>
      </c>
      <c r="F123" s="148" t="s">
        <v>486</v>
      </c>
      <c r="G123" s="148" t="s">
        <v>36</v>
      </c>
      <c r="H123" s="116" t="str">
        <f>HYPERLINK("http://www.mediafire.com/download/6aajbtdr2cljdzx/1992-12-07_-_First_Avenue_-_Minneapolis%2C_MN.rar", "download link")</f>
        <v>download link</v>
      </c>
      <c r="I123" s="136" t="s">
        <v>58</v>
      </c>
      <c r="J123" s="111"/>
    </row>
    <row r="124">
      <c r="A124" s="130">
        <v>33946.0</v>
      </c>
      <c r="B124" s="104"/>
      <c r="C124" s="105" t="str">
        <f t="shared" si="4"/>
        <v>setlist</v>
      </c>
      <c r="D124" s="132" t="s">
        <v>704</v>
      </c>
      <c r="E124" s="132" t="s">
        <v>482</v>
      </c>
      <c r="F124" s="133" t="s">
        <v>483</v>
      </c>
      <c r="G124" s="133" t="s">
        <v>36</v>
      </c>
      <c r="H124" s="105" t="str">
        <f>HYPERLINK("http://www.mediafire.com/download/4z13u1ot1dcaqie/1992-12-08_-_Barrymore_Theatre_-_Madison%2C_WI.rar", "download link")</f>
        <v>download link</v>
      </c>
      <c r="I124" s="134" t="s">
        <v>272</v>
      </c>
      <c r="J124" s="104"/>
    </row>
    <row r="125">
      <c r="A125" s="147">
        <v>33948.0</v>
      </c>
      <c r="B125" s="225"/>
      <c r="C125" s="135" t="str">
        <f t="shared" si="4"/>
        <v>setlist</v>
      </c>
      <c r="D125" s="149" t="s">
        <v>1082</v>
      </c>
      <c r="E125" s="149" t="s">
        <v>1083</v>
      </c>
      <c r="F125" s="148" t="s">
        <v>712</v>
      </c>
      <c r="G125" s="148" t="s">
        <v>36</v>
      </c>
      <c r="H125" s="116" t="str">
        <f>HYPERLINK("http://www.mediafire.com/download/jdf145hvfejkymh/1992-12-10_-_State_Theater_-_Kalamazoo%2C_MI.rar", "download link")</f>
        <v>download link</v>
      </c>
      <c r="I125" s="136" t="s">
        <v>1084</v>
      </c>
      <c r="J125" s="113" t="s">
        <v>1085</v>
      </c>
    </row>
    <row r="126">
      <c r="A126" s="130">
        <v>33949.0</v>
      </c>
      <c r="B126" s="104"/>
      <c r="C126" s="105" t="str">
        <f t="shared" si="4"/>
        <v>setlist</v>
      </c>
      <c r="D126" s="132" t="s">
        <v>1086</v>
      </c>
      <c r="E126" s="132" t="s">
        <v>711</v>
      </c>
      <c r="F126" s="133" t="s">
        <v>712</v>
      </c>
      <c r="G126" s="133" t="s">
        <v>36</v>
      </c>
      <c r="H126" s="105" t="str">
        <f>HYPERLINK("http://www.mediafire.com/download/6n462mnm8f259kf/1992-12-11_-_Michigan_Theater_-_Ann_Arbor%2C_MI.rar", "download link")</f>
        <v>download link</v>
      </c>
      <c r="I126" s="134" t="s">
        <v>1087</v>
      </c>
      <c r="J126" s="134" t="s">
        <v>1088</v>
      </c>
    </row>
    <row r="127">
      <c r="A127" s="147">
        <v>33950.0</v>
      </c>
      <c r="B127" s="114" t="s">
        <v>32</v>
      </c>
      <c r="C127" s="135" t="str">
        <f t="shared" si="4"/>
        <v>setlist</v>
      </c>
      <c r="D127" s="149" t="s">
        <v>1089</v>
      </c>
      <c r="E127" s="149" t="s">
        <v>1090</v>
      </c>
      <c r="F127" s="148" t="s">
        <v>1091</v>
      </c>
      <c r="G127" s="148" t="s">
        <v>36</v>
      </c>
      <c r="H127" s="116" t="str">
        <f>HYPERLINK("http://www.mediafire.com/download/kzj5pu6c13w5dxy/1992-12-12_-_The_Spectrum_-_Toronto%2C_Ontario%2C_Canada.rar", "download link")</f>
        <v>download link</v>
      </c>
      <c r="I127" s="136" t="s">
        <v>1092</v>
      </c>
      <c r="J127" s="111"/>
    </row>
    <row r="128">
      <c r="A128" s="209">
        <v>33951.0</v>
      </c>
      <c r="B128" s="187"/>
      <c r="C128" s="123" t="str">
        <f t="shared" si="4"/>
        <v>setlist</v>
      </c>
      <c r="D128" s="211" t="s">
        <v>1093</v>
      </c>
      <c r="E128" s="211" t="s">
        <v>337</v>
      </c>
      <c r="F128" s="210" t="s">
        <v>338</v>
      </c>
      <c r="G128" s="210" t="s">
        <v>36</v>
      </c>
      <c r="H128" s="105" t="str">
        <f>HYPERLINK("http://www.mediafire.com/download/xhln9gdtwi29fc1/1992-12-13_-_Le_Spectrum_-_Montreal%2C_Quebec%2C_Canada.rar", "download link")</f>
        <v>download link</v>
      </c>
      <c r="I128" s="137" t="s">
        <v>1094</v>
      </c>
      <c r="J128" s="122" t="s">
        <v>287</v>
      </c>
    </row>
    <row r="129">
      <c r="A129" s="92"/>
      <c r="B129" s="93"/>
      <c r="C129" s="65"/>
      <c r="D129" s="83" t="s">
        <v>1095</v>
      </c>
      <c r="E129" s="95"/>
      <c r="F129" s="93"/>
      <c r="G129" s="93"/>
      <c r="H129" s="93"/>
      <c r="I129" s="95"/>
      <c r="J129" s="93"/>
    </row>
    <row r="130">
      <c r="A130" s="96">
        <v>33966.0</v>
      </c>
      <c r="B130" s="126"/>
      <c r="C130" s="98" t="str">
        <f t="shared" ref="C130:C133" si="5">HYPERLINK("http://www.phish.net/setlists/?d="&amp;RIGHT(TEXT(A130,"mm/dd/yyyy"),4)&amp;"-"&amp;LEFT(TEXT(A130,"mm/dd/yyyy"),2)&amp;"-"&amp;MID(TEXT(A130,"mm/dd/yyyy"),4,2), "setlist")</f>
        <v>setlist</v>
      </c>
      <c r="D130" s="100" t="s">
        <v>866</v>
      </c>
      <c r="E130" s="100" t="s">
        <v>459</v>
      </c>
      <c r="F130" s="97" t="s">
        <v>171</v>
      </c>
      <c r="G130" s="97" t="s">
        <v>36</v>
      </c>
      <c r="H130" s="98" t="str">
        <f>HYPERLINK("http://www.mediafire.com/download/qoca6v4dp4b1flx/1992-12-28_-_Palace_Theatre_-_New_Haven%2C_CT.rar", "download link")</f>
        <v>download link</v>
      </c>
      <c r="I130" s="101" t="s">
        <v>1096</v>
      </c>
      <c r="J130" s="126"/>
    </row>
    <row r="131">
      <c r="A131" s="130">
        <v>33967.0</v>
      </c>
      <c r="B131" s="107" t="s">
        <v>32</v>
      </c>
      <c r="C131" s="105" t="str">
        <f t="shared" si="5"/>
        <v>setlist</v>
      </c>
      <c r="D131" s="132" t="s">
        <v>866</v>
      </c>
      <c r="E131" s="132" t="s">
        <v>459</v>
      </c>
      <c r="F131" s="133" t="s">
        <v>171</v>
      </c>
      <c r="G131" s="133" t="s">
        <v>36</v>
      </c>
      <c r="H131" s="105" t="str">
        <f>HYPERLINK("http://www.mediafire.com/download/sd7lcvhf3kkq9e2/1992-12-29_-_Palace_Theatre_-_New_Haven%2C_CT.rar", "download link")</f>
        <v>download link</v>
      </c>
      <c r="I131" s="134" t="s">
        <v>23</v>
      </c>
      <c r="J131" s="106" t="s">
        <v>1097</v>
      </c>
    </row>
    <row r="132">
      <c r="A132" s="147">
        <v>33968.0</v>
      </c>
      <c r="B132" s="114" t="s">
        <v>32</v>
      </c>
      <c r="C132" s="135" t="str">
        <f t="shared" si="5"/>
        <v>setlist</v>
      </c>
      <c r="D132" s="149" t="s">
        <v>1098</v>
      </c>
      <c r="E132" s="149" t="s">
        <v>1099</v>
      </c>
      <c r="F132" s="148" t="s">
        <v>95</v>
      </c>
      <c r="G132" s="148" t="s">
        <v>36</v>
      </c>
      <c r="H132" s="135" t="str">
        <f>HYPERLINK("http://www.mediafire.com/download/26k1w8zba23wmby/1992-12-30_-_Symphony_Hall_-_Springfield%2C_MA.rar", "download link")</f>
        <v>download link</v>
      </c>
      <c r="I132" s="136" t="s">
        <v>23</v>
      </c>
      <c r="J132" s="113" t="s">
        <v>515</v>
      </c>
    </row>
    <row r="133">
      <c r="A133" s="130">
        <v>33969.0</v>
      </c>
      <c r="B133" s="107" t="s">
        <v>32</v>
      </c>
      <c r="C133" s="105" t="str">
        <f t="shared" si="5"/>
        <v>setlist</v>
      </c>
      <c r="D133" s="132" t="s">
        <v>1100</v>
      </c>
      <c r="E133" s="132" t="s">
        <v>94</v>
      </c>
      <c r="F133" s="133" t="s">
        <v>95</v>
      </c>
      <c r="G133" s="133" t="s">
        <v>36</v>
      </c>
      <c r="H133" s="105" t="str">
        <f>HYPERLINK("http://www.mediafire.com/download/wbbboje42a10275/1992-12-31_-_Matthews_Arena%2C_Northeastern_University_-_Boston%2C_MA.rar", "download link")</f>
        <v>download link</v>
      </c>
      <c r="I133" s="134" t="s">
        <v>1101</v>
      </c>
      <c r="J133" s="10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5"/>
    <col customWidth="1" min="2" max="2" width="4.38"/>
    <col customWidth="1" min="3" max="3" width="8.25"/>
    <col customWidth="1" min="4" max="4" width="45.88"/>
    <col customWidth="1" min="5" max="5" width="15.25"/>
    <col customWidth="1" min="6" max="6" width="5.13"/>
    <col customWidth="1" min="7" max="7" width="4.38"/>
    <col customWidth="1" min="8" max="8" width="13.13"/>
    <col customWidth="1" min="9" max="9" width="37.63"/>
    <col customWidth="1" min="10" max="10" width="65.75"/>
  </cols>
  <sheetData>
    <row r="1">
      <c r="A1" s="77"/>
      <c r="B1" s="78"/>
      <c r="C1" s="78"/>
      <c r="D1" s="80"/>
      <c r="E1" s="80"/>
      <c r="F1" s="78"/>
      <c r="G1" s="78"/>
      <c r="H1" s="81"/>
      <c r="I1" s="82"/>
      <c r="J1" s="82"/>
    </row>
    <row r="2">
      <c r="A2" s="83" t="s">
        <v>22</v>
      </c>
      <c r="B2" s="60" t="s">
        <v>23</v>
      </c>
      <c r="C2" s="60" t="s">
        <v>24</v>
      </c>
      <c r="D2" s="56" t="s">
        <v>25</v>
      </c>
      <c r="E2" s="56" t="s">
        <v>26</v>
      </c>
      <c r="F2" s="60" t="s">
        <v>27</v>
      </c>
      <c r="G2" s="60" t="s">
        <v>28</v>
      </c>
      <c r="H2" s="60" t="s">
        <v>29</v>
      </c>
      <c r="I2" s="85" t="s">
        <v>30</v>
      </c>
      <c r="J2" s="83" t="s">
        <v>31</v>
      </c>
    </row>
    <row r="3">
      <c r="A3" s="86"/>
      <c r="B3" s="87"/>
      <c r="C3" s="87"/>
      <c r="D3" s="87"/>
      <c r="E3" s="87"/>
      <c r="F3" s="87"/>
      <c r="G3" s="87"/>
      <c r="H3" s="87"/>
      <c r="I3" s="89"/>
      <c r="J3" s="89"/>
    </row>
    <row r="4">
      <c r="A4" s="92"/>
      <c r="B4" s="65"/>
      <c r="C4" s="65"/>
      <c r="D4" s="83" t="s">
        <v>1102</v>
      </c>
      <c r="E4" s="65"/>
      <c r="F4" s="65"/>
      <c r="G4" s="65"/>
      <c r="H4" s="65"/>
      <c r="I4" s="92"/>
      <c r="J4" s="92"/>
    </row>
    <row r="5">
      <c r="A5" s="125">
        <v>34003.0</v>
      </c>
      <c r="B5" s="126"/>
      <c r="C5" s="98" t="str">
        <f t="shared" ref="C5:C78" si="1">HYPERLINK("http://www.phish.net/setlists/?d="&amp;RIGHT(TEXT(A5,"mm/dd/yyyy"),4)&amp;"-"&amp;LEFT(TEXT(A5,"mm/dd/yyyy"),2)&amp;"-"&amp;MID(TEXT(A5,"mm/dd/yyyy"),4,2), "setlist")</f>
        <v>setlist</v>
      </c>
      <c r="D5" s="102" t="s">
        <v>1103</v>
      </c>
      <c r="E5" s="102" t="s">
        <v>279</v>
      </c>
      <c r="F5" s="127" t="s">
        <v>257</v>
      </c>
      <c r="G5" s="127" t="s">
        <v>36</v>
      </c>
      <c r="H5" s="98" t="str">
        <f>HYPERLINK("http://www.mediafire.com/download/438titina4e8ej3/1993-02-03_-_Portland_Expo_-_Portland%2C_ME.rar", "download link")</f>
        <v>download link</v>
      </c>
      <c r="I5" s="101" t="s">
        <v>1104</v>
      </c>
      <c r="J5" s="129"/>
    </row>
    <row r="6">
      <c r="A6" s="103">
        <v>34004.0</v>
      </c>
      <c r="B6" s="104"/>
      <c r="C6" s="105" t="str">
        <f t="shared" si="1"/>
        <v>setlist</v>
      </c>
      <c r="D6" s="106" t="s">
        <v>1105</v>
      </c>
      <c r="E6" s="106" t="s">
        <v>297</v>
      </c>
      <c r="F6" s="107" t="s">
        <v>298</v>
      </c>
      <c r="G6" s="107" t="s">
        <v>36</v>
      </c>
      <c r="H6" s="105" t="str">
        <f>HYPERLINK("http://www.mediafire.com/download/6s5s91vh1hmb59z/1993-02-04_-_Providence_Performing_Arts_Center_-_Providence%2C_RI.rar", "download link")</f>
        <v>download link</v>
      </c>
      <c r="I6" s="134" t="s">
        <v>1106</v>
      </c>
      <c r="J6" s="109"/>
    </row>
    <row r="7">
      <c r="A7" s="142">
        <v>34005.0</v>
      </c>
      <c r="B7" s="144"/>
      <c r="C7" s="135" t="str">
        <f t="shared" si="1"/>
        <v>setlist</v>
      </c>
      <c r="D7" s="118" t="s">
        <v>863</v>
      </c>
      <c r="E7" s="118" t="s">
        <v>162</v>
      </c>
      <c r="F7" s="115" t="s">
        <v>129</v>
      </c>
      <c r="G7" s="115" t="s">
        <v>36</v>
      </c>
      <c r="H7" s="116" t="str">
        <f>HYPERLINK("http://www.mediafire.com/download/ebfstba1z856zeb/1993-02-05_-_Roseland_Ballroom_-_New_York%2C_NY.rar", "download link")</f>
        <v>download link</v>
      </c>
      <c r="I7" s="117" t="s">
        <v>1107</v>
      </c>
      <c r="J7" s="146"/>
    </row>
    <row r="8">
      <c r="A8" s="103">
        <v>34006.0</v>
      </c>
      <c r="B8" s="104"/>
      <c r="C8" s="105" t="str">
        <f t="shared" si="1"/>
        <v>setlist</v>
      </c>
      <c r="D8" s="106" t="s">
        <v>863</v>
      </c>
      <c r="E8" s="106" t="s">
        <v>162</v>
      </c>
      <c r="F8" s="107" t="s">
        <v>129</v>
      </c>
      <c r="G8" s="107" t="s">
        <v>36</v>
      </c>
      <c r="H8" s="105" t="str">
        <f>HYPERLINK("http://www.mediafire.com/download/k9fqgr4vah9r8te/1993-02-06_-_Roseland_Ballroom_-_New_York%2C_NY.rar", "download link")</f>
        <v>download link</v>
      </c>
      <c r="I8" s="134" t="s">
        <v>1108</v>
      </c>
      <c r="J8" s="109"/>
    </row>
    <row r="9">
      <c r="A9" s="110">
        <v>34007.0</v>
      </c>
      <c r="B9" s="111"/>
      <c r="C9" s="135" t="str">
        <f t="shared" si="1"/>
        <v>setlist</v>
      </c>
      <c r="D9" s="113" t="s">
        <v>864</v>
      </c>
      <c r="E9" s="113" t="s">
        <v>393</v>
      </c>
      <c r="F9" s="114" t="s">
        <v>394</v>
      </c>
      <c r="G9" s="114" t="s">
        <v>36</v>
      </c>
      <c r="H9" s="116" t="str">
        <f>HYPERLINK("http://www.mediafire.com/download/l4hynby4m8p24d3/1993-02-07_-_Lisner_Auditorium%2C_George_Washington_University_-_Washington%2C_DC.rar", "download link")</f>
        <v>download link</v>
      </c>
      <c r="I9" s="136" t="s">
        <v>1109</v>
      </c>
      <c r="J9" s="80"/>
    </row>
    <row r="10">
      <c r="A10" s="103">
        <v>34009.0</v>
      </c>
      <c r="B10" s="104"/>
      <c r="C10" s="105" t="str">
        <f t="shared" si="1"/>
        <v>setlist</v>
      </c>
      <c r="D10" s="106" t="s">
        <v>1110</v>
      </c>
      <c r="E10" s="106" t="s">
        <v>718</v>
      </c>
      <c r="F10" s="107" t="s">
        <v>129</v>
      </c>
      <c r="G10" s="107" t="s">
        <v>36</v>
      </c>
      <c r="H10" s="105" t="str">
        <f>HYPERLINK("http://www.mediafire.com/download/ehlrffqaabayqff/1993-02-09_-_Auditorium_Theatre_-_Rochester%2C_NY.rar", "download link")</f>
        <v>download link</v>
      </c>
      <c r="I10" s="134" t="s">
        <v>1111</v>
      </c>
      <c r="J10" s="109"/>
    </row>
    <row r="11">
      <c r="A11" s="110">
        <v>34010.0</v>
      </c>
      <c r="B11" s="111"/>
      <c r="C11" s="135" t="str">
        <f t="shared" si="1"/>
        <v>setlist</v>
      </c>
      <c r="D11" s="113" t="s">
        <v>1112</v>
      </c>
      <c r="E11" s="113" t="s">
        <v>330</v>
      </c>
      <c r="F11" s="114" t="s">
        <v>129</v>
      </c>
      <c r="G11" s="114" t="s">
        <v>36</v>
      </c>
      <c r="H11" s="116" t="str">
        <f>HYPERLINK("http://www.mediafire.com/download/dr6s6a75n1uyl6r/1993-02-10_-_Smith_Opera_House_-_Geneva%2C_NY.rar", "download link")</f>
        <v>download link</v>
      </c>
      <c r="I11" s="136" t="s">
        <v>1113</v>
      </c>
      <c r="J11" s="80"/>
    </row>
    <row r="12">
      <c r="A12" s="103">
        <v>34011.0</v>
      </c>
      <c r="B12" s="104"/>
      <c r="C12" s="105" t="str">
        <f t="shared" si="1"/>
        <v>setlist</v>
      </c>
      <c r="D12" s="106" t="s">
        <v>1114</v>
      </c>
      <c r="E12" s="106" t="s">
        <v>1115</v>
      </c>
      <c r="F12" s="107" t="s">
        <v>212</v>
      </c>
      <c r="G12" s="107" t="s">
        <v>36</v>
      </c>
      <c r="H12" s="105" t="str">
        <f>HYPERLINK("http://www.mediafire.com/download/y4hdmtuc2hk1378/1993-02-11_-_Haas_Center_for_the_Arts_-_Bloomsburg%2C_PA.rar", "download link")</f>
        <v>download link</v>
      </c>
      <c r="I12" s="134" t="s">
        <v>1116</v>
      </c>
      <c r="J12" s="109"/>
    </row>
    <row r="13">
      <c r="A13" s="110">
        <v>34012.0</v>
      </c>
      <c r="B13" s="111"/>
      <c r="C13" s="135" t="str">
        <f t="shared" si="1"/>
        <v>setlist</v>
      </c>
      <c r="D13" s="113" t="s">
        <v>1117</v>
      </c>
      <c r="E13" s="113" t="s">
        <v>376</v>
      </c>
      <c r="F13" s="114" t="s">
        <v>129</v>
      </c>
      <c r="G13" s="114" t="s">
        <v>36</v>
      </c>
      <c r="H13" s="116" t="str">
        <f>HYPERLINK("http://www.mediafire.com/download/exa7o5u95890c16/1993-02-12_-_Mid-Hudson_Civic_Center_-_Poughkeepsie%2C_NY.rar", "download link")</f>
        <v>download link</v>
      </c>
      <c r="I13" s="136" t="s">
        <v>1118</v>
      </c>
      <c r="J13" s="80"/>
    </row>
    <row r="14">
      <c r="A14" s="103">
        <v>34013.0</v>
      </c>
      <c r="B14" s="104"/>
      <c r="C14" s="105" t="str">
        <f t="shared" si="1"/>
        <v>setlist</v>
      </c>
      <c r="D14" s="106" t="s">
        <v>1119</v>
      </c>
      <c r="E14" s="106" t="s">
        <v>1120</v>
      </c>
      <c r="F14" s="107" t="s">
        <v>966</v>
      </c>
      <c r="G14" s="107" t="s">
        <v>36</v>
      </c>
      <c r="H14" s="105" t="str">
        <f>HYPERLINK("http://www.mediafire.com/download/n5neolcf5wnv9ga/1993-02-13_-_Bob_Carpenter_Center%2C_University_of_Delaware_-_Newark%2C_DE.rar", "download link")</f>
        <v>download link</v>
      </c>
      <c r="I14" s="134" t="s">
        <v>1121</v>
      </c>
      <c r="J14" s="109"/>
    </row>
    <row r="15">
      <c r="A15" s="142">
        <v>34015.0</v>
      </c>
      <c r="B15" s="144"/>
      <c r="C15" s="135" t="str">
        <f t="shared" si="1"/>
        <v>setlist</v>
      </c>
      <c r="D15" s="118" t="s">
        <v>1122</v>
      </c>
      <c r="E15" s="118" t="s">
        <v>442</v>
      </c>
      <c r="F15" s="115" t="s">
        <v>443</v>
      </c>
      <c r="G15" s="115" t="s">
        <v>36</v>
      </c>
      <c r="H15" s="116" t="str">
        <f>HYPERLINK("http://www.mediafire.com/download/m2dtcz1ykdc6bla/1993-02-15_-_Memorial_Hall%2C_University_of_North_Carolina_-_Chapel_Hill%2C_NC.rar", "download link")</f>
        <v>download link</v>
      </c>
      <c r="I15" s="117" t="s">
        <v>1123</v>
      </c>
      <c r="J15" s="146"/>
    </row>
    <row r="16">
      <c r="A16" s="130">
        <v>34017.0</v>
      </c>
      <c r="B16" s="131"/>
      <c r="C16" s="105" t="str">
        <f t="shared" si="1"/>
        <v>setlist</v>
      </c>
      <c r="D16" s="132" t="s">
        <v>1124</v>
      </c>
      <c r="E16" s="132" t="s">
        <v>879</v>
      </c>
      <c r="F16" s="133" t="s">
        <v>443</v>
      </c>
      <c r="G16" s="133" t="s">
        <v>36</v>
      </c>
      <c r="H16" s="105" t="str">
        <f>HYPERLINK("http://www.mediafire.com/download/f3l0k17dlco2g7o/1993-02-17_-_Benton_Convention_Center_-_Winston-Salem%2C_NC.rar", "download link")</f>
        <v>download link</v>
      </c>
      <c r="I16" s="134" t="s">
        <v>1125</v>
      </c>
      <c r="J16" s="106" t="s">
        <v>1126</v>
      </c>
    </row>
    <row r="17">
      <c r="A17" s="147">
        <v>34018.0</v>
      </c>
      <c r="B17" s="148"/>
      <c r="C17" s="135" t="str">
        <f t="shared" si="1"/>
        <v>setlist</v>
      </c>
      <c r="D17" s="149" t="s">
        <v>1127</v>
      </c>
      <c r="E17" s="149" t="s">
        <v>649</v>
      </c>
      <c r="F17" s="148" t="s">
        <v>650</v>
      </c>
      <c r="G17" s="148" t="s">
        <v>36</v>
      </c>
      <c r="H17" s="116" t="str">
        <f>HYPERLINK("http://www.mediafire.com/download/rv1myzuy56hz661/1993-02-18_-_Electric_Ballroom_-_Knoxville%2C_TN.rar", "download link")</f>
        <v>download link</v>
      </c>
      <c r="I17" s="136" t="s">
        <v>58</v>
      </c>
      <c r="J17" s="113" t="s">
        <v>1128</v>
      </c>
    </row>
    <row r="18">
      <c r="A18" s="103">
        <v>34019.0</v>
      </c>
      <c r="B18" s="104"/>
      <c r="C18" s="105" t="str">
        <f t="shared" si="1"/>
        <v>setlist</v>
      </c>
      <c r="D18" s="106" t="s">
        <v>1129</v>
      </c>
      <c r="E18" s="106" t="s">
        <v>437</v>
      </c>
      <c r="F18" s="107" t="s">
        <v>433</v>
      </c>
      <c r="G18" s="107" t="s">
        <v>36</v>
      </c>
      <c r="H18" s="105" t="str">
        <f>HYPERLINK("http://www.mediafire.com/download/a4wo25rzeq3kr53/1993-02-19_-_Roxy_Theatre_-_Atlanta%2C_GA.rar", "download link")</f>
        <v>download link</v>
      </c>
      <c r="I18" s="134" t="s">
        <v>1130</v>
      </c>
      <c r="J18" s="106" t="s">
        <v>287</v>
      </c>
    </row>
    <row r="19">
      <c r="A19" s="110">
        <v>34020.0</v>
      </c>
      <c r="B19" s="114" t="s">
        <v>32</v>
      </c>
      <c r="C19" s="135" t="str">
        <f t="shared" si="1"/>
        <v>setlist</v>
      </c>
      <c r="D19" s="113" t="s">
        <v>1129</v>
      </c>
      <c r="E19" s="113" t="s">
        <v>437</v>
      </c>
      <c r="F19" s="114" t="s">
        <v>433</v>
      </c>
      <c r="G19" s="114" t="s">
        <v>36</v>
      </c>
      <c r="H19" s="116" t="str">
        <f>HYPERLINK("http://www.mediafire.com/download/gu9lhaehjf65e7o/1993-02-20_-_Roxy_Theatre_-_Atlanta%2C_GA.rar", "download link")</f>
        <v>download link</v>
      </c>
      <c r="I19" s="136" t="s">
        <v>575</v>
      </c>
      <c r="J19" s="80"/>
    </row>
    <row r="20">
      <c r="A20" s="103">
        <v>34021.0</v>
      </c>
      <c r="B20" s="104"/>
      <c r="C20" s="105" t="str">
        <f t="shared" si="1"/>
        <v>setlist</v>
      </c>
      <c r="D20" s="106" t="s">
        <v>1129</v>
      </c>
      <c r="E20" s="106" t="s">
        <v>437</v>
      </c>
      <c r="F20" s="107" t="s">
        <v>433</v>
      </c>
      <c r="G20" s="107" t="s">
        <v>36</v>
      </c>
      <c r="H20" s="105" t="str">
        <f>HYPERLINK("http://www.mediafire.com/download/gj7m5hcoka0fh5g/1993-02-21_-_Roxy_Theatre_-_Atlanta%2C_GA.rar", "download link")</f>
        <v>download link</v>
      </c>
      <c r="I20" s="134" t="s">
        <v>1130</v>
      </c>
      <c r="J20" s="109"/>
    </row>
    <row r="21">
      <c r="A21" s="110">
        <v>34022.0</v>
      </c>
      <c r="B21" s="111"/>
      <c r="C21" s="135" t="str">
        <f t="shared" si="1"/>
        <v>setlist</v>
      </c>
      <c r="D21" s="113" t="s">
        <v>1131</v>
      </c>
      <c r="E21" s="113" t="s">
        <v>1132</v>
      </c>
      <c r="F21" s="114" t="s">
        <v>1133</v>
      </c>
      <c r="G21" s="114" t="s">
        <v>36</v>
      </c>
      <c r="H21" s="116" t="str">
        <f>HYPERLINK("http://www.mediafire.com/download/f2ueohiyq9hr854/1993-02-22_-_The_Moon_-_Tallahassee%2C_FL.rar", "download link")</f>
        <v>download link</v>
      </c>
      <c r="I21" s="136" t="s">
        <v>1134</v>
      </c>
      <c r="J21" s="113" t="s">
        <v>287</v>
      </c>
    </row>
    <row r="22">
      <c r="A22" s="103">
        <v>34023.0</v>
      </c>
      <c r="B22" s="104"/>
      <c r="C22" s="105" t="str">
        <f t="shared" si="1"/>
        <v>setlist</v>
      </c>
      <c r="D22" s="106" t="s">
        <v>1135</v>
      </c>
      <c r="E22" s="106" t="s">
        <v>1136</v>
      </c>
      <c r="F22" s="107" t="s">
        <v>1133</v>
      </c>
      <c r="G22" s="107" t="s">
        <v>36</v>
      </c>
      <c r="H22" s="105" t="str">
        <f>HYPERLINK("http://www.mediafire.com/download/jkac9mnl86hrav2/1993-02-23_-_The_Edge_Night_Club_-_Orlando%2C_FL.rar", "download link")</f>
        <v>download link</v>
      </c>
      <c r="I22" s="134" t="s">
        <v>944</v>
      </c>
      <c r="J22" s="109"/>
    </row>
    <row r="23">
      <c r="A23" s="142">
        <v>34025.0</v>
      </c>
      <c r="B23" s="144"/>
      <c r="C23" s="135" t="str">
        <f t="shared" si="1"/>
        <v>setlist</v>
      </c>
      <c r="D23" s="118" t="s">
        <v>1137</v>
      </c>
      <c r="E23" s="118" t="s">
        <v>1138</v>
      </c>
      <c r="F23" s="115" t="s">
        <v>1133</v>
      </c>
      <c r="G23" s="115" t="s">
        <v>36</v>
      </c>
      <c r="H23" s="116" t="str">
        <f>HYPERLINK("http://www.mediafire.com/download/5rn4t6cabdqrfw2/1993-02-25_-_The_Cameo_Theatre_-_Miami_Beach%2C_FL.rar", "download link")</f>
        <v>download link</v>
      </c>
      <c r="I23" s="117" t="s">
        <v>1139</v>
      </c>
      <c r="J23" s="146"/>
    </row>
    <row r="24">
      <c r="A24" s="103">
        <v>34026.0</v>
      </c>
      <c r="B24" s="104"/>
      <c r="C24" s="105" t="str">
        <f t="shared" si="1"/>
        <v>setlist</v>
      </c>
      <c r="D24" s="106" t="s">
        <v>1140</v>
      </c>
      <c r="E24" s="106" t="s">
        <v>1141</v>
      </c>
      <c r="F24" s="107" t="s">
        <v>1133</v>
      </c>
      <c r="G24" s="107" t="s">
        <v>36</v>
      </c>
      <c r="H24" s="105" t="str">
        <f>HYPERLINK("http://www.mediafire.com/download/8xo8vd3q9p08vam/1993-02-26_-_Ritz_Theatre_-_Tampa%2C_FL.rar", "download link")</f>
        <v>download link</v>
      </c>
      <c r="I24" s="134" t="s">
        <v>1142</v>
      </c>
      <c r="J24" s="109"/>
    </row>
    <row r="25">
      <c r="A25" s="147">
        <v>34027.0</v>
      </c>
      <c r="B25" s="148" t="s">
        <v>32</v>
      </c>
      <c r="C25" s="135" t="str">
        <f t="shared" si="1"/>
        <v>setlist</v>
      </c>
      <c r="D25" s="149" t="s">
        <v>1143</v>
      </c>
      <c r="E25" s="149" t="s">
        <v>1144</v>
      </c>
      <c r="F25" s="148" t="s">
        <v>1133</v>
      </c>
      <c r="G25" s="148" t="s">
        <v>36</v>
      </c>
      <c r="H25" s="116" t="str">
        <f>HYPERLINK("http://www.mediafire.com/download/ts9h2ygeghx96q6/1993-02-27_-_Florida_Theatre_-_Gainesville%2C_FL.rar", "download link")</f>
        <v>download link</v>
      </c>
      <c r="I25" s="136" t="s">
        <v>1145</v>
      </c>
      <c r="J25" s="113" t="s">
        <v>1146</v>
      </c>
    </row>
    <row r="26">
      <c r="A26" s="103">
        <v>34030.0</v>
      </c>
      <c r="B26" s="104"/>
      <c r="C26" s="105" t="str">
        <f t="shared" si="1"/>
        <v>setlist</v>
      </c>
      <c r="D26" s="106" t="s">
        <v>584</v>
      </c>
      <c r="E26" s="106" t="s">
        <v>585</v>
      </c>
      <c r="F26" s="107" t="s">
        <v>586</v>
      </c>
      <c r="G26" s="107" t="s">
        <v>36</v>
      </c>
      <c r="H26" s="105" t="str">
        <f>HYPERLINK("http://www.mediafire.com/download/9iu5hxbh8g92rwr/1993-03-02_-_Tipitina%27s_-_New_Orleans%2C_LA.rar", "download link")</f>
        <v>download link</v>
      </c>
      <c r="I26" s="134" t="s">
        <v>138</v>
      </c>
      <c r="J26" s="106" t="s">
        <v>1147</v>
      </c>
    </row>
    <row r="27">
      <c r="A27" s="142">
        <v>34031.0</v>
      </c>
      <c r="B27" s="144"/>
      <c r="C27" s="135" t="str">
        <f t="shared" si="1"/>
        <v>setlist</v>
      </c>
      <c r="D27" s="118" t="s">
        <v>584</v>
      </c>
      <c r="E27" s="118" t="s">
        <v>585</v>
      </c>
      <c r="F27" s="115" t="s">
        <v>586</v>
      </c>
      <c r="G27" s="115" t="s">
        <v>36</v>
      </c>
      <c r="H27" s="116" t="str">
        <f>HYPERLINK("http://www.mediafire.com/download/pd3eqbetx8q8hak/1993-03-03_-_Tipitina%27s_-_New_Orleans%2C_LA.rar", "download link")</f>
        <v>download link</v>
      </c>
      <c r="I27" s="117" t="s">
        <v>138</v>
      </c>
      <c r="J27" s="146"/>
    </row>
    <row r="28">
      <c r="A28" s="103">
        <v>34033.0</v>
      </c>
      <c r="B28" s="104"/>
      <c r="C28" s="105" t="str">
        <f t="shared" si="1"/>
        <v>setlist</v>
      </c>
      <c r="D28" s="106" t="s">
        <v>1148</v>
      </c>
      <c r="E28" s="106" t="s">
        <v>593</v>
      </c>
      <c r="F28" s="107" t="s">
        <v>589</v>
      </c>
      <c r="G28" s="107" t="s">
        <v>36</v>
      </c>
      <c r="H28" s="105" t="str">
        <f>HYPERLINK("http://www.mediafire.com/download/cav3yz417zczaw8/1993-03-05_-_Deep_Ellum_Live_-_Dallas%2C_TX.rar", "download link")</f>
        <v>download link</v>
      </c>
      <c r="I28" s="134" t="s">
        <v>1149</v>
      </c>
      <c r="J28" s="109"/>
    </row>
    <row r="29">
      <c r="A29" s="110">
        <v>34034.0</v>
      </c>
      <c r="B29" s="111"/>
      <c r="C29" s="135" t="str">
        <f t="shared" si="1"/>
        <v>setlist</v>
      </c>
      <c r="D29" s="113" t="s">
        <v>1150</v>
      </c>
      <c r="E29" s="113" t="s">
        <v>591</v>
      </c>
      <c r="F29" s="114" t="s">
        <v>589</v>
      </c>
      <c r="G29" s="114" t="s">
        <v>36</v>
      </c>
      <c r="H29" s="116" t="str">
        <f>HYPERLINK("http://www.mediafire.com/download/e324jr1tiriu4jt/1993-03-06_-_Liberty_Lunch_-_Austin%2C_TX.rar", "download link")</f>
        <v>download link</v>
      </c>
      <c r="I29" s="136" t="s">
        <v>1151</v>
      </c>
      <c r="J29" s="80"/>
    </row>
    <row r="30">
      <c r="A30" s="103">
        <v>34036.0</v>
      </c>
      <c r="B30" s="104"/>
      <c r="C30" s="105" t="str">
        <f t="shared" si="1"/>
        <v>setlist</v>
      </c>
      <c r="D30" s="106" t="s">
        <v>1152</v>
      </c>
      <c r="E30" s="106" t="s">
        <v>810</v>
      </c>
      <c r="F30" s="107" t="s">
        <v>811</v>
      </c>
      <c r="G30" s="104"/>
      <c r="H30" s="108"/>
      <c r="I30" s="109"/>
      <c r="J30" s="109"/>
    </row>
    <row r="31">
      <c r="A31" s="150">
        <v>34037.0</v>
      </c>
      <c r="B31" s="151" t="s">
        <v>32</v>
      </c>
      <c r="C31" s="135" t="str">
        <f t="shared" si="1"/>
        <v>setlist</v>
      </c>
      <c r="D31" s="153" t="s">
        <v>1153</v>
      </c>
      <c r="E31" s="153" t="s">
        <v>506</v>
      </c>
      <c r="F31" s="151" t="s">
        <v>203</v>
      </c>
      <c r="G31" s="151" t="s">
        <v>36</v>
      </c>
      <c r="H31" s="116" t="str">
        <f>HYPERLINK("http://www.mediafire.com/download/0dcriektavr0rdi/1993-03-09_-_Pike%27s_Peak_Center_-_Colorado_Springs%2C_CO.rar", "download link")</f>
        <v>download link</v>
      </c>
      <c r="I31" s="117" t="s">
        <v>280</v>
      </c>
      <c r="J31" s="118" t="s">
        <v>1154</v>
      </c>
    </row>
    <row r="32">
      <c r="A32" s="103">
        <v>34040.0</v>
      </c>
      <c r="B32" s="107" t="s">
        <v>32</v>
      </c>
      <c r="C32" s="105" t="str">
        <f t="shared" si="1"/>
        <v>setlist</v>
      </c>
      <c r="D32" s="106" t="s">
        <v>1155</v>
      </c>
      <c r="E32" s="106" t="s">
        <v>1044</v>
      </c>
      <c r="F32" s="107" t="s">
        <v>203</v>
      </c>
      <c r="G32" s="107" t="s">
        <v>36</v>
      </c>
      <c r="H32" s="105" t="str">
        <f>HYPERLINK("http://www.mediafire.com/download/hxwa7tb1muu48my/1993-03-12_-_Dobson_Arena_-_Vail%2C_CO.rar", "download link")</f>
        <v>download link</v>
      </c>
      <c r="I32" s="134" t="s">
        <v>23</v>
      </c>
      <c r="J32" s="106" t="s">
        <v>1156</v>
      </c>
    </row>
    <row r="33">
      <c r="A33" s="142">
        <v>34041.0</v>
      </c>
      <c r="B33" s="144"/>
      <c r="C33" s="135" t="str">
        <f t="shared" si="1"/>
        <v>setlist</v>
      </c>
      <c r="D33" s="118" t="s">
        <v>896</v>
      </c>
      <c r="E33" s="118" t="s">
        <v>488</v>
      </c>
      <c r="F33" s="115" t="s">
        <v>203</v>
      </c>
      <c r="G33" s="115" t="s">
        <v>36</v>
      </c>
      <c r="H33" s="116" t="str">
        <f>HYPERLINK("http://www.mediafire.com/download/21hb9d9hxbp83bb/1993-03-13_-_Balch_Fieldhouse%2C_University_of_Colorado_-_Boulder%2C_CO.rar", "download link")</f>
        <v>download link</v>
      </c>
      <c r="I33" s="117" t="s">
        <v>1142</v>
      </c>
      <c r="J33" s="146"/>
    </row>
    <row r="34">
      <c r="A34" s="130">
        <v>34042.0</v>
      </c>
      <c r="B34" s="107" t="s">
        <v>32</v>
      </c>
      <c r="C34" s="105" t="str">
        <f t="shared" si="1"/>
        <v>setlist</v>
      </c>
      <c r="D34" s="132" t="s">
        <v>899</v>
      </c>
      <c r="E34" s="132" t="s">
        <v>900</v>
      </c>
      <c r="F34" s="133" t="s">
        <v>203</v>
      </c>
      <c r="G34" s="107" t="s">
        <v>36</v>
      </c>
      <c r="H34" s="105" t="str">
        <f>HYPERLINK("http://www.mediafire.com/download/48e6gbdpe4l6e9x/1993-03-14_-_Paul_Wright_Gym%2C_Western_State_College_-_Gunnison%2C_CO.rar", "download link")</f>
        <v>download link</v>
      </c>
      <c r="I34" s="134" t="s">
        <v>1157</v>
      </c>
      <c r="J34" s="134" t="s">
        <v>1158</v>
      </c>
    </row>
    <row r="35">
      <c r="A35" s="110">
        <v>34044.0</v>
      </c>
      <c r="B35" s="111"/>
      <c r="C35" s="135" t="str">
        <f t="shared" si="1"/>
        <v>setlist</v>
      </c>
      <c r="D35" s="113" t="s">
        <v>1159</v>
      </c>
      <c r="E35" s="113" t="s">
        <v>1160</v>
      </c>
      <c r="F35" s="114" t="s">
        <v>805</v>
      </c>
      <c r="G35" s="114" t="s">
        <v>36</v>
      </c>
      <c r="H35" s="116" t="str">
        <f>HYPERLINK("http://www.mediafire.com/download/kaqww22z2yfa7o3/1993-03-16_-_Celebrity_Theatre_-_Phoenix%2C_AZ.rar", "download link")</f>
        <v>download link</v>
      </c>
      <c r="I35" s="136" t="s">
        <v>1161</v>
      </c>
      <c r="J35" s="80"/>
    </row>
    <row r="36">
      <c r="A36" s="103">
        <v>34045.0</v>
      </c>
      <c r="B36" s="104"/>
      <c r="C36" s="105" t="str">
        <f t="shared" si="1"/>
        <v>setlist</v>
      </c>
      <c r="D36" s="106" t="s">
        <v>1162</v>
      </c>
      <c r="E36" s="106" t="s">
        <v>1163</v>
      </c>
      <c r="F36" s="107" t="s">
        <v>679</v>
      </c>
      <c r="G36" s="107" t="s">
        <v>36</v>
      </c>
      <c r="H36" s="105" t="str">
        <f>HYPERLINK("http://www.mediafire.com/download/g7fuz5ugry405p0/1993-03-17_-_The_Palace_-_Hollywood%2C_CA.rar", "download link")</f>
        <v>download link</v>
      </c>
      <c r="I36" s="134" t="s">
        <v>1164</v>
      </c>
      <c r="J36" s="109"/>
    </row>
    <row r="37">
      <c r="A37" s="142">
        <v>34046.0</v>
      </c>
      <c r="B37" s="144"/>
      <c r="C37" s="135" t="str">
        <f t="shared" si="1"/>
        <v>setlist</v>
      </c>
      <c r="D37" s="118" t="s">
        <v>1162</v>
      </c>
      <c r="E37" s="118" t="s">
        <v>1163</v>
      </c>
      <c r="F37" s="115" t="s">
        <v>679</v>
      </c>
      <c r="G37" s="115" t="s">
        <v>36</v>
      </c>
      <c r="H37" s="116" t="str">
        <f>HYPERLINK("http://www.mediafire.com/download/32628ohmnf9yrbi/1993-03-18_-_The_Palace_-_Hollywood%2C_CA.rar", "download link")</f>
        <v>download link</v>
      </c>
      <c r="I37" s="117" t="s">
        <v>272</v>
      </c>
      <c r="J37" s="146"/>
    </row>
    <row r="38">
      <c r="A38" s="103">
        <v>34047.0</v>
      </c>
      <c r="B38" s="104"/>
      <c r="C38" s="105" t="str">
        <f t="shared" si="1"/>
        <v>setlist</v>
      </c>
      <c r="D38" s="106" t="s">
        <v>1165</v>
      </c>
      <c r="E38" s="106" t="s">
        <v>1166</v>
      </c>
      <c r="F38" s="107" t="s">
        <v>679</v>
      </c>
      <c r="G38" s="107" t="s">
        <v>36</v>
      </c>
      <c r="H38" s="105" t="str">
        <f>HYPERLINK("http://www.mediafire.com/download/6uzxfyafxgxrzpo/1993-03-19_-_The_Greek_Theatre_-_Redlands%2C_CA.rar", "download link")</f>
        <v>download link</v>
      </c>
      <c r="I38" s="134" t="s">
        <v>138</v>
      </c>
      <c r="J38" s="106" t="s">
        <v>287</v>
      </c>
    </row>
    <row r="39">
      <c r="A39" s="142">
        <v>34049.0</v>
      </c>
      <c r="B39" s="144"/>
      <c r="C39" s="135" t="str">
        <f t="shared" si="1"/>
        <v>setlist</v>
      </c>
      <c r="D39" s="118" t="s">
        <v>1167</v>
      </c>
      <c r="E39" s="118" t="s">
        <v>1168</v>
      </c>
      <c r="F39" s="115" t="s">
        <v>679</v>
      </c>
      <c r="G39" s="115" t="s">
        <v>36</v>
      </c>
      <c r="H39" s="116" t="str">
        <f>HYPERLINK("http://www.mediafire.com/download/5tgfkw19r0rw1aa/1993-03-21_-_Ventura_Theatre_-_Ventura%2C_CA.rar", "download link")</f>
        <v>download link</v>
      </c>
      <c r="I39" s="117" t="s">
        <v>1169</v>
      </c>
      <c r="J39" s="146"/>
    </row>
    <row r="40">
      <c r="A40" s="103">
        <v>34050.0</v>
      </c>
      <c r="B40" s="107" t="s">
        <v>32</v>
      </c>
      <c r="C40" s="105" t="str">
        <f t="shared" si="1"/>
        <v>setlist</v>
      </c>
      <c r="D40" s="106" t="s">
        <v>1170</v>
      </c>
      <c r="E40" s="106" t="s">
        <v>1056</v>
      </c>
      <c r="F40" s="107" t="s">
        <v>679</v>
      </c>
      <c r="G40" s="107" t="s">
        <v>36</v>
      </c>
      <c r="H40" s="105" t="str">
        <f>HYPERLINK("http://www.mediafire.com/download/wgy56jzflfgscb6/1993-03-22_-_Crest_Theatre_-_Sacramento%2C_CA.rar", "download link")</f>
        <v>download link</v>
      </c>
      <c r="I40" s="134" t="s">
        <v>1171</v>
      </c>
      <c r="J40" s="109"/>
    </row>
    <row r="41">
      <c r="A41" s="142">
        <v>34052.0</v>
      </c>
      <c r="B41" s="144"/>
      <c r="C41" s="135" t="str">
        <f t="shared" si="1"/>
        <v>setlist</v>
      </c>
      <c r="D41" s="118" t="s">
        <v>1172</v>
      </c>
      <c r="E41" s="118" t="s">
        <v>1173</v>
      </c>
      <c r="F41" s="115" t="s">
        <v>679</v>
      </c>
      <c r="G41" s="115" t="s">
        <v>36</v>
      </c>
      <c r="H41" s="116" t="str">
        <f>HYPERLINK("http://www.mediafire.com/download/yuwwzopn11n4w5n/1993-03-24_-_Luther_Burbank_Center_for_the_Arts_-_Santa_Rosa%2C_CA.rar", "download link")</f>
        <v>download link</v>
      </c>
      <c r="I41" s="117" t="s">
        <v>1174</v>
      </c>
      <c r="J41" s="146"/>
    </row>
    <row r="42">
      <c r="A42" s="103">
        <v>34053.0</v>
      </c>
      <c r="B42" s="104"/>
      <c r="C42" s="105" t="str">
        <f t="shared" si="1"/>
        <v>setlist</v>
      </c>
      <c r="D42" s="106" t="s">
        <v>1175</v>
      </c>
      <c r="E42" s="106" t="s">
        <v>678</v>
      </c>
      <c r="F42" s="107" t="s">
        <v>679</v>
      </c>
      <c r="G42" s="107" t="s">
        <v>36</v>
      </c>
      <c r="H42" s="105" t="str">
        <f>HYPERLINK("http://www.mediafire.com/download/kw196q8fuewtktz/1993-03-25_-_Santa_Cruz_Civic_Auditorium_-_Santa_Cruz%2C_CA.rar", "download link")</f>
        <v>download link</v>
      </c>
      <c r="I42" s="134" t="s">
        <v>1176</v>
      </c>
      <c r="J42" s="109"/>
    </row>
    <row r="43">
      <c r="A43" s="110">
        <v>34054.0</v>
      </c>
      <c r="B43" s="111"/>
      <c r="C43" s="135" t="str">
        <f t="shared" si="1"/>
        <v>setlist</v>
      </c>
      <c r="D43" s="113" t="s">
        <v>914</v>
      </c>
      <c r="E43" s="113" t="s">
        <v>683</v>
      </c>
      <c r="F43" s="114" t="s">
        <v>679</v>
      </c>
      <c r="G43" s="114" t="s">
        <v>36</v>
      </c>
      <c r="H43" s="116" t="str">
        <f>HYPERLINK("http://www.mediafire.com/download/ln4hzh7hv70nnmt/1993-03-26_-_Warfield_Theatre_-_San_Francisco%2C_CA.rar", "download link")</f>
        <v>download link</v>
      </c>
      <c r="I43" s="136" t="s">
        <v>1177</v>
      </c>
      <c r="J43" s="80"/>
    </row>
    <row r="44">
      <c r="A44" s="103">
        <v>34055.0</v>
      </c>
      <c r="B44" s="104"/>
      <c r="C44" s="105" t="str">
        <f t="shared" si="1"/>
        <v>setlist</v>
      </c>
      <c r="D44" s="106" t="s">
        <v>914</v>
      </c>
      <c r="E44" s="106" t="s">
        <v>683</v>
      </c>
      <c r="F44" s="107" t="s">
        <v>679</v>
      </c>
      <c r="G44" s="107" t="s">
        <v>36</v>
      </c>
      <c r="H44" s="105" t="str">
        <f>HYPERLINK("http://www.mediafire.com/download/67u36l7pcl686s2/1993-03-27_-_Warfield_Theatre_-_San_Francisco%2C_CA.rar", "download link")</f>
        <v>download link</v>
      </c>
      <c r="I44" s="134" t="s">
        <v>1178</v>
      </c>
      <c r="J44" s="109"/>
    </row>
    <row r="45">
      <c r="A45" s="110">
        <v>34056.0</v>
      </c>
      <c r="B45" s="114" t="s">
        <v>32</v>
      </c>
      <c r="C45" s="135" t="str">
        <f t="shared" si="1"/>
        <v>setlist</v>
      </c>
      <c r="D45" s="113" t="s">
        <v>1179</v>
      </c>
      <c r="E45" s="113" t="s">
        <v>689</v>
      </c>
      <c r="F45" s="114" t="s">
        <v>679</v>
      </c>
      <c r="G45" s="114" t="s">
        <v>36</v>
      </c>
      <c r="H45" s="116" t="str">
        <f>HYPERLINK("http://www.mediafire.com/download/a0nagl7izo7y7oc/1993-03-28_-_East_Gym%2C_Humboldt_State_University_-_Arcata%2C_CA.rar", "download link")</f>
        <v>download link</v>
      </c>
      <c r="I45" s="136" t="s">
        <v>23</v>
      </c>
      <c r="J45" s="113" t="s">
        <v>287</v>
      </c>
    </row>
    <row r="46">
      <c r="A46" s="103">
        <v>34058.0</v>
      </c>
      <c r="B46" s="104"/>
      <c r="C46" s="105" t="str">
        <f t="shared" si="1"/>
        <v>setlist</v>
      </c>
      <c r="D46" s="106" t="s">
        <v>925</v>
      </c>
      <c r="E46" s="106" t="s">
        <v>695</v>
      </c>
      <c r="F46" s="107" t="s">
        <v>692</v>
      </c>
      <c r="G46" s="107" t="s">
        <v>36</v>
      </c>
      <c r="H46" s="105" t="str">
        <f>HYPERLINK("http://www.mediafire.com/download/6gjgwivfrr3mpt4/1993-03-30_-_Hilton_Ballroom_-_Eugene%2C_OR.rar", "download link")</f>
        <v>download link</v>
      </c>
      <c r="I46" s="134" t="s">
        <v>1180</v>
      </c>
      <c r="J46" s="109"/>
    </row>
    <row r="47">
      <c r="A47" s="110">
        <v>34059.0</v>
      </c>
      <c r="B47" s="111"/>
      <c r="C47" s="135" t="str">
        <f t="shared" si="1"/>
        <v>setlist</v>
      </c>
      <c r="D47" s="113" t="s">
        <v>794</v>
      </c>
      <c r="E47" s="113" t="s">
        <v>279</v>
      </c>
      <c r="F47" s="114" t="s">
        <v>692</v>
      </c>
      <c r="G47" s="114" t="s">
        <v>36</v>
      </c>
      <c r="H47" s="116" t="str">
        <f>HYPERLINK("http://www.mediafire.com/download/rct50gipmrra88u/1993-03-31_-_Roseland_Theater_-_Portland%2C_OR.rar", "download link")</f>
        <v>download link</v>
      </c>
      <c r="I47" s="136" t="s">
        <v>1181</v>
      </c>
      <c r="J47" s="80"/>
    </row>
    <row r="48">
      <c r="A48" s="103">
        <v>34060.0</v>
      </c>
      <c r="B48" s="104"/>
      <c r="C48" s="105" t="str">
        <f t="shared" si="1"/>
        <v>setlist</v>
      </c>
      <c r="D48" s="106" t="s">
        <v>794</v>
      </c>
      <c r="E48" s="106" t="s">
        <v>279</v>
      </c>
      <c r="F48" s="107" t="s">
        <v>692</v>
      </c>
      <c r="G48" s="107" t="s">
        <v>36</v>
      </c>
      <c r="H48" s="105" t="str">
        <f>HYPERLINK("http://www.mediafire.com/download/s6151d32hd3huok/1993-04-01_-_Roseland_Theater_-_Portland%2C_OR.rar", "download link")</f>
        <v>download link</v>
      </c>
      <c r="I48" s="134" t="s">
        <v>1182</v>
      </c>
      <c r="J48" s="109"/>
    </row>
    <row r="49">
      <c r="A49" s="110">
        <v>34060.0</v>
      </c>
      <c r="B49" s="111"/>
      <c r="C49" s="116" t="str">
        <f t="shared" si="1"/>
        <v>setlist</v>
      </c>
      <c r="D49" s="113" t="s">
        <v>1183</v>
      </c>
      <c r="E49" s="113" t="s">
        <v>279</v>
      </c>
      <c r="F49" s="114" t="s">
        <v>692</v>
      </c>
      <c r="G49" s="114" t="s">
        <v>36</v>
      </c>
      <c r="H49" s="116" t="str">
        <f>HYPERLINK("http://www.mediafire.com/download/748k5ck0zd72d98/1993-04-01_-_Gov._Tom_McCall_Waterfront_Park_-_Portland%2C_OR.rar", "download link")</f>
        <v>download link</v>
      </c>
      <c r="I49" s="136" t="s">
        <v>1182</v>
      </c>
      <c r="J49" s="80"/>
    </row>
    <row r="50">
      <c r="A50" s="103">
        <v>34061.0</v>
      </c>
      <c r="B50" s="104"/>
      <c r="C50" s="105" t="str">
        <f t="shared" si="1"/>
        <v>setlist</v>
      </c>
      <c r="D50" s="106" t="s">
        <v>1184</v>
      </c>
      <c r="E50" s="106" t="s">
        <v>1185</v>
      </c>
      <c r="F50" s="107" t="s">
        <v>701</v>
      </c>
      <c r="G50" s="107" t="s">
        <v>36</v>
      </c>
      <c r="H50" s="105" t="str">
        <f>HYPERLINK("http://www.mediafire.com/download/b0os0clfdrd4myi/1993-04-02_-_Mt._Baker_Theatre_-_Bellingham%2C_WA.rar", "download link")</f>
        <v>download link</v>
      </c>
      <c r="I50" s="134" t="s">
        <v>1186</v>
      </c>
      <c r="J50" s="109"/>
    </row>
    <row r="51">
      <c r="A51" s="142">
        <v>34062.0</v>
      </c>
      <c r="B51" s="144"/>
      <c r="C51" s="116" t="str">
        <f t="shared" si="1"/>
        <v>setlist</v>
      </c>
      <c r="D51" s="118" t="s">
        <v>1187</v>
      </c>
      <c r="E51" s="118" t="s">
        <v>1188</v>
      </c>
      <c r="F51" s="115" t="s">
        <v>1189</v>
      </c>
      <c r="G51" s="115" t="s">
        <v>36</v>
      </c>
      <c r="H51" s="116" t="str">
        <f>HYPERLINK("http://www.mediafire.com/download/137x37fm7nxjy7t/1993-04-03_-_86th_St._Music_Hall_-_Vancouver%2C_British_Columbia%2C_Canada.rar", "download link")</f>
        <v>download link</v>
      </c>
      <c r="I51" s="117" t="s">
        <v>1190</v>
      </c>
      <c r="J51" s="146"/>
    </row>
    <row r="52">
      <c r="A52" s="103">
        <v>34064.0</v>
      </c>
      <c r="B52" s="104"/>
      <c r="C52" s="105" t="str">
        <f t="shared" si="1"/>
        <v>setlist</v>
      </c>
      <c r="D52" s="106" t="s">
        <v>1191</v>
      </c>
      <c r="E52" s="106" t="s">
        <v>791</v>
      </c>
      <c r="F52" s="107" t="s">
        <v>701</v>
      </c>
      <c r="G52" s="107" t="s">
        <v>36</v>
      </c>
      <c r="H52" s="105" t="str">
        <f>HYPERLINK("http://www.mediafire.com/download/k8s31v7w7531iaa/1993-04-05_-_HUB_Ballroom_-_Seattle%2C_WA.rar", "download link")</f>
        <v>download link</v>
      </c>
      <c r="I52" s="134" t="s">
        <v>1192</v>
      </c>
      <c r="J52" s="109"/>
    </row>
    <row r="53">
      <c r="A53" s="142">
        <v>34068.0</v>
      </c>
      <c r="B53" s="115" t="s">
        <v>32</v>
      </c>
      <c r="C53" s="116" t="str">
        <f t="shared" si="1"/>
        <v>setlist</v>
      </c>
      <c r="D53" s="118" t="s">
        <v>1193</v>
      </c>
      <c r="E53" s="118" t="s">
        <v>485</v>
      </c>
      <c r="F53" s="115" t="s">
        <v>486</v>
      </c>
      <c r="G53" s="115" t="s">
        <v>36</v>
      </c>
      <c r="H53" s="116" t="str">
        <f>HYPERLINK("http://www.mediafire.com/download/a8190h07872qz3n/1993-04-09_-_State_Theatre_-_Minneapolis%2C_MN.rar", "download link")</f>
        <v>download link</v>
      </c>
      <c r="I53" s="117" t="s">
        <v>1194</v>
      </c>
      <c r="J53" s="118" t="s">
        <v>1195</v>
      </c>
    </row>
    <row r="54">
      <c r="A54" s="103">
        <v>34069.0</v>
      </c>
      <c r="B54" s="107" t="s">
        <v>32</v>
      </c>
      <c r="C54" s="105" t="str">
        <f t="shared" si="1"/>
        <v>setlist</v>
      </c>
      <c r="D54" s="106" t="s">
        <v>1196</v>
      </c>
      <c r="E54" s="106" t="s">
        <v>479</v>
      </c>
      <c r="F54" s="107" t="s">
        <v>480</v>
      </c>
      <c r="G54" s="107" t="s">
        <v>36</v>
      </c>
      <c r="H54" s="105" t="str">
        <f>HYPERLINK("http://www.mediafire.com/download/059brbj4g9o3i3b/1993-04-10_-_Aragon_Ballroom_-_Chicago%2C_IL.rar", "download link")</f>
        <v>download link</v>
      </c>
      <c r="I54" s="134" t="s">
        <v>1197</v>
      </c>
      <c r="J54" s="106" t="s">
        <v>1198</v>
      </c>
    </row>
    <row r="55">
      <c r="A55" s="142">
        <v>34071.0</v>
      </c>
      <c r="B55" s="115" t="s">
        <v>32</v>
      </c>
      <c r="C55" s="116" t="str">
        <f t="shared" si="1"/>
        <v>setlist</v>
      </c>
      <c r="D55" s="118" t="s">
        <v>1199</v>
      </c>
      <c r="E55" s="118" t="s">
        <v>1200</v>
      </c>
      <c r="F55" s="115" t="s">
        <v>1201</v>
      </c>
      <c r="G55" s="115" t="s">
        <v>36</v>
      </c>
      <c r="H55" s="116" t="str">
        <f>HYPERLINK("http://www.mediafire.com/download/27o1fvpyeffuyhk/1993-04-12_-_IMU_Ballroom%2C_University_of_Iowa_-_Iowa_City%2C_IA.rar", "download link")</f>
        <v>download link</v>
      </c>
      <c r="I55" s="117" t="s">
        <v>1202</v>
      </c>
      <c r="J55" s="118" t="s">
        <v>1198</v>
      </c>
    </row>
    <row r="56">
      <c r="A56" s="103">
        <v>34072.0</v>
      </c>
      <c r="B56" s="104"/>
      <c r="C56" s="105" t="str">
        <f t="shared" si="1"/>
        <v>setlist</v>
      </c>
      <c r="D56" s="106" t="s">
        <v>1203</v>
      </c>
      <c r="E56" s="106" t="s">
        <v>1204</v>
      </c>
      <c r="F56" s="107" t="s">
        <v>892</v>
      </c>
      <c r="G56" s="107" t="s">
        <v>36</v>
      </c>
      <c r="H56" s="105" t="str">
        <f>HYPERLINK("http://www.mediafire.com/download/b1cnr17n5rv35is/1993-04-13_-_Memorial_Hall_-_Kansas_City%2C_MO.rar", "download link")</f>
        <v>download link</v>
      </c>
      <c r="I56" s="134" t="s">
        <v>1205</v>
      </c>
      <c r="J56" s="109"/>
    </row>
    <row r="57">
      <c r="A57" s="142">
        <v>34073.0</v>
      </c>
      <c r="B57" s="144"/>
      <c r="C57" s="116" t="str">
        <f t="shared" si="1"/>
        <v>setlist</v>
      </c>
      <c r="D57" s="118" t="s">
        <v>1206</v>
      </c>
      <c r="E57" s="118" t="s">
        <v>885</v>
      </c>
      <c r="F57" s="115" t="s">
        <v>886</v>
      </c>
      <c r="G57" s="115" t="s">
        <v>36</v>
      </c>
      <c r="H57" s="116" t="str">
        <f>HYPERLINK("http://www.mediafire.com/download/uz7wv35a9tz6970/1993-04-14_-_American_Theater_-_St._Louis%2C_MO.rar", "download link")</f>
        <v>download link</v>
      </c>
      <c r="I57" s="117" t="s">
        <v>1207</v>
      </c>
      <c r="J57" s="146"/>
    </row>
    <row r="58">
      <c r="A58" s="103">
        <v>34075.0</v>
      </c>
      <c r="B58" s="104"/>
      <c r="C58" s="105" t="str">
        <f t="shared" si="1"/>
        <v>setlist</v>
      </c>
      <c r="D58" s="106" t="s">
        <v>1208</v>
      </c>
      <c r="E58" s="106" t="s">
        <v>1209</v>
      </c>
      <c r="F58" s="107" t="s">
        <v>1210</v>
      </c>
      <c r="G58" s="107" t="s">
        <v>36</v>
      </c>
      <c r="H58" s="105" t="str">
        <f>HYPERLINK("http://www.mediafire.com/download/4a2ycakplzo39jw/1993-04-16_-_The_Macauley_Theater_-_Louisville%2C_KY.rar", "download link")</f>
        <v>download link</v>
      </c>
      <c r="I58" s="134" t="s">
        <v>1211</v>
      </c>
      <c r="J58" s="109"/>
    </row>
    <row r="59">
      <c r="A59" s="142">
        <v>34076.0</v>
      </c>
      <c r="B59" s="115" t="s">
        <v>32</v>
      </c>
      <c r="C59" s="116" t="str">
        <f t="shared" si="1"/>
        <v>setlist</v>
      </c>
      <c r="D59" s="118" t="s">
        <v>1086</v>
      </c>
      <c r="E59" s="118" t="s">
        <v>711</v>
      </c>
      <c r="F59" s="115" t="s">
        <v>712</v>
      </c>
      <c r="G59" s="115" t="s">
        <v>36</v>
      </c>
      <c r="H59" s="116" t="str">
        <f>HYPERLINK("http://www.mediafire.com/download/kp53rnx08axctpb/1993-04-17_-_Michigan_Theater_-_Ann_Arbor%2C_MI.rar", "download link")</f>
        <v>download link</v>
      </c>
      <c r="I59" s="117" t="s">
        <v>1212</v>
      </c>
      <c r="J59" s="118" t="s">
        <v>287</v>
      </c>
    </row>
    <row r="60">
      <c r="A60" s="103">
        <v>34077.0</v>
      </c>
      <c r="B60" s="107" t="s">
        <v>32</v>
      </c>
      <c r="C60" s="105" t="str">
        <f t="shared" si="1"/>
        <v>setlist</v>
      </c>
      <c r="D60" s="106" t="s">
        <v>1086</v>
      </c>
      <c r="E60" s="106" t="s">
        <v>711</v>
      </c>
      <c r="F60" s="107" t="s">
        <v>712</v>
      </c>
      <c r="G60" s="107" t="s">
        <v>36</v>
      </c>
      <c r="H60" s="105" t="str">
        <f>HYPERLINK("http://www.mediafire.com/download/o746cac6k9qmjpe/1993-04-18_-_Michigan_Theater_-_Ann_Arbor%2C_MI.rar", "download link")</f>
        <v>download link</v>
      </c>
      <c r="I60" s="134" t="s">
        <v>158</v>
      </c>
      <c r="J60" s="109"/>
    </row>
    <row r="61">
      <c r="A61" s="142">
        <v>34079.0</v>
      </c>
      <c r="B61" s="144"/>
      <c r="C61" s="116" t="str">
        <f t="shared" si="1"/>
        <v>setlist</v>
      </c>
      <c r="D61" s="118" t="s">
        <v>1076</v>
      </c>
      <c r="E61" s="118" t="s">
        <v>471</v>
      </c>
      <c r="F61" s="115" t="s">
        <v>472</v>
      </c>
      <c r="G61" s="115" t="s">
        <v>36</v>
      </c>
      <c r="H61" s="116" t="str">
        <f>HYPERLINK("http://www.mediafire.com/download/g51pdgtsgl29i5x/1993-04-20_-_Newport_Music_Hall_-_Columbus%2C_OH.rar", "download link")</f>
        <v>download link</v>
      </c>
      <c r="I61" s="117" t="s">
        <v>1213</v>
      </c>
      <c r="J61" s="146"/>
    </row>
    <row r="62">
      <c r="A62" s="103">
        <v>34080.0</v>
      </c>
      <c r="B62" s="104"/>
      <c r="C62" s="105" t="str">
        <f t="shared" si="1"/>
        <v>setlist</v>
      </c>
      <c r="D62" s="106" t="s">
        <v>1076</v>
      </c>
      <c r="E62" s="106" t="s">
        <v>471</v>
      </c>
      <c r="F62" s="107" t="s">
        <v>472</v>
      </c>
      <c r="G62" s="107" t="s">
        <v>36</v>
      </c>
      <c r="H62" s="105" t="str">
        <f>HYPERLINK("http://www.mediafire.com/download/d2kapabre9algf5/1993-04-21_-_Newport_Music_Hall_-_Columbus%2C_OH.rar", "download link")</f>
        <v>download link</v>
      </c>
      <c r="I62" s="134" t="s">
        <v>1214</v>
      </c>
      <c r="J62" s="109"/>
    </row>
    <row r="63">
      <c r="A63" s="142">
        <v>34081.0</v>
      </c>
      <c r="B63" s="144"/>
      <c r="C63" s="116" t="str">
        <f t="shared" si="1"/>
        <v>setlist</v>
      </c>
      <c r="D63" s="118" t="s">
        <v>948</v>
      </c>
      <c r="E63" s="118" t="s">
        <v>773</v>
      </c>
      <c r="F63" s="115" t="s">
        <v>472</v>
      </c>
      <c r="G63" s="115" t="s">
        <v>36</v>
      </c>
      <c r="H63" s="116" t="str">
        <f>HYPERLINK("http://www.mediafire.com/download/mvsjy12t3zmdn10/1993-04-22_-_The_Agora_Theatre_-_Cleveland%2C_OH.rar", "download link")</f>
        <v>download link</v>
      </c>
      <c r="I63" s="117" t="s">
        <v>1215</v>
      </c>
      <c r="J63" s="146"/>
    </row>
    <row r="64">
      <c r="A64" s="103">
        <v>34082.0</v>
      </c>
      <c r="B64" s="107" t="s">
        <v>32</v>
      </c>
      <c r="C64" s="105" t="str">
        <f t="shared" si="1"/>
        <v>setlist</v>
      </c>
      <c r="D64" s="134" t="s">
        <v>1216</v>
      </c>
      <c r="E64" s="106" t="s">
        <v>166</v>
      </c>
      <c r="F64" s="107" t="s">
        <v>129</v>
      </c>
      <c r="G64" s="107" t="s">
        <v>36</v>
      </c>
      <c r="H64" s="105" t="str">
        <f>HYPERLINK("http://www.mediafire.com/download/cl3ht27yia8xt3i/1993-04-23_-_Cottrell_Court%2C_Reid_Athletic_Center%2C_Colgate_University_-_Hamilton%2C_NY.rar", "download link")</f>
        <v>download link</v>
      </c>
      <c r="I64" s="134" t="s">
        <v>1217</v>
      </c>
      <c r="J64" s="109"/>
    </row>
    <row r="65">
      <c r="A65" s="142">
        <v>34083.0</v>
      </c>
      <c r="B65" s="144"/>
      <c r="C65" s="116" t="str">
        <f t="shared" si="1"/>
        <v>setlist</v>
      </c>
      <c r="D65" s="118" t="s">
        <v>1218</v>
      </c>
      <c r="E65" s="118" t="s">
        <v>721</v>
      </c>
      <c r="F65" s="115" t="s">
        <v>129</v>
      </c>
      <c r="G65" s="115" t="s">
        <v>36</v>
      </c>
      <c r="H65" s="116" t="str">
        <f>HYPERLINK("http://www.mediafire.com/download/632as38o5eil6vt/1993-04-24_-_Cheel_Arena%2C_Clarkson_University_-_Potsdam%2C_NY.rar", "download link")</f>
        <v>download link</v>
      </c>
      <c r="I65" s="117" t="s">
        <v>177</v>
      </c>
      <c r="J65" s="146"/>
    </row>
    <row r="66">
      <c r="A66" s="103">
        <v>34084.0</v>
      </c>
      <c r="B66" s="104"/>
      <c r="C66" s="105" t="str">
        <f t="shared" si="1"/>
        <v>setlist</v>
      </c>
      <c r="D66" s="106" t="s">
        <v>1219</v>
      </c>
      <c r="E66" s="106" t="s">
        <v>1220</v>
      </c>
      <c r="F66" s="107" t="s">
        <v>129</v>
      </c>
      <c r="G66" s="107" t="s">
        <v>36</v>
      </c>
      <c r="H66" s="105" t="str">
        <f>HYPERLINK("http://www.mediafire.com/download/fc9uq39dhn3cutx/1993-04-25_-_Kuhl_Gym%2C_SUNY_Geneseo_-_Geneseo%2C_NY.rar", "download link")</f>
        <v>download link</v>
      </c>
      <c r="I66" s="134" t="s">
        <v>1221</v>
      </c>
      <c r="J66" s="109"/>
    </row>
    <row r="67">
      <c r="A67" s="150">
        <v>34086.0</v>
      </c>
      <c r="B67" s="227"/>
      <c r="C67" s="116" t="str">
        <f t="shared" si="1"/>
        <v>setlist</v>
      </c>
      <c r="D67" s="153" t="s">
        <v>1222</v>
      </c>
      <c r="E67" s="153" t="s">
        <v>1090</v>
      </c>
      <c r="F67" s="151" t="s">
        <v>1091</v>
      </c>
      <c r="G67" s="151" t="s">
        <v>36</v>
      </c>
      <c r="H67" s="116" t="str">
        <f>HYPERLINK("http://www.mediafire.com/download/rrdqbv49rzb4gaa/1993-04-27_-_Concert_Hall_-_Toronto%2C_Ontario%2C_Canada.rar", "download link")</f>
        <v>download link</v>
      </c>
      <c r="I67" s="117" t="s">
        <v>1223</v>
      </c>
      <c r="J67" s="118" t="s">
        <v>111</v>
      </c>
    </row>
    <row r="68">
      <c r="A68" s="103">
        <v>34088.0</v>
      </c>
      <c r="B68" s="104"/>
      <c r="C68" s="105" t="str">
        <f t="shared" si="1"/>
        <v>setlist</v>
      </c>
      <c r="D68" s="106" t="s">
        <v>1093</v>
      </c>
      <c r="E68" s="106" t="s">
        <v>337</v>
      </c>
      <c r="F68" s="107" t="s">
        <v>338</v>
      </c>
      <c r="G68" s="107" t="s">
        <v>36</v>
      </c>
      <c r="H68" s="105" t="str">
        <f>HYPERLINK("http://www.mediafire.com/download/vxeryindne5gaze/1993-04-29_-_Le_Spectrum_-_Montreal%2C_Quebec%2C_Canada.rar", "download link")</f>
        <v>download link</v>
      </c>
      <c r="I68" s="134" t="s">
        <v>1224</v>
      </c>
      <c r="J68" s="134" t="s">
        <v>1225</v>
      </c>
    </row>
    <row r="69">
      <c r="A69" s="142">
        <v>34089.0</v>
      </c>
      <c r="B69" s="144"/>
      <c r="C69" s="116" t="str">
        <f t="shared" si="1"/>
        <v>setlist</v>
      </c>
      <c r="D69" s="118" t="s">
        <v>1226</v>
      </c>
      <c r="E69" s="118" t="s">
        <v>1227</v>
      </c>
      <c r="F69" s="115" t="s">
        <v>171</v>
      </c>
      <c r="G69" s="115" t="s">
        <v>36</v>
      </c>
      <c r="H69" s="116" t="str">
        <f>HYPERLINK("http://www.mediafire.com/download/wk4n3pdg9n2zjf0/1993-04-30_-_Sports_Center%2C_University_of_Hartford_-_West_Hartford%2C_CT.rar", "download link")</f>
        <v>download link</v>
      </c>
      <c r="I69" s="117" t="s">
        <v>1228</v>
      </c>
      <c r="J69" s="146"/>
    </row>
    <row r="70">
      <c r="A70" s="103">
        <v>34090.0</v>
      </c>
      <c r="B70" s="107" t="s">
        <v>32</v>
      </c>
      <c r="C70" s="105" t="str">
        <f t="shared" si="1"/>
        <v>setlist</v>
      </c>
      <c r="D70" s="106" t="s">
        <v>1229</v>
      </c>
      <c r="E70" s="106" t="s">
        <v>1230</v>
      </c>
      <c r="F70" s="107" t="s">
        <v>212</v>
      </c>
      <c r="G70" s="107" t="s">
        <v>36</v>
      </c>
      <c r="H70" s="105" t="str">
        <f>HYPERLINK("http://www.mediafire.com/download/zirrerzcv4wzvyg/1993-05-01_-_Tower_Theatre_-_Philadelphia%2C_PA.rar", "download link")</f>
        <v>download link</v>
      </c>
      <c r="I70" s="134" t="s">
        <v>23</v>
      </c>
      <c r="J70" s="106" t="s">
        <v>287</v>
      </c>
    </row>
    <row r="71">
      <c r="A71" s="142">
        <v>34091.0</v>
      </c>
      <c r="B71" s="115" t="s">
        <v>32</v>
      </c>
      <c r="C71" s="116" t="str">
        <f t="shared" si="1"/>
        <v>setlist</v>
      </c>
      <c r="D71" s="118" t="s">
        <v>1229</v>
      </c>
      <c r="E71" s="118" t="s">
        <v>1230</v>
      </c>
      <c r="F71" s="115" t="s">
        <v>212</v>
      </c>
      <c r="G71" s="115" t="s">
        <v>36</v>
      </c>
      <c r="H71" s="116" t="str">
        <f>HYPERLINK("http://www.mediafire.com/download/a6q0l63y9ouh932/1993-05-02_-_Tower_Theatre_-_Philadelphia%2C_PA.rar", "download link")</f>
        <v>download link</v>
      </c>
      <c r="I71" s="117" t="s">
        <v>1231</v>
      </c>
      <c r="J71" s="117" t="s">
        <v>1232</v>
      </c>
    </row>
    <row r="72">
      <c r="A72" s="103">
        <v>34092.0</v>
      </c>
      <c r="B72" s="107" t="s">
        <v>32</v>
      </c>
      <c r="C72" s="105" t="str">
        <f t="shared" si="1"/>
        <v>setlist</v>
      </c>
      <c r="D72" s="106" t="s">
        <v>1193</v>
      </c>
      <c r="E72" s="106" t="s">
        <v>1233</v>
      </c>
      <c r="F72" s="107" t="s">
        <v>43</v>
      </c>
      <c r="G72" s="107" t="s">
        <v>36</v>
      </c>
      <c r="H72" s="105" t="str">
        <f>HYPERLINK("https://www.mediafire.com/file/3k1xhdvb5cx5n8q/1993-05-03_-_State_Theatre_-_New_Brunswick%252C_NJ.rar/file", "download link")</f>
        <v>download link</v>
      </c>
      <c r="I72" s="134" t="s">
        <v>1234</v>
      </c>
      <c r="J72" s="134" t="s">
        <v>287</v>
      </c>
    </row>
    <row r="73">
      <c r="A73" s="142">
        <v>34094.0</v>
      </c>
      <c r="B73" s="115" t="s">
        <v>32</v>
      </c>
      <c r="C73" s="116" t="str">
        <f t="shared" si="1"/>
        <v>setlist</v>
      </c>
      <c r="D73" s="118" t="s">
        <v>866</v>
      </c>
      <c r="E73" s="118" t="s">
        <v>309</v>
      </c>
      <c r="F73" s="115" t="s">
        <v>129</v>
      </c>
      <c r="G73" s="115" t="s">
        <v>36</v>
      </c>
      <c r="H73" s="116" t="str">
        <f>HYPERLINK("http://www.mediafire.com/download/mc7mnr836622dqa/1993-05-05_-_Palace_Theatre_-_Albany%2C_NY.rar", "download link")</f>
        <v>download link</v>
      </c>
      <c r="I73" s="117" t="s">
        <v>572</v>
      </c>
      <c r="J73" s="118" t="s">
        <v>287</v>
      </c>
    </row>
    <row r="74">
      <c r="A74" s="103">
        <v>34095.0</v>
      </c>
      <c r="B74" s="107" t="s">
        <v>32</v>
      </c>
      <c r="C74" s="105" t="str">
        <f t="shared" si="1"/>
        <v>setlist</v>
      </c>
      <c r="D74" s="106" t="s">
        <v>866</v>
      </c>
      <c r="E74" s="106" t="s">
        <v>309</v>
      </c>
      <c r="F74" s="107" t="s">
        <v>129</v>
      </c>
      <c r="G74" s="107" t="s">
        <v>36</v>
      </c>
      <c r="H74" s="105" t="str">
        <f>HYPERLINK("http://www.mediafire.com/download/tqtqof3tdzicsjc/1993-05-06_-_Palace_Theatre_-_Albany%2C_NY.rar", "download link")</f>
        <v>download link</v>
      </c>
      <c r="I74" s="134" t="s">
        <v>1212</v>
      </c>
      <c r="J74" s="109"/>
    </row>
    <row r="75">
      <c r="A75" s="142">
        <v>34096.0</v>
      </c>
      <c r="B75" s="144"/>
      <c r="C75" s="116" t="str">
        <f t="shared" si="1"/>
        <v>setlist</v>
      </c>
      <c r="D75" s="118" t="s">
        <v>1235</v>
      </c>
      <c r="E75" s="118" t="s">
        <v>1236</v>
      </c>
      <c r="F75" s="115" t="s">
        <v>257</v>
      </c>
      <c r="G75" s="115" t="s">
        <v>36</v>
      </c>
      <c r="H75" s="116" t="str">
        <f>HYPERLINK("http://www.mediafire.com/download/4obnc9ba9baozdx/1993-05-07_-_Bangor_Auditorium_-_Bangor%2C_ME.rar", "download link")</f>
        <v>download link</v>
      </c>
      <c r="I75" s="117" t="s">
        <v>1237</v>
      </c>
      <c r="J75" s="146"/>
    </row>
    <row r="76">
      <c r="A76" s="103">
        <v>34097.0</v>
      </c>
      <c r="B76" s="104"/>
      <c r="C76" s="105" t="str">
        <f t="shared" si="1"/>
        <v>setlist</v>
      </c>
      <c r="D76" s="106" t="s">
        <v>461</v>
      </c>
      <c r="E76" s="106" t="s">
        <v>225</v>
      </c>
      <c r="F76" s="107" t="s">
        <v>182</v>
      </c>
      <c r="G76" s="107" t="s">
        <v>36</v>
      </c>
      <c r="H76" s="105" t="str">
        <f>HYPERLINK("http://www.mediafire.com/download/p94hdjtzadl5fn1/1993-05-08_-_Field_House%2C_University_of_New_Hampshire_-_Durham%2C_NH.rar", "download link")</f>
        <v>download link</v>
      </c>
      <c r="I76" s="134" t="s">
        <v>1238</v>
      </c>
      <c r="J76" s="109"/>
    </row>
    <row r="77">
      <c r="A77" s="142">
        <v>34118.0</v>
      </c>
      <c r="B77" s="144"/>
      <c r="C77" s="116" t="str">
        <f t="shared" si="1"/>
        <v>setlist</v>
      </c>
      <c r="D77" s="118" t="s">
        <v>1239</v>
      </c>
      <c r="E77" s="118" t="s">
        <v>1240</v>
      </c>
      <c r="F77" s="115" t="s">
        <v>679</v>
      </c>
      <c r="G77" s="115" t="s">
        <v>36</v>
      </c>
      <c r="H77" s="116" t="str">
        <f>HYPERLINK("http://www.mediafire.com/download/0xnxciowcdqi8tb/1993-05-29_-_Laguna_Seca_Raceway_-_Monterey%2C_CA.rar", "download link")</f>
        <v>download link</v>
      </c>
      <c r="I77" s="117" t="s">
        <v>1241</v>
      </c>
      <c r="J77" s="146"/>
    </row>
    <row r="78">
      <c r="A78" s="186">
        <v>34119.0</v>
      </c>
      <c r="B78" s="120" t="s">
        <v>32</v>
      </c>
      <c r="C78" s="123" t="str">
        <f t="shared" si="1"/>
        <v>setlist</v>
      </c>
      <c r="D78" s="122" t="s">
        <v>1239</v>
      </c>
      <c r="E78" s="122" t="s">
        <v>1240</v>
      </c>
      <c r="F78" s="120" t="s">
        <v>679</v>
      </c>
      <c r="G78" s="120" t="s">
        <v>36</v>
      </c>
      <c r="H78" s="105" t="str">
        <f>HYPERLINK("http://www.mediafire.com/download/n3l2l8qq4s54a27/1993-05-30_-_Laguna_Seca_Raceway_-_Monterey%2C_CA.rar", "download link")</f>
        <v>download link</v>
      </c>
      <c r="I78" s="137" t="s">
        <v>1242</v>
      </c>
      <c r="J78" s="122" t="s">
        <v>1243</v>
      </c>
    </row>
    <row r="79">
      <c r="A79" s="92"/>
      <c r="B79" s="93"/>
      <c r="C79" s="94"/>
      <c r="D79" s="83" t="s">
        <v>1244</v>
      </c>
      <c r="E79" s="95"/>
      <c r="F79" s="93"/>
      <c r="G79" s="93"/>
      <c r="H79" s="93"/>
      <c r="I79" s="95"/>
      <c r="J79" s="95"/>
    </row>
    <row r="80">
      <c r="A80" s="125">
        <v>34165.0</v>
      </c>
      <c r="B80" s="126"/>
      <c r="C80" s="98" t="str">
        <f t="shared" ref="C80:C112" si="2">HYPERLINK("http://www.phish.net/setlists/?d="&amp;RIGHT(TEXT(A80,"mm/dd/yyyy"),4)&amp;"-"&amp;LEFT(TEXT(A80,"mm/dd/yyyy"),2)&amp;"-"&amp;MID(TEXT(A80,"mm/dd/yyyy"),4,2), "setlist")</f>
        <v>setlist</v>
      </c>
      <c r="D80" s="102" t="s">
        <v>1245</v>
      </c>
      <c r="E80" s="102" t="s">
        <v>1246</v>
      </c>
      <c r="F80" s="127" t="s">
        <v>129</v>
      </c>
      <c r="G80" s="127" t="s">
        <v>36</v>
      </c>
      <c r="H80" s="98" t="str">
        <f>HYPERLINK("http://www.mediafire.com/download/miv2b951cg0gqaa/1993-07-15_-_Cayuga_County_Fairgrounds_-_Weedsport%2C_NY.rar", "download link")</f>
        <v>download link</v>
      </c>
      <c r="I80" s="101" t="s">
        <v>1247</v>
      </c>
      <c r="J80" s="102" t="s">
        <v>287</v>
      </c>
    </row>
    <row r="81">
      <c r="A81" s="103">
        <v>34166.0</v>
      </c>
      <c r="B81" s="107" t="s">
        <v>32</v>
      </c>
      <c r="C81" s="105" t="str">
        <f t="shared" si="2"/>
        <v>setlist</v>
      </c>
      <c r="D81" s="106" t="s">
        <v>1001</v>
      </c>
      <c r="E81" s="106" t="s">
        <v>871</v>
      </c>
      <c r="F81" s="107" t="s">
        <v>212</v>
      </c>
      <c r="G81" s="107" t="s">
        <v>36</v>
      </c>
      <c r="H81" s="105" t="str">
        <f>HYPERLINK("http://www.mediafire.com/download/v23wm4t7z3p6g2g/1993-07-16_-_The_Mann_Center_for_the_Performing_Arts_-_Philadelphia%2C_PA.rar", "download link")</f>
        <v>download link</v>
      </c>
      <c r="I81" s="134" t="s">
        <v>1248</v>
      </c>
      <c r="J81" s="106"/>
    </row>
    <row r="82">
      <c r="A82" s="147">
        <v>34167.0</v>
      </c>
      <c r="B82" s="111"/>
      <c r="C82" s="135" t="str">
        <f t="shared" si="2"/>
        <v>setlist</v>
      </c>
      <c r="D82" s="149" t="s">
        <v>1249</v>
      </c>
      <c r="E82" s="149" t="s">
        <v>1250</v>
      </c>
      <c r="F82" s="148" t="s">
        <v>446</v>
      </c>
      <c r="G82" s="148" t="s">
        <v>36</v>
      </c>
      <c r="H82" s="116" t="str">
        <f>HYPERLINK("http://www.mediafire.com/download/da6a3iuq0rq8f79/1993-07-17_-_The_Filene_Center_at_Wolf_Trap_-_Vienna%2C_VA.rar", "download link")</f>
        <v>download link</v>
      </c>
      <c r="I82" s="136" t="s">
        <v>1251</v>
      </c>
      <c r="J82" s="80"/>
    </row>
    <row r="83">
      <c r="A83" s="103">
        <v>34168.0</v>
      </c>
      <c r="B83" s="104"/>
      <c r="C83" s="105" t="str">
        <f t="shared" si="2"/>
        <v>setlist</v>
      </c>
      <c r="D83" s="106" t="s">
        <v>1252</v>
      </c>
      <c r="E83" s="106" t="s">
        <v>1073</v>
      </c>
      <c r="F83" s="107" t="s">
        <v>212</v>
      </c>
      <c r="G83" s="107" t="s">
        <v>36</v>
      </c>
      <c r="H83" s="105" t="str">
        <f>HYPERLINK("http://www.mediafire.com/download/73ba74sb79zmgj0/1993-07-18_-_IC_Light_Amphitheater_-_Pittsburgh%2C_PA.rar", "download link")</f>
        <v>download link</v>
      </c>
      <c r="I83" s="134" t="s">
        <v>1253</v>
      </c>
      <c r="J83" s="106" t="s">
        <v>287</v>
      </c>
    </row>
    <row r="84">
      <c r="A84" s="110">
        <v>34171.0</v>
      </c>
      <c r="B84" s="111"/>
      <c r="C84" s="135" t="str">
        <f t="shared" si="2"/>
        <v>setlist</v>
      </c>
      <c r="D84" s="113" t="s">
        <v>1254</v>
      </c>
      <c r="E84" s="113" t="s">
        <v>560</v>
      </c>
      <c r="F84" s="114" t="s">
        <v>129</v>
      </c>
      <c r="G84" s="114" t="s">
        <v>36</v>
      </c>
      <c r="H84" s="116" t="str">
        <f>HYPERLINK("http://www.mediafire.com/download/4jl821edmd6hgth/1993-07-21_-_Orange_County_Fairgrounds_-_Middletown%2C_NY.rar", "download link")</f>
        <v>download link</v>
      </c>
      <c r="I84" s="136" t="s">
        <v>1255</v>
      </c>
      <c r="J84" s="80"/>
    </row>
    <row r="85">
      <c r="A85" s="103">
        <v>34172.0</v>
      </c>
      <c r="B85" s="104"/>
      <c r="C85" s="105" t="str">
        <f t="shared" si="2"/>
        <v>setlist</v>
      </c>
      <c r="D85" s="106" t="s">
        <v>1010</v>
      </c>
      <c r="E85" s="106" t="s">
        <v>1011</v>
      </c>
      <c r="F85" s="107" t="s">
        <v>35</v>
      </c>
      <c r="G85" s="107" t="s">
        <v>36</v>
      </c>
      <c r="H85" s="105" t="str">
        <f>HYPERLINK("http://www.mediafire.com/download/3kcyavz6j6n8m5l/1993-07-22_-_Stowe_Performing_Arts_Center_-_Stowe%2C_VT.rar", "download link")</f>
        <v>download link</v>
      </c>
      <c r="I85" s="134" t="s">
        <v>1256</v>
      </c>
      <c r="J85" s="109"/>
    </row>
    <row r="86">
      <c r="A86" s="110">
        <v>34173.0</v>
      </c>
      <c r="B86" s="114" t="s">
        <v>32</v>
      </c>
      <c r="C86" s="135" t="str">
        <f t="shared" si="2"/>
        <v>setlist</v>
      </c>
      <c r="D86" s="113" t="s">
        <v>993</v>
      </c>
      <c r="E86" s="113" t="s">
        <v>994</v>
      </c>
      <c r="F86" s="114" t="s">
        <v>129</v>
      </c>
      <c r="G86" s="114" t="s">
        <v>36</v>
      </c>
      <c r="H86" s="116" t="str">
        <f>HYPERLINK("http://www.mediafire.com/download/mwcbc2z058kcrkq/1993-07-23_-_Jones_Beach_Amphitheater_-_Wantagh%2C_NY.rar", "download link")</f>
        <v>download link</v>
      </c>
      <c r="I86" s="136" t="s">
        <v>140</v>
      </c>
      <c r="J86" s="80"/>
    </row>
    <row r="87">
      <c r="A87" s="103">
        <v>34174.0</v>
      </c>
      <c r="B87" s="104"/>
      <c r="C87" s="105" t="str">
        <f t="shared" si="2"/>
        <v>setlist</v>
      </c>
      <c r="D87" s="106" t="s">
        <v>1003</v>
      </c>
      <c r="E87" s="106" t="s">
        <v>1004</v>
      </c>
      <c r="F87" s="107" t="s">
        <v>95</v>
      </c>
      <c r="G87" s="107" t="s">
        <v>36</v>
      </c>
      <c r="H87" s="105" t="str">
        <f>HYPERLINK("http://www.mediafire.com/download/09f6i5lmj4hchn2/1993-07-24_-_Great_Woods_Center_for_the_Performing_Arts_-_Mansfield%2C_MA.rar", "download link")</f>
        <v>download link</v>
      </c>
      <c r="I87" s="134" t="s">
        <v>1257</v>
      </c>
      <c r="J87" s="109"/>
    </row>
    <row r="88">
      <c r="A88" s="110">
        <v>34175.0</v>
      </c>
      <c r="B88" s="114" t="s">
        <v>32</v>
      </c>
      <c r="C88" s="135" t="str">
        <f t="shared" si="2"/>
        <v>setlist</v>
      </c>
      <c r="D88" s="113" t="s">
        <v>1258</v>
      </c>
      <c r="E88" s="113" t="s">
        <v>1259</v>
      </c>
      <c r="F88" s="114" t="s">
        <v>43</v>
      </c>
      <c r="G88" s="114" t="s">
        <v>36</v>
      </c>
      <c r="H88" s="116" t="str">
        <f>HYPERLINK("http://www.mediafire.com/download/ned7zqj6r4x67hr/1993-07-25_-_Waterloo_Village_-_Stanhope%2C_NJ.rar", "download link")</f>
        <v>download link</v>
      </c>
      <c r="I88" s="136" t="s">
        <v>1260</v>
      </c>
      <c r="J88" s="80"/>
    </row>
    <row r="89">
      <c r="A89" s="103">
        <v>34177.0</v>
      </c>
      <c r="B89" s="104"/>
      <c r="C89" s="105" t="str">
        <f t="shared" si="2"/>
        <v>setlist</v>
      </c>
      <c r="D89" s="106" t="s">
        <v>1261</v>
      </c>
      <c r="E89" s="106" t="s">
        <v>445</v>
      </c>
      <c r="F89" s="107" t="s">
        <v>446</v>
      </c>
      <c r="G89" s="107" t="s">
        <v>36</v>
      </c>
      <c r="H89" s="105" t="str">
        <f>HYPERLINK("http://www.mediafire.com/download/14j01utviy1ils4/1993-07-27_-_Classic_Amphitheater_-_Richmond%2C_VA.rar", "download link")</f>
        <v>download link</v>
      </c>
      <c r="I89" s="134" t="s">
        <v>1262</v>
      </c>
      <c r="J89" s="109"/>
    </row>
    <row r="90">
      <c r="A90" s="110">
        <v>34178.0</v>
      </c>
      <c r="B90" s="111"/>
      <c r="C90" s="135" t="str">
        <f t="shared" si="2"/>
        <v>setlist</v>
      </c>
      <c r="D90" s="113" t="s">
        <v>1263</v>
      </c>
      <c r="E90" s="113" t="s">
        <v>541</v>
      </c>
      <c r="F90" s="114" t="s">
        <v>443</v>
      </c>
      <c r="G90" s="114" t="s">
        <v>36</v>
      </c>
      <c r="H90" s="116" t="str">
        <f>HYPERLINK("http://www.mediafire.com/download/c05cfc775t1tnto/1993-07-28_-_Grady_Cole_Center_-_Charlotte%2C_NC.rar", "download link")</f>
        <v>download link</v>
      </c>
      <c r="I90" s="136" t="s">
        <v>1264</v>
      </c>
      <c r="J90" s="80"/>
    </row>
    <row r="91">
      <c r="A91" s="103">
        <v>34179.0</v>
      </c>
      <c r="B91" s="104"/>
      <c r="C91" s="105" t="str">
        <f t="shared" si="2"/>
        <v>setlist</v>
      </c>
      <c r="D91" s="106" t="s">
        <v>1265</v>
      </c>
      <c r="E91" s="106" t="s">
        <v>649</v>
      </c>
      <c r="F91" s="107" t="s">
        <v>650</v>
      </c>
      <c r="G91" s="107" t="s">
        <v>36</v>
      </c>
      <c r="H91" s="105" t="str">
        <f>HYPERLINK("http://www.mediafire.com/download/c63dc1bbzz75vpg/1993-07-29_-_Tennessee_Theatre_-_Knoxville%2C_TN.rar", "download link")</f>
        <v>download link</v>
      </c>
      <c r="I91" s="134" t="s">
        <v>1266</v>
      </c>
      <c r="J91" s="109"/>
    </row>
    <row r="92">
      <c r="A92" s="142">
        <v>34180.0</v>
      </c>
      <c r="B92" s="144"/>
      <c r="C92" s="135" t="str">
        <f t="shared" si="2"/>
        <v>setlist</v>
      </c>
      <c r="D92" s="118" t="s">
        <v>1267</v>
      </c>
      <c r="E92" s="118" t="s">
        <v>1268</v>
      </c>
      <c r="F92" s="115" t="s">
        <v>650</v>
      </c>
      <c r="G92" s="115" t="s">
        <v>36</v>
      </c>
      <c r="H92" s="116" t="str">
        <f>HYPERLINK("http://www.mediafire.com/download/zondfuit1mh8q4p/1993-07-30_-_The_Veranda_at_Starwood_-_Antioch%2C_TN.rar", "download link")</f>
        <v>download link</v>
      </c>
      <c r="I92" s="117" t="s">
        <v>1269</v>
      </c>
      <c r="J92" s="146"/>
    </row>
    <row r="93">
      <c r="A93" s="103">
        <v>34181.0</v>
      </c>
      <c r="B93" s="104"/>
      <c r="C93" s="105" t="str">
        <f t="shared" si="2"/>
        <v>setlist</v>
      </c>
      <c r="D93" s="106" t="s">
        <v>1270</v>
      </c>
      <c r="E93" s="106" t="s">
        <v>437</v>
      </c>
      <c r="F93" s="107" t="s">
        <v>433</v>
      </c>
      <c r="G93" s="107" t="s">
        <v>36</v>
      </c>
      <c r="H93" s="105" t="str">
        <f>HYPERLINK("http://www.mediafire.com/download/9pkl689kavebrsn/1993-07-31_-_Masquerade_Music_Park_-_Atlanta%2C_GA.rar", "download link")</f>
        <v>download link</v>
      </c>
      <c r="I93" s="134" t="s">
        <v>1271</v>
      </c>
      <c r="J93" s="109"/>
    </row>
    <row r="94">
      <c r="A94" s="110">
        <v>34183.0</v>
      </c>
      <c r="B94" s="111"/>
      <c r="C94" s="135" t="str">
        <f t="shared" si="2"/>
        <v>setlist</v>
      </c>
      <c r="D94" s="113" t="s">
        <v>1140</v>
      </c>
      <c r="E94" s="113" t="s">
        <v>1141</v>
      </c>
      <c r="F94" s="114" t="s">
        <v>1133</v>
      </c>
      <c r="G94" s="114" t="s">
        <v>36</v>
      </c>
      <c r="H94" s="135" t="str">
        <f>HYPERLINK("http://www.mediafire.com/download/tli1pj4ub6gqv5v/1993-08-02_-_Ritz_Theatre_-_Tampa%2C_FL.rar", "download link")</f>
        <v>download link</v>
      </c>
      <c r="I94" s="136" t="s">
        <v>1272</v>
      </c>
      <c r="J94" s="80"/>
    </row>
    <row r="95">
      <c r="A95" s="103">
        <v>34184.0</v>
      </c>
      <c r="B95" s="104"/>
      <c r="C95" s="105" t="str">
        <f t="shared" si="2"/>
        <v>setlist</v>
      </c>
      <c r="D95" s="106" t="s">
        <v>1273</v>
      </c>
      <c r="E95" s="106" t="s">
        <v>1274</v>
      </c>
      <c r="F95" s="107" t="s">
        <v>1133</v>
      </c>
      <c r="G95" s="107" t="s">
        <v>36</v>
      </c>
      <c r="H95" s="105" t="str">
        <f>HYPERLINK("http://www.mediafire.com/download/k82pk6276izkqvm/1993-08-03_-_Bayfront_Park_Amphitheater_-_Miami%2C_FL.rar", "download link")</f>
        <v>download link</v>
      </c>
      <c r="I95" s="134" t="s">
        <v>1275</v>
      </c>
      <c r="J95" s="109"/>
    </row>
    <row r="96">
      <c r="A96" s="110">
        <v>34187.0</v>
      </c>
      <c r="B96" s="114" t="s">
        <v>32</v>
      </c>
      <c r="C96" s="135" t="str">
        <f t="shared" si="2"/>
        <v>setlist</v>
      </c>
      <c r="D96" s="113" t="s">
        <v>1276</v>
      </c>
      <c r="E96" s="113" t="s">
        <v>943</v>
      </c>
      <c r="F96" s="114" t="s">
        <v>472</v>
      </c>
      <c r="G96" s="114" t="s">
        <v>36</v>
      </c>
      <c r="H96" s="135" t="str">
        <f>HYPERLINK("http://www.mediafire.com/download/8n3wa6y5qdq3cnx/1993-08-06_-_Cincinnati_Zoo_Peacock_Pavilion_-_Cincinnati%2C_OH.rar", "download link")</f>
        <v>download link</v>
      </c>
      <c r="I96" s="136" t="s">
        <v>1277</v>
      </c>
      <c r="J96" s="113"/>
    </row>
    <row r="97">
      <c r="A97" s="103">
        <v>34188.0</v>
      </c>
      <c r="B97" s="104"/>
      <c r="C97" s="105" t="str">
        <f t="shared" si="2"/>
        <v>setlist</v>
      </c>
      <c r="D97" s="106" t="s">
        <v>1278</v>
      </c>
      <c r="E97" s="106" t="s">
        <v>1279</v>
      </c>
      <c r="F97" s="107" t="s">
        <v>129</v>
      </c>
      <c r="G97" s="107" t="s">
        <v>36</v>
      </c>
      <c r="H97" s="105" t="str">
        <f>HYPERLINK("http://www.mediafire.com/download/z7uktlilsad64o3/1993-08-07_-_Darien_Lake_Performing_Arts_Center_-_Darien_Center%2C_NY.rar", "download link")</f>
        <v>download link</v>
      </c>
      <c r="I97" s="134" t="s">
        <v>1280</v>
      </c>
      <c r="J97" s="109"/>
    </row>
    <row r="98">
      <c r="A98" s="110">
        <v>34189.0</v>
      </c>
      <c r="B98" s="111"/>
      <c r="C98" s="135" t="str">
        <f t="shared" si="2"/>
        <v>setlist</v>
      </c>
      <c r="D98" s="113" t="s">
        <v>1281</v>
      </c>
      <c r="E98" s="113" t="s">
        <v>773</v>
      </c>
      <c r="F98" s="114" t="s">
        <v>472</v>
      </c>
      <c r="G98" s="114" t="s">
        <v>36</v>
      </c>
      <c r="H98" s="135" t="str">
        <f>HYPERLINK("http://www.mediafire.com/download/3lsk7krd12gncls/1993-08-08_-_Nautica_Stage_-_Cleveland%2C_OH.rar", "download link")</f>
        <v>download link</v>
      </c>
      <c r="I98" s="136" t="s">
        <v>1282</v>
      </c>
      <c r="J98" s="80"/>
    </row>
    <row r="99">
      <c r="A99" s="103">
        <v>34190.0</v>
      </c>
      <c r="B99" s="104"/>
      <c r="C99" s="105" t="str">
        <f t="shared" si="2"/>
        <v>setlist</v>
      </c>
      <c r="D99" s="106" t="s">
        <v>1222</v>
      </c>
      <c r="E99" s="106" t="s">
        <v>1090</v>
      </c>
      <c r="F99" s="107" t="s">
        <v>1091</v>
      </c>
      <c r="G99" s="107" t="s">
        <v>36</v>
      </c>
      <c r="H99" s="105" t="str">
        <f>HYPERLINK("http://www.mediafire.com/download/5x4hpvyhd9u7nga/1993-08-09_-_Concert_Hall_-_Toronto%2C_Ontario%2C_Canada.rar", "download link")</f>
        <v>download link</v>
      </c>
      <c r="I99" s="134" t="s">
        <v>1283</v>
      </c>
      <c r="J99" s="109"/>
    </row>
    <row r="100">
      <c r="A100" s="110">
        <v>34192.0</v>
      </c>
      <c r="B100" s="111"/>
      <c r="C100" s="135" t="str">
        <f t="shared" si="2"/>
        <v>setlist</v>
      </c>
      <c r="D100" s="113" t="s">
        <v>1284</v>
      </c>
      <c r="E100" s="113" t="s">
        <v>1285</v>
      </c>
      <c r="F100" s="114" t="s">
        <v>712</v>
      </c>
      <c r="G100" s="114" t="s">
        <v>36</v>
      </c>
      <c r="H100" s="135" t="str">
        <f>HYPERLINK("http://www.mediafire.com/download/63krn9d3s04yyr7/1993-08-11_-_Eastbrook_Theatre_-_Grand_Rapids%2C_MI.rar", "download link")</f>
        <v>download link</v>
      </c>
      <c r="I100" s="136" t="s">
        <v>1286</v>
      </c>
      <c r="J100" s="80"/>
    </row>
    <row r="101">
      <c r="A101" s="103">
        <v>34193.0</v>
      </c>
      <c r="B101" s="104"/>
      <c r="C101" s="105" t="str">
        <f t="shared" si="2"/>
        <v>setlist</v>
      </c>
      <c r="D101" s="106" t="s">
        <v>1020</v>
      </c>
      <c r="E101" s="106" t="s">
        <v>1021</v>
      </c>
      <c r="F101" s="107" t="s">
        <v>712</v>
      </c>
      <c r="G101" s="107" t="s">
        <v>36</v>
      </c>
      <c r="H101" s="105" t="str">
        <f>HYPERLINK("http://www.mediafire.com/download/p3ygkb9brc99289/1993-08-12_-_Meadow_Brook_Music_Festival_-_Rochester_Hills%2C_MI.rar", "download link")</f>
        <v>download link</v>
      </c>
      <c r="I101" s="134" t="s">
        <v>1287</v>
      </c>
      <c r="J101" s="109"/>
    </row>
    <row r="102">
      <c r="A102" s="110">
        <v>34194.0</v>
      </c>
      <c r="B102" s="111"/>
      <c r="C102" s="135" t="str">
        <f t="shared" si="2"/>
        <v>setlist</v>
      </c>
      <c r="D102" s="113" t="s">
        <v>1288</v>
      </c>
      <c r="E102" s="113" t="s">
        <v>1289</v>
      </c>
      <c r="F102" s="114" t="s">
        <v>508</v>
      </c>
      <c r="G102" s="114" t="s">
        <v>36</v>
      </c>
      <c r="H102" s="135" t="str">
        <f>HYPERLINK("http://www.mediafire.com/download/qkhv6q4jcvl3hr1/1993-08-13_-_Murat_Theatre_-_Indianapolis%2C_IN.rar", "download link")</f>
        <v>download link</v>
      </c>
      <c r="I102" s="136" t="s">
        <v>1290</v>
      </c>
      <c r="J102" s="80"/>
    </row>
    <row r="103">
      <c r="A103" s="103">
        <v>34195.0</v>
      </c>
      <c r="B103" s="104"/>
      <c r="C103" s="105" t="str">
        <f t="shared" si="2"/>
        <v>setlist</v>
      </c>
      <c r="D103" s="106" t="s">
        <v>1291</v>
      </c>
      <c r="E103" s="106" t="s">
        <v>1292</v>
      </c>
      <c r="F103" s="107" t="s">
        <v>480</v>
      </c>
      <c r="G103" s="107" t="s">
        <v>36</v>
      </c>
      <c r="H103" s="105" t="str">
        <f>HYPERLINK("http://www.mediafire.com/download/8shp91r0o2k298s/1993-08-14_-_World_Music_Theatre_-_Tinley_Park%2C_IL.rar", "download link")</f>
        <v>download link</v>
      </c>
      <c r="I103" s="134" t="s">
        <v>1293</v>
      </c>
      <c r="J103" s="109"/>
    </row>
    <row r="104">
      <c r="A104" s="110">
        <v>34196.0</v>
      </c>
      <c r="B104" s="111"/>
      <c r="C104" s="135" t="str">
        <f t="shared" si="2"/>
        <v>setlist</v>
      </c>
      <c r="D104" s="113" t="s">
        <v>1208</v>
      </c>
      <c r="E104" s="113" t="s">
        <v>1209</v>
      </c>
      <c r="F104" s="114" t="s">
        <v>1210</v>
      </c>
      <c r="G104" s="114" t="s">
        <v>36</v>
      </c>
      <c r="H104" s="135" t="str">
        <f>HYPERLINK("http://www.mediafire.com/download/9zmqi7dvl48i454/1993-08-15_-_The_Macauley_Theater_-_Louisville%2C_KY.rar", "download link")</f>
        <v>download link</v>
      </c>
      <c r="I104" s="136" t="s">
        <v>1294</v>
      </c>
      <c r="J104" s="80"/>
    </row>
    <row r="105">
      <c r="A105" s="103">
        <v>34197.0</v>
      </c>
      <c r="B105" s="104"/>
      <c r="C105" s="105" t="str">
        <f t="shared" si="2"/>
        <v>setlist</v>
      </c>
      <c r="D105" s="106" t="s">
        <v>1206</v>
      </c>
      <c r="E105" s="106" t="s">
        <v>885</v>
      </c>
      <c r="F105" s="107" t="s">
        <v>886</v>
      </c>
      <c r="G105" s="107" t="s">
        <v>36</v>
      </c>
      <c r="H105" s="105" t="str">
        <f>HYPERLINK("http://www.mediafire.com/download/drus766fyq6736f/1993-08-16_-_American_Theater_-_St._Louis%2C_MO.rar", "download link")</f>
        <v>download link</v>
      </c>
      <c r="I105" s="134" t="s">
        <v>1295</v>
      </c>
      <c r="J105" s="109"/>
    </row>
    <row r="106">
      <c r="A106" s="110">
        <v>34198.0</v>
      </c>
      <c r="B106" s="111"/>
      <c r="C106" s="135" t="str">
        <f t="shared" si="2"/>
        <v>setlist</v>
      </c>
      <c r="D106" s="113" t="s">
        <v>1203</v>
      </c>
      <c r="E106" s="113" t="s">
        <v>1204</v>
      </c>
      <c r="F106" s="114" t="s">
        <v>892</v>
      </c>
      <c r="G106" s="114" t="s">
        <v>36</v>
      </c>
      <c r="H106" s="135" t="str">
        <f>HYPERLINK("http://www.mediafire.com/download/ifqggos7xitrru5/1993-08-17_-_Memorial_Hall_-_Kansas_City%2C_MO.rar", "download link")</f>
        <v>download link</v>
      </c>
      <c r="I106" s="136" t="s">
        <v>1296</v>
      </c>
      <c r="J106" s="113" t="s">
        <v>287</v>
      </c>
    </row>
    <row r="107">
      <c r="A107" s="130">
        <v>34201.0</v>
      </c>
      <c r="B107" s="133" t="s">
        <v>32</v>
      </c>
      <c r="C107" s="105" t="str">
        <f t="shared" si="2"/>
        <v>setlist</v>
      </c>
      <c r="D107" s="132" t="s">
        <v>1297</v>
      </c>
      <c r="E107" s="132" t="s">
        <v>1298</v>
      </c>
      <c r="F107" s="133" t="s">
        <v>203</v>
      </c>
      <c r="G107" s="133" t="s">
        <v>36</v>
      </c>
      <c r="H107" s="105" t="str">
        <f>HYPERLINK("http://www.mediafire.com/download/hh4346i288x3j34/1993-08-20_-_Red_Rocks_Amphitheatre_-_Morrison%2C_CO.rar", "download link")</f>
        <v>download link</v>
      </c>
      <c r="I107" s="134" t="s">
        <v>1299</v>
      </c>
      <c r="J107" s="109"/>
    </row>
    <row r="108">
      <c r="A108" s="110">
        <v>34202.0</v>
      </c>
      <c r="B108" s="111"/>
      <c r="C108" s="135" t="str">
        <f t="shared" si="2"/>
        <v>setlist</v>
      </c>
      <c r="D108" s="113" t="s">
        <v>1300</v>
      </c>
      <c r="E108" s="113" t="s">
        <v>1301</v>
      </c>
      <c r="F108" s="114" t="s">
        <v>1302</v>
      </c>
      <c r="G108" s="114" t="s">
        <v>36</v>
      </c>
      <c r="H108" s="135" t="str">
        <f>HYPERLINK("http://www.mediafire.com/download/ulyy0tdggbzhhad/1993-08-21_-_Saltair_Pavilion_-_Salt_Lake_City%2C_UT.rar", "download link")</f>
        <v>download link</v>
      </c>
      <c r="I108" s="136" t="s">
        <v>1303</v>
      </c>
      <c r="J108" s="80"/>
    </row>
    <row r="109">
      <c r="A109" s="103">
        <v>34205.0</v>
      </c>
      <c r="B109" s="107" t="s">
        <v>32</v>
      </c>
      <c r="C109" s="105" t="str">
        <f t="shared" si="2"/>
        <v>setlist</v>
      </c>
      <c r="D109" s="106" t="s">
        <v>1304</v>
      </c>
      <c r="E109" s="106" t="s">
        <v>1188</v>
      </c>
      <c r="F109" s="107" t="s">
        <v>1189</v>
      </c>
      <c r="G109" s="107" t="s">
        <v>36</v>
      </c>
      <c r="H109" s="105" t="str">
        <f>HYPERLINK("http://www.mediafire.com/download/vrlw6bdbma7um7u/1993-08-24_-_Commodore_Ballroom_-_Vancouver%2C_British_Columbia%2C_Canada.rar", "download link")</f>
        <v>download link</v>
      </c>
      <c r="I109" s="134" t="s">
        <v>1305</v>
      </c>
      <c r="J109" s="106" t="s">
        <v>1195</v>
      </c>
    </row>
    <row r="110">
      <c r="A110" s="110">
        <v>34206.0</v>
      </c>
      <c r="B110" s="111"/>
      <c r="C110" s="135" t="str">
        <f t="shared" si="2"/>
        <v>setlist</v>
      </c>
      <c r="D110" s="113" t="s">
        <v>1306</v>
      </c>
      <c r="E110" s="113" t="s">
        <v>791</v>
      </c>
      <c r="F110" s="114" t="s">
        <v>701</v>
      </c>
      <c r="G110" s="114" t="s">
        <v>36</v>
      </c>
      <c r="H110" s="135" t="str">
        <f>HYPERLINK("http://www.mediafire.com/download/1waemc5wcyt35f1/1993-08-25_-_Paramount_Theatre_-_Seattle%2C_WA.rar", "download link")</f>
        <v>download link</v>
      </c>
      <c r="I110" s="136" t="s">
        <v>1307</v>
      </c>
      <c r="J110" s="80"/>
    </row>
    <row r="111">
      <c r="A111" s="103">
        <v>34207.0</v>
      </c>
      <c r="B111" s="104"/>
      <c r="C111" s="105" t="str">
        <f t="shared" si="2"/>
        <v>setlist</v>
      </c>
      <c r="D111" s="106" t="s">
        <v>1308</v>
      </c>
      <c r="E111" s="106" t="s">
        <v>279</v>
      </c>
      <c r="F111" s="107" t="s">
        <v>692</v>
      </c>
      <c r="G111" s="107" t="s">
        <v>36</v>
      </c>
      <c r="H111" s="105" t="str">
        <f>HYPERLINK("http://www.mediafire.com/download/nk26012c23jbtrg/1993-08-26_-_Arlene_Schnitzer_Concert_Hall_-_Portland%2C_OR.rar", "download link")</f>
        <v>download link</v>
      </c>
      <c r="I111" s="134" t="s">
        <v>1192</v>
      </c>
      <c r="J111" s="109"/>
    </row>
    <row r="112">
      <c r="A112" s="202">
        <v>34209.0</v>
      </c>
      <c r="B112" s="205" t="s">
        <v>32</v>
      </c>
      <c r="C112" s="203" t="str">
        <f t="shared" si="2"/>
        <v>setlist</v>
      </c>
      <c r="D112" s="206" t="s">
        <v>1309</v>
      </c>
      <c r="E112" s="204" t="s">
        <v>686</v>
      </c>
      <c r="F112" s="205" t="s">
        <v>679</v>
      </c>
      <c r="G112" s="205" t="s">
        <v>36</v>
      </c>
      <c r="H112" s="135" t="str">
        <f>HYPERLINK("http://www.mediafire.com/download/sukbalb2dx7dyp1/1993-08-28_-_William_Randolph_Hearst_Greek_Theatre_-_Berkeley%2C_CA.rar", "download link")</f>
        <v>download link</v>
      </c>
      <c r="I112" s="206" t="s">
        <v>205</v>
      </c>
      <c r="J112" s="82"/>
    </row>
    <row r="113">
      <c r="A113" s="92"/>
      <c r="B113" s="93"/>
      <c r="C113" s="94"/>
      <c r="D113" s="83" t="s">
        <v>1310</v>
      </c>
      <c r="E113" s="95"/>
      <c r="F113" s="93"/>
      <c r="G113" s="93"/>
      <c r="H113" s="93"/>
      <c r="I113" s="95"/>
      <c r="J113" s="95"/>
    </row>
    <row r="114">
      <c r="A114" s="125">
        <v>34331.0</v>
      </c>
      <c r="B114" s="126"/>
      <c r="C114" s="98" t="str">
        <f t="shared" ref="C114:C117" si="3">HYPERLINK("http://www.phish.net/setlists/?d="&amp;RIGHT(TEXT(A114,"mm/dd/yyyy"),4)&amp;"-"&amp;LEFT(TEXT(A114,"mm/dd/yyyy"),2)&amp;"-"&amp;MID(TEXT(A114,"mm/dd/yyyy"),4,2), "setlist")</f>
        <v>setlist</v>
      </c>
      <c r="D114" s="102" t="s">
        <v>1311</v>
      </c>
      <c r="E114" s="102" t="s">
        <v>393</v>
      </c>
      <c r="F114" s="127" t="s">
        <v>394</v>
      </c>
      <c r="G114" s="127" t="s">
        <v>36</v>
      </c>
      <c r="H114" s="98" t="str">
        <f>HYPERLINK("http://www.mediafire.com/download/egmc12wf12bqagq/1993-12-28_-_Bender_Arena%2C_American_University_-_Washington%2C_DC.rar", "download link")</f>
        <v>download link</v>
      </c>
      <c r="I114" s="101" t="s">
        <v>1113</v>
      </c>
      <c r="J114" s="102" t="s">
        <v>784</v>
      </c>
    </row>
    <row r="115">
      <c r="A115" s="103">
        <v>34332.0</v>
      </c>
      <c r="B115" s="104"/>
      <c r="C115" s="105" t="str">
        <f t="shared" si="3"/>
        <v>setlist</v>
      </c>
      <c r="D115" s="106" t="s">
        <v>1312</v>
      </c>
      <c r="E115" s="106" t="s">
        <v>459</v>
      </c>
      <c r="F115" s="107" t="s">
        <v>171</v>
      </c>
      <c r="G115" s="107" t="s">
        <v>36</v>
      </c>
      <c r="H115" s="105" t="str">
        <f>HYPERLINK("http://www.mediafire.com/download/9wga1fp71ede6yx/1993-12-29_-_New_Haven_Veterans_Memorial_Coliseum_-_New_Haven%2C_CT.rar", "download link")</f>
        <v>download link</v>
      </c>
      <c r="I115" s="134" t="s">
        <v>1313</v>
      </c>
      <c r="J115" s="109"/>
    </row>
    <row r="116">
      <c r="A116" s="110">
        <v>34333.0</v>
      </c>
      <c r="B116" s="114" t="s">
        <v>32</v>
      </c>
      <c r="C116" s="135" t="str">
        <f t="shared" si="3"/>
        <v>setlist</v>
      </c>
      <c r="D116" s="113" t="s">
        <v>988</v>
      </c>
      <c r="E116" s="113" t="s">
        <v>279</v>
      </c>
      <c r="F116" s="114" t="s">
        <v>257</v>
      </c>
      <c r="G116" s="114" t="s">
        <v>36</v>
      </c>
      <c r="H116" s="135" t="str">
        <f>HYPERLINK("http://www.mediafire.com/download/d17dij1hvnk3ijv/1993-12-30_-_Cumberland_County_Civic_Center_-_Portland%2C_ME.rar", "download link")</f>
        <v>download link</v>
      </c>
      <c r="I116" s="136" t="s">
        <v>1314</v>
      </c>
      <c r="J116" s="80"/>
    </row>
    <row r="117">
      <c r="A117" s="103">
        <v>34334.0</v>
      </c>
      <c r="B117" s="107" t="s">
        <v>32</v>
      </c>
      <c r="C117" s="105" t="str">
        <f t="shared" si="3"/>
        <v>setlist</v>
      </c>
      <c r="D117" s="106" t="s">
        <v>1315</v>
      </c>
      <c r="E117" s="106" t="s">
        <v>417</v>
      </c>
      <c r="F117" s="107" t="s">
        <v>95</v>
      </c>
      <c r="G117" s="107" t="s">
        <v>36</v>
      </c>
      <c r="H117" s="105" t="str">
        <f>HYPERLINK("http://www.mediafire.com/download/59nk1aiee4f79vo/1993-12-31_-_Worcester_Centrum_Centre_-_Worcester%2C_MA.rar", "download link")</f>
        <v>download link</v>
      </c>
      <c r="I117" s="134" t="s">
        <v>1316</v>
      </c>
      <c r="J117" s="109"/>
    </row>
  </sheetData>
  <drawing r:id="rId1"/>
</worksheet>
</file>