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orh\OneDrive - The Ohio State University\Fantasy Football\Rookie Ranking\2020 Rookies\"/>
    </mc:Choice>
  </mc:AlternateContent>
  <xr:revisionPtr revIDLastSave="0" documentId="13_ncr:1_{8B9A7A2F-3521-4CF6-9080-E7DB7F52D380}" xr6:coauthVersionLast="47" xr6:coauthVersionMax="47" xr10:uidLastSave="{00000000-0000-0000-0000-000000000000}"/>
  <bookViews>
    <workbookView xWindow="10148" yWindow="-98" windowWidth="19395" windowHeight="11596" activeTab="2" xr2:uid="{039B20E9-F581-4683-903F-646ADA475269}"/>
  </bookViews>
  <sheets>
    <sheet name="Quarterbacks" sheetId="1" r:id="rId1"/>
    <sheet name="Running Backs" sheetId="2" r:id="rId2"/>
    <sheet name="Wide Receiv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" i="3" l="1"/>
  <c r="S7" i="3"/>
  <c r="S5" i="3"/>
  <c r="S4" i="3"/>
  <c r="V4" i="3" l="1"/>
  <c r="R4" i="3"/>
  <c r="Q4" i="3"/>
  <c r="P4" i="3"/>
  <c r="O4" i="3"/>
  <c r="H4" i="3"/>
  <c r="AB4" i="3"/>
  <c r="U4" i="3"/>
  <c r="AA4" i="3"/>
  <c r="AB12" i="3"/>
  <c r="AB16" i="3"/>
  <c r="AB14" i="3"/>
  <c r="AB2" i="3"/>
  <c r="AB3" i="3"/>
  <c r="AB21" i="3"/>
  <c r="AB11" i="3"/>
  <c r="AB20" i="3"/>
  <c r="AB7" i="3"/>
  <c r="AB6" i="3"/>
  <c r="AB17" i="3"/>
  <c r="AB15" i="3"/>
  <c r="AB19" i="3"/>
  <c r="AB5" i="3"/>
  <c r="AB9" i="3"/>
  <c r="AB10" i="3"/>
  <c r="AB8" i="3"/>
  <c r="AB18" i="3"/>
  <c r="AA12" i="3"/>
  <c r="AA16" i="3"/>
  <c r="AA14" i="3"/>
  <c r="AA2" i="3"/>
  <c r="AA3" i="3"/>
  <c r="AA21" i="3"/>
  <c r="AA11" i="3"/>
  <c r="AA20" i="3"/>
  <c r="AA7" i="3"/>
  <c r="AA6" i="3"/>
  <c r="AA17" i="3"/>
  <c r="AA15" i="3"/>
  <c r="AA19" i="3"/>
  <c r="AA5" i="3"/>
  <c r="AA9" i="3"/>
  <c r="AA10" i="3"/>
  <c r="AA8" i="3"/>
  <c r="AA18" i="3"/>
  <c r="AB13" i="3"/>
  <c r="AA13" i="3"/>
  <c r="AE3" i="2"/>
  <c r="AE4" i="2"/>
  <c r="AE5" i="2"/>
  <c r="AE6" i="2"/>
  <c r="AE7" i="2"/>
  <c r="AE8" i="2"/>
  <c r="AE9" i="2"/>
  <c r="AE10" i="2"/>
  <c r="AE11" i="2"/>
  <c r="AE12" i="2"/>
  <c r="AE2" i="2"/>
  <c r="AD3" i="2"/>
  <c r="AD4" i="2"/>
  <c r="AD5" i="2"/>
  <c r="AD6" i="2"/>
  <c r="AD7" i="2"/>
  <c r="AD8" i="2"/>
  <c r="AD9" i="2"/>
  <c r="AD10" i="2"/>
  <c r="AD11" i="2"/>
  <c r="AD12" i="2"/>
  <c r="AD2" i="2"/>
  <c r="Z3" i="1"/>
  <c r="Z4" i="1"/>
  <c r="Z5" i="1"/>
  <c r="Z2" i="1"/>
  <c r="Y3" i="1"/>
  <c r="Y4" i="1"/>
  <c r="Y5" i="1"/>
  <c r="Y2" i="1"/>
  <c r="V20" i="3"/>
  <c r="V11" i="3"/>
  <c r="V21" i="3"/>
  <c r="V3" i="3"/>
  <c r="V2" i="3"/>
  <c r="V14" i="3"/>
  <c r="V16" i="3"/>
  <c r="V12" i="3"/>
  <c r="V18" i="3"/>
  <c r="V8" i="3"/>
  <c r="V10" i="3"/>
  <c r="V9" i="3"/>
  <c r="V5" i="3"/>
  <c r="V19" i="3"/>
  <c r="V15" i="3"/>
  <c r="V17" i="3"/>
  <c r="V6" i="3"/>
  <c r="V7" i="3"/>
  <c r="V13" i="3"/>
  <c r="R20" i="3"/>
  <c r="Q20" i="3"/>
  <c r="P20" i="3"/>
  <c r="O20" i="3"/>
  <c r="R11" i="3"/>
  <c r="Q11" i="3"/>
  <c r="P11" i="3"/>
  <c r="O11" i="3"/>
  <c r="R21" i="3"/>
  <c r="Q21" i="3"/>
  <c r="P21" i="3"/>
  <c r="O21" i="3"/>
  <c r="R3" i="3"/>
  <c r="Q3" i="3"/>
  <c r="P3" i="3"/>
  <c r="O3" i="3"/>
  <c r="R2" i="3"/>
  <c r="Q2" i="3"/>
  <c r="P2" i="3"/>
  <c r="O2" i="3"/>
  <c r="R14" i="3"/>
  <c r="Q14" i="3"/>
  <c r="P14" i="3"/>
  <c r="O14" i="3"/>
  <c r="R16" i="3"/>
  <c r="Q16" i="3"/>
  <c r="P16" i="3"/>
  <c r="O16" i="3"/>
  <c r="R12" i="3"/>
  <c r="Q12" i="3"/>
  <c r="P12" i="3"/>
  <c r="O12" i="3"/>
  <c r="R18" i="3"/>
  <c r="Q18" i="3"/>
  <c r="P18" i="3"/>
  <c r="O18" i="3"/>
  <c r="R8" i="3"/>
  <c r="Q8" i="3"/>
  <c r="P8" i="3"/>
  <c r="O8" i="3"/>
  <c r="R10" i="3"/>
  <c r="Q10" i="3"/>
  <c r="P10" i="3"/>
  <c r="O10" i="3"/>
  <c r="R9" i="3"/>
  <c r="Q9" i="3"/>
  <c r="P9" i="3"/>
  <c r="O9" i="3"/>
  <c r="R5" i="3"/>
  <c r="Q5" i="3"/>
  <c r="P5" i="3"/>
  <c r="O5" i="3"/>
  <c r="R19" i="3"/>
  <c r="Q19" i="3"/>
  <c r="P19" i="3"/>
  <c r="O19" i="3"/>
  <c r="R15" i="3"/>
  <c r="Q15" i="3"/>
  <c r="P15" i="3"/>
  <c r="O15" i="3"/>
  <c r="R17" i="3"/>
  <c r="Q17" i="3"/>
  <c r="P17" i="3"/>
  <c r="O17" i="3"/>
  <c r="R6" i="3"/>
  <c r="Q6" i="3"/>
  <c r="P6" i="3"/>
  <c r="O6" i="3"/>
  <c r="R7" i="3"/>
  <c r="Q7" i="3"/>
  <c r="P7" i="3"/>
  <c r="O7" i="3"/>
  <c r="R13" i="3"/>
  <c r="Q13" i="3"/>
  <c r="P13" i="3"/>
  <c r="O13" i="3"/>
  <c r="Y11" i="2"/>
  <c r="Y10" i="2"/>
  <c r="Y9" i="2"/>
  <c r="Y7" i="2"/>
  <c r="Y6" i="2"/>
  <c r="Y5" i="2"/>
  <c r="Y4" i="2"/>
  <c r="Y3" i="2"/>
  <c r="Y2" i="2"/>
  <c r="Y12" i="2"/>
  <c r="Y8" i="2"/>
  <c r="T12" i="2"/>
  <c r="S12" i="2"/>
  <c r="R12" i="2"/>
  <c r="Q12" i="2"/>
  <c r="P12" i="2"/>
  <c r="O12" i="2"/>
  <c r="N12" i="2"/>
  <c r="T11" i="2"/>
  <c r="S11" i="2"/>
  <c r="R11" i="2"/>
  <c r="Q11" i="2"/>
  <c r="P11" i="2"/>
  <c r="O11" i="2"/>
  <c r="N11" i="2"/>
  <c r="T10" i="2"/>
  <c r="S10" i="2"/>
  <c r="R10" i="2"/>
  <c r="Q10" i="2"/>
  <c r="P10" i="2"/>
  <c r="O10" i="2"/>
  <c r="N10" i="2"/>
  <c r="T9" i="2"/>
  <c r="S9" i="2"/>
  <c r="R9" i="2"/>
  <c r="Q9" i="2"/>
  <c r="P9" i="2"/>
  <c r="O9" i="2"/>
  <c r="N9" i="2"/>
  <c r="T8" i="2"/>
  <c r="S8" i="2"/>
  <c r="R8" i="2"/>
  <c r="Q8" i="2"/>
  <c r="P8" i="2"/>
  <c r="O8" i="2"/>
  <c r="N8" i="2"/>
  <c r="T7" i="2"/>
  <c r="S7" i="2"/>
  <c r="R7" i="2"/>
  <c r="Q7" i="2"/>
  <c r="P7" i="2"/>
  <c r="O7" i="2"/>
  <c r="N7" i="2"/>
  <c r="T6" i="2"/>
  <c r="S6" i="2"/>
  <c r="R6" i="2"/>
  <c r="Q6" i="2"/>
  <c r="P6" i="2"/>
  <c r="O6" i="2"/>
  <c r="N6" i="2"/>
  <c r="T5" i="2"/>
  <c r="S5" i="2"/>
  <c r="R5" i="2"/>
  <c r="Q5" i="2"/>
  <c r="P5" i="2"/>
  <c r="O5" i="2"/>
  <c r="N5" i="2"/>
  <c r="T4" i="2"/>
  <c r="S4" i="2"/>
  <c r="R4" i="2"/>
  <c r="Q4" i="2"/>
  <c r="P4" i="2"/>
  <c r="O4" i="2"/>
  <c r="N4" i="2"/>
  <c r="T3" i="2"/>
  <c r="S3" i="2"/>
  <c r="R3" i="2"/>
  <c r="Q3" i="2"/>
  <c r="P3" i="2"/>
  <c r="O3" i="2"/>
  <c r="N3" i="2"/>
  <c r="T2" i="2"/>
  <c r="S2" i="2"/>
  <c r="R2" i="2"/>
  <c r="Q2" i="2"/>
  <c r="P2" i="2"/>
  <c r="O2" i="2"/>
  <c r="N2" i="2"/>
  <c r="T5" i="1"/>
  <c r="T4" i="1"/>
  <c r="T3" i="1"/>
  <c r="T2" i="1"/>
  <c r="U13" i="3" l="1"/>
  <c r="U6" i="3"/>
  <c r="U17" i="3"/>
  <c r="U16" i="3"/>
  <c r="U5" i="3"/>
  <c r="U7" i="3"/>
  <c r="U2" i="3"/>
  <c r="U19" i="3"/>
  <c r="U8" i="3"/>
  <c r="U14" i="3"/>
  <c r="U9" i="3"/>
  <c r="U18" i="3"/>
  <c r="U10" i="3"/>
  <c r="U12" i="3"/>
  <c r="U3" i="3"/>
  <c r="U21" i="3"/>
  <c r="U11" i="3"/>
  <c r="U20" i="3"/>
  <c r="U15" i="3"/>
  <c r="X9" i="2" l="1"/>
  <c r="X7" i="2"/>
  <c r="X10" i="2"/>
  <c r="X11" i="2"/>
  <c r="X12" i="2"/>
  <c r="X5" i="2"/>
  <c r="X6" i="2"/>
  <c r="X8" i="2"/>
  <c r="X3" i="2"/>
  <c r="X4" i="2"/>
  <c r="X2" i="2"/>
  <c r="S2" i="1"/>
  <c r="S4" i="1"/>
  <c r="S3" i="1"/>
  <c r="S5" i="1"/>
  <c r="K4" i="1" l="1"/>
  <c r="K3" i="1"/>
  <c r="K5" i="1"/>
  <c r="K2" i="1"/>
</calcChain>
</file>

<file path=xl/sharedStrings.xml><?xml version="1.0" encoding="utf-8"?>
<sst xmlns="http://schemas.openxmlformats.org/spreadsheetml/2006/main" count="194" uniqueCount="130">
  <si>
    <t>Player</t>
  </si>
  <si>
    <t>School</t>
  </si>
  <si>
    <t>Completions</t>
  </si>
  <si>
    <t>CMP%</t>
  </si>
  <si>
    <t>TD%</t>
  </si>
  <si>
    <t>INT</t>
  </si>
  <si>
    <t>Fumbles</t>
  </si>
  <si>
    <t>Joe Burrow</t>
  </si>
  <si>
    <t>LSU</t>
  </si>
  <si>
    <t>Justin Herbert</t>
  </si>
  <si>
    <t>Oregon</t>
  </si>
  <si>
    <t>Age</t>
  </si>
  <si>
    <t>Rate</t>
  </si>
  <si>
    <t>Tua Tagovailoa</t>
  </si>
  <si>
    <t>Alabama</t>
  </si>
  <si>
    <t>Jalen Hurts</t>
  </si>
  <si>
    <t>Oklahoma</t>
  </si>
  <si>
    <t>Receptions</t>
  </si>
  <si>
    <t>Jonathan Taylor</t>
  </si>
  <si>
    <t>Wisconsin</t>
  </si>
  <si>
    <t>D'Andre Swift</t>
  </si>
  <si>
    <t>Georgia</t>
  </si>
  <si>
    <t>Ke'Shawn Vaughn</t>
  </si>
  <si>
    <t>Vanderbilt</t>
  </si>
  <si>
    <t>J.K. Dobbins</t>
  </si>
  <si>
    <t>Ohio State</t>
  </si>
  <si>
    <t>Cam Akers</t>
  </si>
  <si>
    <t>Florida State</t>
  </si>
  <si>
    <t>Zack Moss</t>
  </si>
  <si>
    <t>Utah</t>
  </si>
  <si>
    <t>Clye Edwards-Helaire</t>
  </si>
  <si>
    <t>Antonio Gibson</t>
  </si>
  <si>
    <t>Joshua Kelley</t>
  </si>
  <si>
    <t>Memphis</t>
  </si>
  <si>
    <t>James Robinson</t>
  </si>
  <si>
    <t>UCLA</t>
  </si>
  <si>
    <t>Florida</t>
  </si>
  <si>
    <t>Illinois State</t>
  </si>
  <si>
    <t>Undrafted</t>
  </si>
  <si>
    <t>NA</t>
  </si>
  <si>
    <t>Justin Jefferson</t>
  </si>
  <si>
    <t>CeeDee Lamb</t>
  </si>
  <si>
    <t>Jalen Reagor</t>
  </si>
  <si>
    <t>Denzel Mims</t>
  </si>
  <si>
    <t>Tee Higgins</t>
  </si>
  <si>
    <t>Jerry Jeudy</t>
  </si>
  <si>
    <t>Devin Duvernay</t>
  </si>
  <si>
    <t>Brandon Aiyuk</t>
  </si>
  <si>
    <t>K.J. Hamler</t>
  </si>
  <si>
    <t>Bryan Edwards</t>
  </si>
  <si>
    <t>Michael Pittman Jr.</t>
  </si>
  <si>
    <t>Chase Claypool</t>
  </si>
  <si>
    <t>Laviska Shenault</t>
  </si>
  <si>
    <t>Van Jefferson</t>
  </si>
  <si>
    <t>Gabriel Davis</t>
  </si>
  <si>
    <t>Antonio Gandy-Golden</t>
  </si>
  <si>
    <t>Joe Reed</t>
  </si>
  <si>
    <t>Tyler Johnson</t>
  </si>
  <si>
    <t>TCU</t>
  </si>
  <si>
    <t>Baylor</t>
  </si>
  <si>
    <t>Clemson</t>
  </si>
  <si>
    <t>Texas</t>
  </si>
  <si>
    <t>Arizona State</t>
  </si>
  <si>
    <t>Penn State</t>
  </si>
  <si>
    <t>South Carolina</t>
  </si>
  <si>
    <t>Notre Dame</t>
  </si>
  <si>
    <t>FPPG</t>
  </si>
  <si>
    <t>YPC</t>
  </si>
  <si>
    <t>Pick.No</t>
  </si>
  <si>
    <t>DOB</t>
  </si>
  <si>
    <t>La'Mical Perine</t>
  </si>
  <si>
    <t>USC</t>
  </si>
  <si>
    <t>Colorado</t>
  </si>
  <si>
    <t>UCF</t>
  </si>
  <si>
    <t>Liberty</t>
  </si>
  <si>
    <t>Virginia</t>
  </si>
  <si>
    <t>Minnesota</t>
  </si>
  <si>
    <t>Pass.Atts</t>
  </si>
  <si>
    <t>Pass.Yds</t>
  </si>
  <si>
    <t>Pass.YPA</t>
  </si>
  <si>
    <t>Pass.TD</t>
  </si>
  <si>
    <t>Rush.Att</t>
  </si>
  <si>
    <t>Rush.Yds</t>
  </si>
  <si>
    <t>Rush.YPA</t>
  </si>
  <si>
    <t>Rush.TDs</t>
  </si>
  <si>
    <t>Rush.Atts</t>
  </si>
  <si>
    <t>Rec.Yds</t>
  </si>
  <si>
    <t>Rec.TDs</t>
  </si>
  <si>
    <t>Vac.Car</t>
  </si>
  <si>
    <t>Vac.Tar</t>
  </si>
  <si>
    <t>Team</t>
  </si>
  <si>
    <t>KC</t>
  </si>
  <si>
    <t>DET</t>
  </si>
  <si>
    <t>IND</t>
  </si>
  <si>
    <t>LAR</t>
  </si>
  <si>
    <t>BAL</t>
  </si>
  <si>
    <t>WAS</t>
  </si>
  <si>
    <t>TB</t>
  </si>
  <si>
    <t>BUF</t>
  </si>
  <si>
    <t>LAC</t>
  </si>
  <si>
    <t>NYJ</t>
  </si>
  <si>
    <t>JAX</t>
  </si>
  <si>
    <t>LV</t>
  </si>
  <si>
    <t>DEN</t>
  </si>
  <si>
    <t>DAL</t>
  </si>
  <si>
    <t>PHI</t>
  </si>
  <si>
    <t>MIN</t>
  </si>
  <si>
    <t>SF</t>
  </si>
  <si>
    <t>CIN</t>
  </si>
  <si>
    <t>PIT</t>
  </si>
  <si>
    <t>Rush.Att.Per</t>
  </si>
  <si>
    <t>Rush.Yds.Per</t>
  </si>
  <si>
    <t>Rec.Per</t>
  </si>
  <si>
    <t>Rec.Yds.Per</t>
  </si>
  <si>
    <t>Total.Yds.Per</t>
  </si>
  <si>
    <t>Total.Tch.Per</t>
  </si>
  <si>
    <t>Dom.Per</t>
  </si>
  <si>
    <t>Rec.TDs.Per</t>
  </si>
  <si>
    <t>Height (in.)</t>
  </si>
  <si>
    <t>Weight</t>
  </si>
  <si>
    <t>MIA</t>
  </si>
  <si>
    <t>Henry Ruggs</t>
  </si>
  <si>
    <t>Games.Played</t>
  </si>
  <si>
    <t>NFL.Games</t>
  </si>
  <si>
    <t>Snaps</t>
  </si>
  <si>
    <t>FP</t>
  </si>
  <si>
    <t>FPPS</t>
  </si>
  <si>
    <t>Darnell Mooney</t>
  </si>
  <si>
    <t>Tulane</t>
  </si>
  <si>
    <t>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</si>
</sst>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/>
    <xf numFmtId="1" fontId="0" fillId="0" borderId="0" xfId="0" applyNumberFormat="1" applyAlignment="1"/>
    <xf numFmtId="0" fontId="0" fillId="0" borderId="2" xfId="0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6" fontId="0" fillId="0" borderId="0" xfId="0" applyNumberFormat="1"/>
    <xf numFmtId="2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62"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19" formatCode="m/d/yyyy"/>
    </dxf>
    <dxf>
      <numFmt numFmtId="2" formatCode="0.0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9" formatCode="m/d/yyyy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0.0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01D34D-000A-4000-8BFC-301A0319D95B}" name="Table1" displayName="Table1" ref="A1:Z5" totalsRowShown="0" headerRowDxfId="61" headerRowBorderDxfId="60" tableBorderDxfId="59">
  <autoFilter ref="A1:Z5" xr:uid="{3D01D34D-000A-4000-8BFC-301A0319D95B}"/>
  <tableColumns count="26">
    <tableColumn id="1" xr3:uid="{39155A50-7D4F-4E92-8939-7805E5AFFDB9}" name="Player" dataDxfId="58"/>
    <tableColumn id="2" xr3:uid="{D2281E5E-27A8-474E-85DD-AEE63715569F}" name="School" dataDxfId="57"/>
    <tableColumn id="3" xr3:uid="{C9461064-99D4-4758-9798-1B6811F69C8B}" name="Pick.No" dataDxfId="56"/>
    <tableColumn id="4" xr3:uid="{9B01E124-8523-4D48-9A5E-B4260D7EC86E}" name="Team" dataDxfId="55"/>
    <tableColumn id="5" xr3:uid="{CF6AB897-E3A4-41F5-BA4C-FE66E5DE839C}" name="Completions"/>
    <tableColumn id="6" xr3:uid="{0E960E9B-EFE1-4F64-A391-BA3D9A3A6C94}" name="Pass.Atts"/>
    <tableColumn id="7" xr3:uid="{F7A73459-17E8-4509-80AE-43DC4EDBE715}" name="CMP%"/>
    <tableColumn id="8" xr3:uid="{263655DA-7E16-4701-A4D2-BC9474D376EC}" name="Pass.Yds"/>
    <tableColumn id="9" xr3:uid="{555E9C2E-5CCD-4045-8904-F33BDE5F8B67}" name="Pass.YPA"/>
    <tableColumn id="10" xr3:uid="{61F2414D-8D30-4580-9D88-48ED53C1BB5C}" name="Pass.TD"/>
    <tableColumn id="11" xr3:uid="{161D924F-F5FB-4CE0-BA44-109EB133FDC5}" name="TD%" dataDxfId="54" dataCellStyle="Percent">
      <calculatedColumnFormula>J2/F2</calculatedColumnFormula>
    </tableColumn>
    <tableColumn id="12" xr3:uid="{8B0AD861-9EC9-47C2-978D-C9ECED3BA77F}" name="INT"/>
    <tableColumn id="13" xr3:uid="{FAA1C61A-19CE-48AD-B5DB-1B7043A03535}" name="Rate"/>
    <tableColumn id="14" xr3:uid="{830399ED-C42C-4B2F-BF27-0C23951778FA}" name="Rush.Att"/>
    <tableColumn id="15" xr3:uid="{15AFB00E-5990-4F92-BD46-EA3EDF8A37D6}" name="Rush.Yds"/>
    <tableColumn id="16" xr3:uid="{E911D89F-2561-493F-9398-6C84247E00FA}" name="Rush.YPA"/>
    <tableColumn id="17" xr3:uid="{0089E7AD-59DF-498C-8A5F-C863F941D94E}" name="Rush.TDs"/>
    <tableColumn id="18" xr3:uid="{CB73D341-77F9-417D-B09F-184AF1725DEC}" name="DOB" dataDxfId="53"/>
    <tableColumn id="19" xr3:uid="{1A5CD21E-88D5-4D3E-B8F2-9DDE356E8BE1}" name="Age" dataDxfId="52">
      <calculatedColumnFormula>(TODAY()-R2)/365-1</calculatedColumnFormula>
    </tableColumn>
    <tableColumn id="20" xr3:uid="{931CB7F7-4C6A-4530-B561-E8DCF5DE9CC6}" name="Height (in.)" dataDxfId="51"/>
    <tableColumn id="21" xr3:uid="{4A6D3234-7C52-4E08-994D-AB6CEFE3BFA7}" name="Weight" dataDxfId="50"/>
    <tableColumn id="23" xr3:uid="{E004624C-43A3-4E12-88AF-13A954F094AA}" name="NFL.Games" dataDxfId="49"/>
    <tableColumn id="24" xr3:uid="{49AB02BD-5317-4C95-B87F-E1ED785C177E}" name="Snaps" dataDxfId="48"/>
    <tableColumn id="25" xr3:uid="{B01814D6-9A75-4FDC-BE07-DF1D003EC5D4}" name="FP" dataDxfId="47"/>
    <tableColumn id="26" xr3:uid="{042BC1F4-8105-4F0C-9888-916902B08668}" name="FPPG" dataDxfId="46">
      <calculatedColumnFormula>Table1[[#This Row],[FP]]/Table1[[#This Row],[NFL.Games]]</calculatedColumnFormula>
    </tableColumn>
    <tableColumn id="22" xr3:uid="{F4C4AD38-3E85-4CE0-A678-78CE48776EE9}" name="FPPS" dataDxfId="45">
      <calculatedColumnFormula>Table1[[#This Row],[FP]]/Table1[[#This Row],[Snaps]]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A046A7-F232-4916-AD01-6337ED7D01B5}" name="Table2" displayName="Table2" ref="A1:AE12" totalsRowShown="0" headerRowDxfId="44" headerRowBorderDxfId="43" tableBorderDxfId="42">
  <autoFilter ref="A1:AE12" xr:uid="{67A046A7-F232-4916-AD01-6337ED7D01B5}"/>
  <tableColumns count="31">
    <tableColumn id="1" xr3:uid="{4D0E9E8D-8AA2-4914-97EF-B51E203FD561}" name="Player" dataDxfId="41"/>
    <tableColumn id="2" xr3:uid="{0D8FD7CC-4662-4CD8-A28C-E364D1F3C217}" name="School" dataDxfId="40"/>
    <tableColumn id="3" xr3:uid="{1D7604E5-2766-46B8-BEF2-AB890CFB1B60}" name="Pick.No"/>
    <tableColumn id="4" xr3:uid="{EBCFC475-FB1D-441F-BDB6-2800083DEA86}" name="Team" dataDxfId="39"/>
    <tableColumn id="5" xr3:uid="{B5E916D4-5FB7-4FE0-AFC0-DB66C5526637}" name="Rush.Atts"/>
    <tableColumn id="6" xr3:uid="{C85A671C-B64E-456B-974B-24CEAA184CA1}" name="Rush.Yds"/>
    <tableColumn id="7" xr3:uid="{5E9FCD87-6A78-4440-AF13-EE05DEBD8C60}" name="Rush.YPA"/>
    <tableColumn id="8" xr3:uid="{D5A30366-9A53-4078-AF3E-641F898B73DC}" name="Rush.TDs"/>
    <tableColumn id="9" xr3:uid="{2E52DBBE-A916-48E7-B99D-B1613D8DA1C8}" name="Fumbles"/>
    <tableColumn id="10" xr3:uid="{C50F071B-E90F-4A8D-A1A4-F5851F71036C}" name="Receptions"/>
    <tableColumn id="11" xr3:uid="{B44CD850-7536-4C83-8A4F-8778F36E9520}" name="Rec.Yds"/>
    <tableColumn id="12" xr3:uid="{033B27FF-B3DC-40BE-9798-3E39882C93CD}" name="YPC" dataDxfId="38"/>
    <tableColumn id="13" xr3:uid="{59A0B970-1A1A-4414-9D70-8D50B9253707}" name="Rec.TDs"/>
    <tableColumn id="14" xr3:uid="{692CFF48-6332-47EC-A3F2-9453096F2CC2}" name="Rush.Att.Per" dataDxfId="37"/>
    <tableColumn id="15" xr3:uid="{358BE634-36D2-4215-A990-5041A2C2D09A}" name="Rush.Yds.Per" dataDxfId="36"/>
    <tableColumn id="16" xr3:uid="{AE18D5CB-0282-494E-8E0A-283D65F8C5E0}" name="Rec.Per" dataDxfId="35"/>
    <tableColumn id="17" xr3:uid="{A6944213-BECF-4CC6-B5C6-B6F3F32F5F06}" name="Rec.Yds.Per" dataDxfId="34"/>
    <tableColumn id="18" xr3:uid="{6190B463-374E-4998-8CD0-51403CE34906}" name="Total.Yds.Per" dataDxfId="33"/>
    <tableColumn id="19" xr3:uid="{49BF90E6-D33C-4005-A712-7D9F54AC2838}" name="Total.Tch.Per" dataDxfId="32"/>
    <tableColumn id="20" xr3:uid="{649BC920-5368-4647-93A4-0E8E19F3B288}" name="Dom.Per" dataDxfId="31"/>
    <tableColumn id="21" xr3:uid="{239921EC-997B-4178-8A58-6CB524A9C6DD}" name="Vac.Car" dataDxfId="30"/>
    <tableColumn id="22" xr3:uid="{8773BF92-2B44-461E-B306-013360323398}" name="Vac.Tar" dataDxfId="29"/>
    <tableColumn id="23" xr3:uid="{BAE6E735-1AF1-4713-8E4D-7E28497437B3}" name="DOB" dataDxfId="28"/>
    <tableColumn id="24" xr3:uid="{D8857C2C-6E45-49AB-97A0-B9A3DBBD9A72}" name="Age" dataDxfId="27">
      <calculatedColumnFormula>(TODAY()-W2)/365-1</calculatedColumnFormula>
    </tableColumn>
    <tableColumn id="25" xr3:uid="{E939CC22-037A-4D44-85CC-0F65F0B9930B}" name="Height (in.)" dataDxfId="26"/>
    <tableColumn id="26" xr3:uid="{48278407-EA52-4014-987F-EF626BD2934D}" name="Weight" dataDxfId="25"/>
    <tableColumn id="29" xr3:uid="{231227FD-90A5-4302-A020-E0B19311E562}" name="NFL.Games" dataDxfId="24"/>
    <tableColumn id="30" xr3:uid="{395995E2-4E85-4015-9451-F9755CE7EC31}" name="Snaps" dataDxfId="23"/>
    <tableColumn id="28" xr3:uid="{F7D5DD45-0B91-41B1-955C-C9BC52B29C9F}" name="FP" dataDxfId="22"/>
    <tableColumn id="31" xr3:uid="{65938007-061D-4143-82C4-328BCEA573B7}" name="FPPG" dataDxfId="21">
      <calculatedColumnFormula>Table2[[#This Row],[FP]]/Table2[[#This Row],[NFL.Games]]</calculatedColumnFormula>
    </tableColumn>
    <tableColumn id="27" xr3:uid="{29AD932B-C05B-4198-842A-523165FF61BD}" name="FPPS" dataDxfId="20">
      <calculatedColumnFormula>Table2[[#This Row],[FP]]/Table2[[#This Row],[Snaps]]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196FA0-4F4A-48D1-9010-8C077D45CF45}" name="Table3" displayName="Table3" ref="A1:AB21" totalsRowShown="0" headerRowDxfId="19">
  <autoFilter ref="A1:AB21" xr:uid="{19196FA0-4F4A-48D1-9010-8C077D45CF45}"/>
  <sortState xmlns:xlrd2="http://schemas.microsoft.com/office/spreadsheetml/2017/richdata2" ref="A2:AB21">
    <sortCondition ref="D2:D21"/>
  </sortState>
  <tableColumns count="28">
    <tableColumn id="1" xr3:uid="{D2DD26F2-3A1D-4E48-8E9B-7588005BC91E}" name="Player" dataDxfId="18"/>
    <tableColumn id="2" xr3:uid="{800EC53A-CB50-4B88-B3BD-90B4E170009B}" name="School" dataDxfId="17"/>
    <tableColumn id="3" xr3:uid="{BA5C0417-8B14-4D1A-B3A4-A13D71E34A91}" name="Pick.No"/>
    <tableColumn id="4" xr3:uid="{5A6FC606-5067-4C03-B41B-AB39D7EEFCEF}" name="Team" dataDxfId="16"/>
    <tableColumn id="5" xr3:uid="{C9146EDD-DA3F-4C4C-9491-7836F4454021}" name="Games.Played" dataDxfId="15"/>
    <tableColumn id="6" xr3:uid="{760D229A-6672-4CCD-8571-1A5DC4F5D07D}" name="Receptions"/>
    <tableColumn id="7" xr3:uid="{7C198F33-D0C6-4BBD-97EB-88B68B98DE4C}" name="Rec.Yds"/>
    <tableColumn id="8" xr3:uid="{B3788A0B-D813-4CB0-B247-D1A48DDC027B}" name="YPC" dataDxfId="14"/>
    <tableColumn id="9" xr3:uid="{4BD28CA1-BC98-4FAC-BAF5-5D8612787171}" name="Rec.TDs"/>
    <tableColumn id="10" xr3:uid="{FFB5E7C8-48B2-4298-B6FB-B1A26B8276A4}" name="Rush.Atts"/>
    <tableColumn id="11" xr3:uid="{F063C853-BA4C-441E-9BF6-38F71427BDFC}" name="Rush.Yds"/>
    <tableColumn id="12" xr3:uid="{FC3E5E2A-206D-4DAE-B252-FE816B7B7D4C}" name="Rush.YPA" dataDxfId="13"/>
    <tableColumn id="13" xr3:uid="{B3438C12-FBD9-4637-A86A-FF1E80BA1AC2}" name="Rush.TDs"/>
    <tableColumn id="14" xr3:uid="{5509F970-2AE3-4618-823B-601E24EF3A85}" name="Fumbles"/>
    <tableColumn id="15" xr3:uid="{49030FB1-0905-44AF-BACB-07A98F1FE93C}" name="Rec.Per" dataDxfId="12"/>
    <tableColumn id="16" xr3:uid="{7E048EC3-5CD6-4478-A03E-C14B809E8577}" name="Rec.Yds.Per" dataDxfId="11"/>
    <tableColumn id="17" xr3:uid="{1A4E5CC5-1A27-4670-8595-3A0B8DCFEADC}" name="Rec.TDs.Per" dataDxfId="10"/>
    <tableColumn id="18" xr3:uid="{9EBDAA9D-D9D7-43E2-90B7-325B41F3CFA2}" name="Dom.Per" dataDxfId="9"/>
    <tableColumn id="19" xr3:uid="{EA43D141-F47E-4CBD-93C5-B5ACE3C35F81}" name="Vac.Tar" dataDxfId="8"/>
    <tableColumn id="20" xr3:uid="{993E991C-B210-4226-8B2A-5A274ADDE565}" name="DOB" dataDxfId="7"/>
    <tableColumn id="21" xr3:uid="{5A607AA2-71BB-41B3-9FAB-2DD60F9749FF}" name="Age" dataDxfId="6">
      <calculatedColumnFormula>((TODAY()-T2)/365)-1</calculatedColumnFormula>
    </tableColumn>
    <tableColumn id="22" xr3:uid="{D60F669C-FD22-4E96-8639-F4D40D3DF396}" name="Height (in.)" dataDxfId="5"/>
    <tableColumn id="23" xr3:uid="{0D9070BA-5D5E-486B-93F0-CCAB182E42CE}" name="Weight" dataDxfId="4"/>
    <tableColumn id="24" xr3:uid="{5AD84669-77C8-4807-9279-D65898C19700}" name="NFL.Games" dataDxfId="3"/>
    <tableColumn id="25" xr3:uid="{8AA2F4F3-B4A3-4DA0-B1FE-81B10581772F}" name="Snaps" dataDxfId="2"/>
    <tableColumn id="26" xr3:uid="{B1CE37E8-985C-4D24-9056-3FF0DFD5F6A3}" name="FP" dataDxfId="1"/>
    <tableColumn id="27" xr3:uid="{FC151B9A-BDEE-4CBA-9CC4-A860539AC0CA}" name="FPPG" dataDxfId="0">
      <calculatedColumnFormula>Table3[[#This Row],[FP]]/Table3[[#This Row],[NFL.Games]]</calculatedColumnFormula>
    </tableColumn>
    <tableColumn id="28" xr3:uid="{5BD7D2E2-F211-417C-A22E-840D581FDFCB}" name="FPPS">
      <calculatedColumnFormula>Table3[[#This Row],[FP]]/Table3[[#This Row],[Snaps]]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1F4B-4E4F-403B-8A0C-3F5E14DA5666}">
  <dimension ref="A1:Z9"/>
  <sheetViews>
    <sheetView zoomScale="55" zoomScaleNormal="55" workbookViewId="0">
      <pane xSplit="1" topLeftCell="M1" activePane="topRight" state="frozen"/>
      <selection pane="topRight" activeCell="T16" sqref="T16"/>
    </sheetView>
  </sheetViews>
  <sheetFormatPr defaultColWidth="15.85546875" defaultRowHeight="15" x14ac:dyDescent="0.25"/>
  <cols>
    <col min="1" max="4" width="15.85546875" style="1"/>
    <col min="11" max="11" width="15.85546875" style="3"/>
  </cols>
  <sheetData>
    <row r="1" spans="1:26" s="1" customFormat="1" x14ac:dyDescent="0.25">
      <c r="A1" s="13" t="s">
        <v>0</v>
      </c>
      <c r="B1" s="13" t="s">
        <v>1</v>
      </c>
      <c r="C1" s="13" t="s">
        <v>68</v>
      </c>
      <c r="D1" s="13" t="s">
        <v>90</v>
      </c>
      <c r="E1" s="13" t="s">
        <v>2</v>
      </c>
      <c r="F1" s="13" t="s">
        <v>77</v>
      </c>
      <c r="G1" s="13" t="s">
        <v>3</v>
      </c>
      <c r="H1" s="13" t="s">
        <v>78</v>
      </c>
      <c r="I1" s="13" t="s">
        <v>79</v>
      </c>
      <c r="J1" s="13" t="s">
        <v>80</v>
      </c>
      <c r="K1" s="14" t="s">
        <v>4</v>
      </c>
      <c r="L1" s="13" t="s">
        <v>5</v>
      </c>
      <c r="M1" s="13" t="s">
        <v>12</v>
      </c>
      <c r="N1" s="13" t="s">
        <v>81</v>
      </c>
      <c r="O1" s="13" t="s">
        <v>82</v>
      </c>
      <c r="P1" s="13" t="s">
        <v>83</v>
      </c>
      <c r="Q1" s="13" t="s">
        <v>84</v>
      </c>
      <c r="R1" s="13" t="s">
        <v>69</v>
      </c>
      <c r="S1" s="13" t="s">
        <v>11</v>
      </c>
      <c r="T1" s="13" t="s">
        <v>118</v>
      </c>
      <c r="U1" s="13" t="s">
        <v>119</v>
      </c>
      <c r="V1" s="13" t="s">
        <v>123</v>
      </c>
      <c r="W1" s="13" t="s">
        <v>124</v>
      </c>
      <c r="X1" s="13" t="s">
        <v>125</v>
      </c>
      <c r="Y1" s="13" t="s">
        <v>66</v>
      </c>
      <c r="Z1" s="13" t="s">
        <v>126</v>
      </c>
    </row>
    <row r="2" spans="1:26" x14ac:dyDescent="0.25">
      <c r="A2" s="1" t="s">
        <v>7</v>
      </c>
      <c r="B2" s="1" t="s">
        <v>8</v>
      </c>
      <c r="C2" s="1">
        <v>1</v>
      </c>
      <c r="D2" s="1" t="s">
        <v>108</v>
      </c>
      <c r="E2">
        <v>402</v>
      </c>
      <c r="F2">
        <v>527</v>
      </c>
      <c r="G2">
        <v>76.3</v>
      </c>
      <c r="H2">
        <v>5671</v>
      </c>
      <c r="I2">
        <v>10.8</v>
      </c>
      <c r="J2">
        <v>60</v>
      </c>
      <c r="K2" s="3">
        <f>J2/F2</f>
        <v>0.11385199240986717</v>
      </c>
      <c r="L2">
        <v>6</v>
      </c>
      <c r="M2" s="5">
        <v>202</v>
      </c>
      <c r="N2">
        <v>115</v>
      </c>
      <c r="O2">
        <v>368</v>
      </c>
      <c r="P2">
        <v>3.2</v>
      </c>
      <c r="Q2">
        <v>5</v>
      </c>
      <c r="R2" s="7">
        <v>35409</v>
      </c>
      <c r="S2" s="4">
        <f ca="1">(TODAY()-R2)/365-1</f>
        <v>24.358904109589041</v>
      </c>
      <c r="T2" s="11">
        <f>6*12+4</f>
        <v>76</v>
      </c>
      <c r="U2" s="11">
        <v>221</v>
      </c>
      <c r="V2" s="11">
        <v>10</v>
      </c>
      <c r="W2" s="11">
        <v>709</v>
      </c>
      <c r="X2" s="4">
        <v>168.72</v>
      </c>
      <c r="Y2" s="4">
        <f>Table1[[#This Row],[FP]]/Table1[[#This Row],[NFL.Games]]</f>
        <v>16.872</v>
      </c>
      <c r="Z2" s="15">
        <f>Table1[[#This Row],[FP]]/Table1[[#This Row],[Snaps]]</f>
        <v>0.23796897038081805</v>
      </c>
    </row>
    <row r="3" spans="1:26" x14ac:dyDescent="0.25">
      <c r="A3" s="1" t="s">
        <v>13</v>
      </c>
      <c r="B3" s="1" t="s">
        <v>14</v>
      </c>
      <c r="C3" s="1">
        <v>5</v>
      </c>
      <c r="D3" s="1" t="s">
        <v>120</v>
      </c>
      <c r="E3">
        <v>180</v>
      </c>
      <c r="F3">
        <v>252</v>
      </c>
      <c r="G3">
        <v>71.400000000000006</v>
      </c>
      <c r="H3">
        <v>2840</v>
      </c>
      <c r="I3">
        <v>11.3</v>
      </c>
      <c r="J3">
        <v>33</v>
      </c>
      <c r="K3" s="3">
        <f>J3/F3</f>
        <v>0.13095238095238096</v>
      </c>
      <c r="L3">
        <v>3</v>
      </c>
      <c r="M3">
        <v>206.9</v>
      </c>
      <c r="N3">
        <v>23</v>
      </c>
      <c r="O3">
        <v>17</v>
      </c>
      <c r="P3">
        <v>0.7</v>
      </c>
      <c r="Q3">
        <v>2</v>
      </c>
      <c r="R3" s="7">
        <v>35856</v>
      </c>
      <c r="S3" s="4">
        <f ca="1">(TODAY()-R3)/365-1</f>
        <v>23.134246575342466</v>
      </c>
      <c r="T3" s="11">
        <f>6*12</f>
        <v>72</v>
      </c>
      <c r="U3" s="11">
        <v>217</v>
      </c>
      <c r="V3" s="11">
        <v>9</v>
      </c>
      <c r="W3" s="11">
        <v>571</v>
      </c>
      <c r="X3" s="4">
        <v>131.46</v>
      </c>
      <c r="Y3" s="4">
        <f>Table1[[#This Row],[FP]]/Table1[[#This Row],[NFL.Games]]</f>
        <v>14.606666666666667</v>
      </c>
      <c r="Z3" s="15">
        <f>Table1[[#This Row],[FP]]/Table1[[#This Row],[Snaps]]</f>
        <v>0.2302276707530648</v>
      </c>
    </row>
    <row r="4" spans="1:26" x14ac:dyDescent="0.25">
      <c r="A4" s="1" t="s">
        <v>9</v>
      </c>
      <c r="B4" s="1" t="s">
        <v>10</v>
      </c>
      <c r="C4" s="1">
        <v>6</v>
      </c>
      <c r="D4" s="1" t="s">
        <v>99</v>
      </c>
      <c r="E4">
        <v>286</v>
      </c>
      <c r="F4">
        <v>428</v>
      </c>
      <c r="G4">
        <v>66.8</v>
      </c>
      <c r="H4">
        <v>3471</v>
      </c>
      <c r="I4">
        <v>8.1</v>
      </c>
      <c r="J4">
        <v>32</v>
      </c>
      <c r="K4" s="3">
        <f>J4/F4</f>
        <v>7.476635514018691E-2</v>
      </c>
      <c r="L4">
        <v>6</v>
      </c>
      <c r="M4">
        <v>156.80000000000001</v>
      </c>
      <c r="N4">
        <v>58</v>
      </c>
      <c r="O4">
        <v>50</v>
      </c>
      <c r="P4">
        <v>0.9</v>
      </c>
      <c r="Q4">
        <v>4</v>
      </c>
      <c r="R4" s="7">
        <v>35864</v>
      </c>
      <c r="S4" s="4">
        <f ca="1">(TODAY()-R4)/365-1</f>
        <v>23.112328767123287</v>
      </c>
      <c r="T4" s="11">
        <f>6*12+6</f>
        <v>78</v>
      </c>
      <c r="U4" s="11">
        <v>236</v>
      </c>
      <c r="V4" s="11">
        <v>15</v>
      </c>
      <c r="W4" s="11">
        <v>1097</v>
      </c>
      <c r="X4" s="4">
        <v>326.83999999999997</v>
      </c>
      <c r="Y4" s="4">
        <f>Table1[[#This Row],[FP]]/Table1[[#This Row],[NFL.Games]]</f>
        <v>21.789333333333332</v>
      </c>
      <c r="Z4" s="15">
        <f>Table1[[#This Row],[FP]]/Table1[[#This Row],[Snaps]]</f>
        <v>0.29793983591613488</v>
      </c>
    </row>
    <row r="5" spans="1:26" x14ac:dyDescent="0.25">
      <c r="A5" s="1" t="s">
        <v>15</v>
      </c>
      <c r="B5" s="1" t="s">
        <v>16</v>
      </c>
      <c r="C5" s="1">
        <v>53</v>
      </c>
      <c r="D5" s="1" t="s">
        <v>105</v>
      </c>
      <c r="E5">
        <v>237</v>
      </c>
      <c r="F5">
        <v>340</v>
      </c>
      <c r="G5">
        <v>69.7</v>
      </c>
      <c r="H5">
        <v>3851</v>
      </c>
      <c r="I5">
        <v>11.3</v>
      </c>
      <c r="J5">
        <v>32</v>
      </c>
      <c r="K5" s="3">
        <f>J5/F5</f>
        <v>9.4117647058823528E-2</v>
      </c>
      <c r="L5">
        <v>8</v>
      </c>
      <c r="M5">
        <v>191.2</v>
      </c>
      <c r="N5">
        <v>233</v>
      </c>
      <c r="O5">
        <v>1298</v>
      </c>
      <c r="P5">
        <v>5.6</v>
      </c>
      <c r="Q5">
        <v>20</v>
      </c>
      <c r="R5" s="7">
        <v>36014</v>
      </c>
      <c r="S5" s="4">
        <f ca="1">(TODAY()-R5)/365-1</f>
        <v>22.701369863013699</v>
      </c>
      <c r="T5" s="11">
        <f>6*12+1</f>
        <v>73</v>
      </c>
      <c r="U5" s="11">
        <v>223</v>
      </c>
      <c r="V5" s="11">
        <v>4</v>
      </c>
      <c r="W5" s="11">
        <v>334</v>
      </c>
      <c r="X5" s="4">
        <v>101.94</v>
      </c>
      <c r="Y5" s="4">
        <f>Table1[[#This Row],[FP]]/Table1[[#This Row],[NFL.Games]]</f>
        <v>25.484999999999999</v>
      </c>
      <c r="Z5" s="15">
        <f>Table1[[#This Row],[FP]]/Table1[[#This Row],[Snaps]]</f>
        <v>0.30520958083832334</v>
      </c>
    </row>
    <row r="9" spans="1:26" x14ac:dyDescent="0.25">
      <c r="P9" s="7"/>
      <c r="Q9" s="8"/>
      <c r="R9" s="8"/>
    </row>
  </sheetData>
  <sortState xmlns:xlrd2="http://schemas.microsoft.com/office/spreadsheetml/2017/richdata2" ref="A2:Z5">
    <sortCondition ref="C2:C5"/>
  </sortState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80E80-8229-4973-987A-33BDF0648456}">
  <dimension ref="A1:AE16"/>
  <sheetViews>
    <sheetView zoomScale="55" zoomScaleNormal="55" workbookViewId="0">
      <pane xSplit="1" topLeftCell="F1" activePane="topRight" state="frozen"/>
      <selection pane="topRight" activeCell="V14" sqref="V14"/>
    </sheetView>
  </sheetViews>
  <sheetFormatPr defaultColWidth="16.5703125" defaultRowHeight="22.5" customHeight="1" x14ac:dyDescent="0.25"/>
  <cols>
    <col min="1" max="1" width="21.28515625" customWidth="1"/>
  </cols>
  <sheetData>
    <row r="1" spans="1:31" s="1" customFormat="1" ht="22.5" customHeight="1" x14ac:dyDescent="0.25">
      <c r="A1" s="13" t="s">
        <v>0</v>
      </c>
      <c r="B1" s="13" t="s">
        <v>1</v>
      </c>
      <c r="C1" s="13" t="s">
        <v>68</v>
      </c>
      <c r="D1" s="13" t="s">
        <v>90</v>
      </c>
      <c r="E1" s="13" t="s">
        <v>85</v>
      </c>
      <c r="F1" s="13" t="s">
        <v>82</v>
      </c>
      <c r="G1" s="13" t="s">
        <v>83</v>
      </c>
      <c r="H1" s="13" t="s">
        <v>84</v>
      </c>
      <c r="I1" s="13" t="s">
        <v>6</v>
      </c>
      <c r="J1" s="13" t="s">
        <v>17</v>
      </c>
      <c r="K1" s="13" t="s">
        <v>86</v>
      </c>
      <c r="L1" s="13" t="s">
        <v>67</v>
      </c>
      <c r="M1" s="13" t="s">
        <v>87</v>
      </c>
      <c r="N1" s="13" t="s">
        <v>110</v>
      </c>
      <c r="O1" s="13" t="s">
        <v>111</v>
      </c>
      <c r="P1" s="13" t="s">
        <v>112</v>
      </c>
      <c r="Q1" s="13" t="s">
        <v>113</v>
      </c>
      <c r="R1" s="13" t="s">
        <v>114</v>
      </c>
      <c r="S1" s="13" t="s">
        <v>115</v>
      </c>
      <c r="T1" s="13" t="s">
        <v>116</v>
      </c>
      <c r="U1" s="13" t="s">
        <v>88</v>
      </c>
      <c r="V1" s="13" t="s">
        <v>89</v>
      </c>
      <c r="W1" s="13" t="s">
        <v>69</v>
      </c>
      <c r="X1" s="13" t="s">
        <v>11</v>
      </c>
      <c r="Y1" s="13" t="s">
        <v>118</v>
      </c>
      <c r="Z1" s="13" t="s">
        <v>119</v>
      </c>
      <c r="AA1" s="13" t="s">
        <v>123</v>
      </c>
      <c r="AB1" s="13" t="s">
        <v>124</v>
      </c>
      <c r="AC1" s="13" t="s">
        <v>125</v>
      </c>
      <c r="AD1" s="13" t="s">
        <v>66</v>
      </c>
      <c r="AE1" s="13" t="s">
        <v>126</v>
      </c>
    </row>
    <row r="2" spans="1:31" ht="22.5" customHeight="1" x14ac:dyDescent="0.25">
      <c r="A2" s="1" t="s">
        <v>30</v>
      </c>
      <c r="B2" s="1" t="s">
        <v>8</v>
      </c>
      <c r="C2">
        <v>32</v>
      </c>
      <c r="D2" s="1" t="s">
        <v>91</v>
      </c>
      <c r="E2">
        <v>215</v>
      </c>
      <c r="F2">
        <v>1414</v>
      </c>
      <c r="G2">
        <v>6.6</v>
      </c>
      <c r="H2">
        <v>16</v>
      </c>
      <c r="I2">
        <v>2</v>
      </c>
      <c r="J2">
        <v>55</v>
      </c>
      <c r="K2">
        <v>453</v>
      </c>
      <c r="L2" s="4">
        <v>8.1999999999999993</v>
      </c>
      <c r="M2">
        <v>1</v>
      </c>
      <c r="N2" s="11">
        <f>215/494*100</f>
        <v>43.522267206477736</v>
      </c>
      <c r="O2" s="11">
        <f>1414/2537*100</f>
        <v>55.735120220733151</v>
      </c>
      <c r="P2" s="11">
        <f>55/426*100</f>
        <v>12.910798122065728</v>
      </c>
      <c r="Q2" s="11">
        <f>453/6024*100</f>
        <v>7.5199203187250996</v>
      </c>
      <c r="R2" s="11">
        <f>1867/8561*100</f>
        <v>21.808199976638242</v>
      </c>
      <c r="S2" s="11">
        <f>270/920*100</f>
        <v>29.347826086956523</v>
      </c>
      <c r="T2" s="11">
        <f>1884/8654*100</f>
        <v>21.770279639473074</v>
      </c>
      <c r="U2" s="5">
        <v>73.599999999999994</v>
      </c>
      <c r="V2" s="5">
        <v>70.900000000000006</v>
      </c>
      <c r="W2" s="7">
        <v>36261</v>
      </c>
      <c r="X2" s="4">
        <f t="shared" ref="X2:X12" ca="1" si="0">(TODAY()-W2)/365-1</f>
        <v>22.024657534246575</v>
      </c>
      <c r="Y2" s="11">
        <f>5*12+7</f>
        <v>67</v>
      </c>
      <c r="Z2" s="11">
        <v>207</v>
      </c>
      <c r="AA2" s="11">
        <v>13</v>
      </c>
      <c r="AB2" s="11">
        <v>542</v>
      </c>
      <c r="AC2" s="4">
        <v>158</v>
      </c>
      <c r="AD2" s="4">
        <f>Table2[[#This Row],[FP]]/Table2[[#This Row],[NFL.Games]]</f>
        <v>12.153846153846153</v>
      </c>
      <c r="AE2" s="15">
        <f>Table2[[#This Row],[FP]]/Table2[[#This Row],[Snaps]]</f>
        <v>0.29151291512915128</v>
      </c>
    </row>
    <row r="3" spans="1:31" ht="22.5" customHeight="1" x14ac:dyDescent="0.25">
      <c r="A3" s="1" t="s">
        <v>20</v>
      </c>
      <c r="B3" s="1" t="s">
        <v>21</v>
      </c>
      <c r="C3">
        <v>35</v>
      </c>
      <c r="D3" s="1" t="s">
        <v>92</v>
      </c>
      <c r="E3">
        <v>196</v>
      </c>
      <c r="F3">
        <v>1218</v>
      </c>
      <c r="G3">
        <v>6.21</v>
      </c>
      <c r="H3">
        <v>7</v>
      </c>
      <c r="I3">
        <v>3</v>
      </c>
      <c r="J3">
        <v>24</v>
      </c>
      <c r="K3">
        <v>216</v>
      </c>
      <c r="L3" s="4">
        <v>9</v>
      </c>
      <c r="M3">
        <v>1</v>
      </c>
      <c r="N3" s="11">
        <f>196/505*100</f>
        <v>38.811881188118811</v>
      </c>
      <c r="O3" s="11">
        <f>1218/2652*100</f>
        <v>45.927601809954751</v>
      </c>
      <c r="P3" s="11">
        <f>24/255*100</f>
        <v>9.4117647058823533</v>
      </c>
      <c r="Q3" s="11">
        <f>216/3122*100</f>
        <v>6.9186418962203717</v>
      </c>
      <c r="R3" s="11">
        <f>1434/5774*100</f>
        <v>24.835469345341185</v>
      </c>
      <c r="S3" s="11">
        <f>220/760*100</f>
        <v>28.947368421052634</v>
      </c>
      <c r="T3" s="11">
        <f>1442/5821*100</f>
        <v>24.772375880432914</v>
      </c>
      <c r="U3" s="5">
        <v>50.4</v>
      </c>
      <c r="V3" s="5">
        <v>54.5</v>
      </c>
      <c r="W3" s="7">
        <v>36174</v>
      </c>
      <c r="X3" s="4">
        <f t="shared" ca="1" si="0"/>
        <v>22.263013698630136</v>
      </c>
      <c r="Y3" s="11">
        <f>5*12+9</f>
        <v>69</v>
      </c>
      <c r="Z3" s="11">
        <v>215</v>
      </c>
      <c r="AA3" s="11">
        <v>11</v>
      </c>
      <c r="AB3" s="11">
        <v>398</v>
      </c>
      <c r="AC3" s="4">
        <v>165.8</v>
      </c>
      <c r="AD3" s="4">
        <f>Table2[[#This Row],[FP]]/Table2[[#This Row],[NFL.Games]]</f>
        <v>15.072727272727274</v>
      </c>
      <c r="AE3" s="15">
        <f>Table2[[#This Row],[FP]]/Table2[[#This Row],[Snaps]]</f>
        <v>0.41658291457286434</v>
      </c>
    </row>
    <row r="4" spans="1:31" ht="22.5" customHeight="1" x14ac:dyDescent="0.25">
      <c r="A4" s="1" t="s">
        <v>18</v>
      </c>
      <c r="B4" s="1" t="s">
        <v>19</v>
      </c>
      <c r="C4">
        <v>41</v>
      </c>
      <c r="D4" s="1" t="s">
        <v>93</v>
      </c>
      <c r="E4">
        <v>320</v>
      </c>
      <c r="F4">
        <v>2003</v>
      </c>
      <c r="G4">
        <v>6.26</v>
      </c>
      <c r="H4">
        <v>21</v>
      </c>
      <c r="I4">
        <v>6</v>
      </c>
      <c r="J4">
        <v>26</v>
      </c>
      <c r="K4">
        <v>252</v>
      </c>
      <c r="L4" s="4">
        <v>9.69</v>
      </c>
      <c r="M4">
        <v>5</v>
      </c>
      <c r="N4" s="11">
        <f>320/600*100</f>
        <v>53.333333333333336</v>
      </c>
      <c r="O4" s="11">
        <f>2003/3278*100</f>
        <v>61.104331909701038</v>
      </c>
      <c r="P4" s="11">
        <f>26/246*100</f>
        <v>10.569105691056912</v>
      </c>
      <c r="Q4" s="11">
        <f>252/2802*100</f>
        <v>8.9935760171306214</v>
      </c>
      <c r="R4" s="11">
        <f>2255/6080*100</f>
        <v>37.088815789473685</v>
      </c>
      <c r="S4" s="11">
        <f>346/846*100</f>
        <v>40.898345153664302</v>
      </c>
      <c r="T4" s="11">
        <f>2281/6136*100</f>
        <v>37.174054758800523</v>
      </c>
      <c r="U4" s="5">
        <v>12.3</v>
      </c>
      <c r="V4" s="5">
        <v>5.5</v>
      </c>
      <c r="W4" s="7">
        <v>36179</v>
      </c>
      <c r="X4" s="4">
        <f t="shared" ca="1" si="0"/>
        <v>22.24931506849315</v>
      </c>
      <c r="Y4" s="11">
        <f>5*12+10</f>
        <v>70</v>
      </c>
      <c r="Z4" s="11">
        <v>226</v>
      </c>
      <c r="AA4" s="11">
        <v>12</v>
      </c>
      <c r="AB4" s="11">
        <v>511</v>
      </c>
      <c r="AC4" s="4">
        <v>234.8</v>
      </c>
      <c r="AD4" s="4">
        <f>Table2[[#This Row],[FP]]/Table2[[#This Row],[NFL.Games]]</f>
        <v>19.566666666666666</v>
      </c>
      <c r="AE4" s="15">
        <f>Table2[[#This Row],[FP]]/Table2[[#This Row],[Snaps]]</f>
        <v>0.45949119373776909</v>
      </c>
    </row>
    <row r="5" spans="1:31" ht="22.5" customHeight="1" x14ac:dyDescent="0.25">
      <c r="A5" s="1" t="s">
        <v>26</v>
      </c>
      <c r="B5" s="1" t="s">
        <v>27</v>
      </c>
      <c r="C5">
        <v>52</v>
      </c>
      <c r="D5" s="1" t="s">
        <v>94</v>
      </c>
      <c r="E5">
        <v>231</v>
      </c>
      <c r="F5">
        <v>1144</v>
      </c>
      <c r="G5">
        <v>4.95</v>
      </c>
      <c r="H5">
        <v>14</v>
      </c>
      <c r="I5">
        <v>3</v>
      </c>
      <c r="J5">
        <v>30</v>
      </c>
      <c r="K5">
        <v>225</v>
      </c>
      <c r="L5" s="4">
        <v>7.5</v>
      </c>
      <c r="M5">
        <v>1</v>
      </c>
      <c r="N5" s="11">
        <f>231/468*100</f>
        <v>49.358974358974365</v>
      </c>
      <c r="O5" s="11">
        <f>1144/1898*100</f>
        <v>60.273972602739725</v>
      </c>
      <c r="P5" s="11">
        <f>30/279*100</f>
        <v>10.75268817204301</v>
      </c>
      <c r="Q5" s="11">
        <f>225/3479*100</f>
        <v>6.4673756826674325</v>
      </c>
      <c r="R5" s="11">
        <f>1369/5377*100</f>
        <v>25.460293844151018</v>
      </c>
      <c r="S5" s="11">
        <f>261/747*100</f>
        <v>34.939759036144579</v>
      </c>
      <c r="T5" s="11">
        <f>1387/5425*100</f>
        <v>25.566820276497698</v>
      </c>
      <c r="U5" s="5">
        <v>58.9</v>
      </c>
      <c r="V5" s="5">
        <v>80.3</v>
      </c>
      <c r="W5" s="7">
        <v>36333</v>
      </c>
      <c r="X5" s="4">
        <f t="shared" ca="1" si="0"/>
        <v>21.827397260273973</v>
      </c>
      <c r="Y5" s="11">
        <f>5*12+10</f>
        <v>70</v>
      </c>
      <c r="Z5" s="11">
        <v>217</v>
      </c>
      <c r="AA5" s="11">
        <v>4</v>
      </c>
      <c r="AB5" s="11">
        <v>297</v>
      </c>
      <c r="AC5" s="4">
        <v>96.3</v>
      </c>
      <c r="AD5" s="4">
        <f>Table2[[#This Row],[FP]]/Table2[[#This Row],[NFL.Games]]</f>
        <v>24.074999999999999</v>
      </c>
      <c r="AE5" s="15">
        <f>Table2[[#This Row],[FP]]/Table2[[#This Row],[Snaps]]</f>
        <v>0.32424242424242422</v>
      </c>
    </row>
    <row r="6" spans="1:31" ht="22.5" customHeight="1" x14ac:dyDescent="0.25">
      <c r="A6" s="1" t="s">
        <v>24</v>
      </c>
      <c r="B6" s="1" t="s">
        <v>25</v>
      </c>
      <c r="C6">
        <v>55</v>
      </c>
      <c r="D6" s="1" t="s">
        <v>95</v>
      </c>
      <c r="E6">
        <v>301</v>
      </c>
      <c r="F6">
        <v>2003</v>
      </c>
      <c r="G6">
        <v>6.65</v>
      </c>
      <c r="H6">
        <v>21</v>
      </c>
      <c r="I6">
        <v>3</v>
      </c>
      <c r="J6">
        <v>23</v>
      </c>
      <c r="K6">
        <v>247</v>
      </c>
      <c r="L6" s="4">
        <v>10.74</v>
      </c>
      <c r="M6">
        <v>2</v>
      </c>
      <c r="N6" s="11">
        <f>301/647*100</f>
        <v>46.522411128284389</v>
      </c>
      <c r="O6" s="11">
        <f>2003/3770*100</f>
        <v>53.129973474801062</v>
      </c>
      <c r="P6" s="11">
        <f>23/271*100</f>
        <v>8.4870848708487081</v>
      </c>
      <c r="Q6" s="11">
        <f>247/3684*100</f>
        <v>6.7046688382193267</v>
      </c>
      <c r="R6" s="11">
        <f>(2003+247)/(3770+3684)*100</f>
        <v>30.185135497719344</v>
      </c>
      <c r="S6" s="11">
        <f>(23+301)/(647+271)*100</f>
        <v>35.294117647058826</v>
      </c>
      <c r="T6" s="11">
        <f>(247+2+2003+21)/(3770+39+3684+48)*100</f>
        <v>30.141890995889138</v>
      </c>
      <c r="U6" s="5">
        <v>0</v>
      </c>
      <c r="V6" s="5">
        <v>0</v>
      </c>
      <c r="W6" s="7">
        <v>36146</v>
      </c>
      <c r="X6" s="4">
        <f t="shared" ca="1" si="0"/>
        <v>22.339726027397262</v>
      </c>
      <c r="Y6" s="11">
        <f>5*12+10</f>
        <v>70</v>
      </c>
      <c r="Z6" s="11">
        <v>212</v>
      </c>
      <c r="AA6" s="11">
        <v>13</v>
      </c>
      <c r="AB6" s="11">
        <v>456</v>
      </c>
      <c r="AC6" s="4">
        <v>157.5</v>
      </c>
      <c r="AD6" s="4">
        <f>Table2[[#This Row],[FP]]/Table2[[#This Row],[NFL.Games]]</f>
        <v>12.115384615384615</v>
      </c>
      <c r="AE6" s="15">
        <f>Table2[[#This Row],[FP]]/Table2[[#This Row],[Snaps]]</f>
        <v>0.34539473684210525</v>
      </c>
    </row>
    <row r="7" spans="1:31" ht="22.5" customHeight="1" x14ac:dyDescent="0.25">
      <c r="A7" s="1" t="s">
        <v>31</v>
      </c>
      <c r="B7" s="1" t="s">
        <v>33</v>
      </c>
      <c r="C7">
        <v>66</v>
      </c>
      <c r="D7" s="1" t="s">
        <v>96</v>
      </c>
      <c r="E7">
        <v>33</v>
      </c>
      <c r="F7">
        <v>369</v>
      </c>
      <c r="G7">
        <v>11.18</v>
      </c>
      <c r="H7">
        <v>4</v>
      </c>
      <c r="I7">
        <v>1</v>
      </c>
      <c r="J7">
        <v>38</v>
      </c>
      <c r="K7">
        <v>735</v>
      </c>
      <c r="L7" s="4">
        <v>19.34</v>
      </c>
      <c r="M7">
        <v>8</v>
      </c>
      <c r="N7" s="11">
        <f>33/536*100</f>
        <v>6.1567164179104479</v>
      </c>
      <c r="O7" s="11">
        <f>369/2703*100</f>
        <v>13.651498335183129</v>
      </c>
      <c r="P7" s="11">
        <f>38/281*100</f>
        <v>13.523131672597867</v>
      </c>
      <c r="Q7" s="11">
        <f>735/4177*100</f>
        <v>17.596361024658847</v>
      </c>
      <c r="R7" s="11">
        <f>(735+369)/(2703+4177)*100</f>
        <v>16.046511627906977</v>
      </c>
      <c r="S7" s="11">
        <f>(38+33)/(536+281)*100</f>
        <v>8.6903304773561807</v>
      </c>
      <c r="T7" s="11">
        <f>(369+4+8+735)/(2703+32+4177+33)*100</f>
        <v>16.069114470842333</v>
      </c>
      <c r="U7" s="5">
        <v>94</v>
      </c>
      <c r="V7" s="5">
        <v>100</v>
      </c>
      <c r="W7" s="7">
        <v>35969</v>
      </c>
      <c r="X7" s="4">
        <f t="shared" ca="1" si="0"/>
        <v>22.824657534246576</v>
      </c>
      <c r="Y7" s="11">
        <f>6*12</f>
        <v>72</v>
      </c>
      <c r="Z7" s="11">
        <v>228</v>
      </c>
      <c r="AA7" s="11">
        <v>11</v>
      </c>
      <c r="AB7" s="11">
        <v>405</v>
      </c>
      <c r="AC7" s="4">
        <v>184.2</v>
      </c>
      <c r="AD7" s="4">
        <f>Table2[[#This Row],[FP]]/Table2[[#This Row],[NFL.Games]]</f>
        <v>16.745454545454546</v>
      </c>
      <c r="AE7" s="15">
        <f>Table2[[#This Row],[FP]]/Table2[[#This Row],[Snaps]]</f>
        <v>0.45481481481481478</v>
      </c>
    </row>
    <row r="8" spans="1:31" ht="22.5" customHeight="1" x14ac:dyDescent="0.25">
      <c r="A8" s="1" t="s">
        <v>22</v>
      </c>
      <c r="B8" s="1" t="s">
        <v>23</v>
      </c>
      <c r="C8">
        <v>76</v>
      </c>
      <c r="D8" s="1" t="s">
        <v>97</v>
      </c>
      <c r="E8">
        <v>198</v>
      </c>
      <c r="F8">
        <v>1028</v>
      </c>
      <c r="G8">
        <v>5.19</v>
      </c>
      <c r="H8">
        <v>9</v>
      </c>
      <c r="I8">
        <v>2</v>
      </c>
      <c r="J8">
        <v>28</v>
      </c>
      <c r="K8">
        <v>270</v>
      </c>
      <c r="L8" s="4">
        <v>9.64</v>
      </c>
      <c r="M8">
        <v>1</v>
      </c>
      <c r="N8" s="11">
        <f>198/357*100</f>
        <v>55.462184873949582</v>
      </c>
      <c r="O8" s="11">
        <f>1028/1526*100</f>
        <v>67.365661861074713</v>
      </c>
      <c r="P8" s="11">
        <f>28/202*100</f>
        <v>13.861386138613863</v>
      </c>
      <c r="Q8" s="11">
        <f>270/2064*100</f>
        <v>13.08139534883721</v>
      </c>
      <c r="R8" s="11">
        <f>(270+1028)/(1526+2064)*100</f>
        <v>36.155988857938723</v>
      </c>
      <c r="S8" s="11">
        <f>(28+198)/(357+202)*100</f>
        <v>40.429338103756706</v>
      </c>
      <c r="T8" s="11">
        <f>(270+1+9+1028)/(1526+11+2064+10)*100</f>
        <v>36.222653004707837</v>
      </c>
      <c r="U8" s="5">
        <v>56.9</v>
      </c>
      <c r="V8" s="5">
        <v>64.599999999999994</v>
      </c>
      <c r="W8" s="7">
        <v>35554</v>
      </c>
      <c r="X8" s="4">
        <f t="shared" ca="1" si="0"/>
        <v>23.961643835616439</v>
      </c>
      <c r="Y8" s="11">
        <f>5*12+10</f>
        <v>70</v>
      </c>
      <c r="Z8" s="11">
        <v>214</v>
      </c>
      <c r="AA8" s="11">
        <v>1</v>
      </c>
      <c r="AB8" s="11">
        <v>99</v>
      </c>
      <c r="AC8" s="4">
        <v>20.8</v>
      </c>
      <c r="AD8" s="4">
        <f>Table2[[#This Row],[FP]]/Table2[[#This Row],[NFL.Games]]</f>
        <v>20.8</v>
      </c>
      <c r="AE8" s="15">
        <f>Table2[[#This Row],[FP]]/Table2[[#This Row],[Snaps]]</f>
        <v>0.21010101010101012</v>
      </c>
    </row>
    <row r="9" spans="1:31" ht="22.5" customHeight="1" x14ac:dyDescent="0.25">
      <c r="A9" s="1" t="s">
        <v>28</v>
      </c>
      <c r="B9" s="1" t="s">
        <v>29</v>
      </c>
      <c r="C9">
        <v>86</v>
      </c>
      <c r="D9" s="1" t="s">
        <v>98</v>
      </c>
      <c r="E9">
        <v>235</v>
      </c>
      <c r="F9">
        <v>1416</v>
      </c>
      <c r="G9">
        <v>6.03</v>
      </c>
      <c r="H9">
        <v>15</v>
      </c>
      <c r="I9">
        <v>1</v>
      </c>
      <c r="J9">
        <v>28</v>
      </c>
      <c r="K9">
        <v>388</v>
      </c>
      <c r="L9" s="4">
        <v>13.86</v>
      </c>
      <c r="M9">
        <v>2</v>
      </c>
      <c r="N9" s="11">
        <f>235/583*100</f>
        <v>40.308747855917666</v>
      </c>
      <c r="O9" s="11">
        <f>1416/2832*100</f>
        <v>50</v>
      </c>
      <c r="P9" s="11">
        <f>28/233*100</f>
        <v>12.017167381974248</v>
      </c>
      <c r="Q9" s="11">
        <f>388/3187*100</f>
        <v>12.174458738625667</v>
      </c>
      <c r="R9" s="11">
        <f>(388+1416)/(2832+3187)*100</f>
        <v>29.971756105665392</v>
      </c>
      <c r="S9" s="11">
        <f>(28+235)/(583+233)*100</f>
        <v>32.230392156862749</v>
      </c>
      <c r="T9" s="11">
        <f>(1416+15+388+2)/(3187+20+34+2832)*100</f>
        <v>29.985180306273669</v>
      </c>
      <c r="U9" s="5">
        <v>38.299999999999997</v>
      </c>
      <c r="V9" s="5">
        <v>30</v>
      </c>
      <c r="W9" s="7">
        <v>35780</v>
      </c>
      <c r="X9" s="4">
        <f t="shared" ca="1" si="0"/>
        <v>23.342465753424658</v>
      </c>
      <c r="Y9" s="11">
        <f>5*12+9</f>
        <v>69</v>
      </c>
      <c r="Z9" s="11">
        <v>205</v>
      </c>
      <c r="AA9" s="11">
        <v>10</v>
      </c>
      <c r="AB9" s="11">
        <v>403</v>
      </c>
      <c r="AC9" s="4">
        <v>94.6</v>
      </c>
      <c r="AD9" s="4">
        <f>Table2[[#This Row],[FP]]/Table2[[#This Row],[NFL.Games]]</f>
        <v>9.4599999999999991</v>
      </c>
      <c r="AE9" s="15">
        <f>Table2[[#This Row],[FP]]/Table2[[#This Row],[Snaps]]</f>
        <v>0.23473945409429278</v>
      </c>
    </row>
    <row r="10" spans="1:31" ht="22.5" customHeight="1" x14ac:dyDescent="0.25">
      <c r="A10" s="1" t="s">
        <v>32</v>
      </c>
      <c r="B10" s="1" t="s">
        <v>35</v>
      </c>
      <c r="C10">
        <v>112</v>
      </c>
      <c r="D10" s="1" t="s">
        <v>99</v>
      </c>
      <c r="E10">
        <v>229</v>
      </c>
      <c r="F10">
        <v>1060</v>
      </c>
      <c r="G10">
        <v>4.63</v>
      </c>
      <c r="H10">
        <v>12</v>
      </c>
      <c r="I10">
        <v>1</v>
      </c>
      <c r="J10">
        <v>11</v>
      </c>
      <c r="K10">
        <v>71</v>
      </c>
      <c r="L10" s="4">
        <v>6.45</v>
      </c>
      <c r="M10">
        <v>1</v>
      </c>
      <c r="N10" s="11">
        <f>229/484*100</f>
        <v>47.314049586776861</v>
      </c>
      <c r="O10" s="11">
        <f>1060/1826*100</f>
        <v>58.050383351588174</v>
      </c>
      <c r="P10" s="11">
        <f>11/260*100</f>
        <v>4.2307692307692308</v>
      </c>
      <c r="Q10" s="11">
        <f>71/3066*100</f>
        <v>2.3157208088714936</v>
      </c>
      <c r="R10" s="11">
        <f>(71+1060)/(1826+3066)*100</f>
        <v>23.119378577269011</v>
      </c>
      <c r="S10" s="11">
        <f>(11+229)/(484+260)*100</f>
        <v>32.258064516129032</v>
      </c>
      <c r="T10" s="11">
        <f>(71+1+12+1060)/(1826+18+3066+22)*100</f>
        <v>23.195458231954582</v>
      </c>
      <c r="U10" s="5">
        <v>49.4</v>
      </c>
      <c r="V10" s="5">
        <v>33</v>
      </c>
      <c r="W10" s="7">
        <v>35754</v>
      </c>
      <c r="X10" s="4">
        <f t="shared" ca="1" si="0"/>
        <v>23.413698630136988</v>
      </c>
      <c r="Y10" s="11">
        <f>5*12+11</f>
        <v>71</v>
      </c>
      <c r="Z10" s="11">
        <v>212</v>
      </c>
      <c r="AA10" s="11">
        <v>5</v>
      </c>
      <c r="AB10" s="11">
        <v>297</v>
      </c>
      <c r="AC10" s="4">
        <v>69.7</v>
      </c>
      <c r="AD10" s="4">
        <f>Table2[[#This Row],[FP]]/Table2[[#This Row],[NFL.Games]]</f>
        <v>13.940000000000001</v>
      </c>
      <c r="AE10" s="15">
        <f>Table2[[#This Row],[FP]]/Table2[[#This Row],[Snaps]]</f>
        <v>0.23468013468013468</v>
      </c>
    </row>
    <row r="11" spans="1:31" ht="22.5" customHeight="1" x14ac:dyDescent="0.25">
      <c r="A11" s="1" t="s">
        <v>70</v>
      </c>
      <c r="B11" s="1" t="s">
        <v>36</v>
      </c>
      <c r="C11">
        <v>120</v>
      </c>
      <c r="D11" s="1" t="s">
        <v>100</v>
      </c>
      <c r="E11">
        <v>132</v>
      </c>
      <c r="F11">
        <v>676</v>
      </c>
      <c r="G11">
        <v>5.12</v>
      </c>
      <c r="H11">
        <v>6</v>
      </c>
      <c r="I11">
        <v>0</v>
      </c>
      <c r="J11">
        <v>40</v>
      </c>
      <c r="K11">
        <v>262</v>
      </c>
      <c r="L11" s="4">
        <v>6.55</v>
      </c>
      <c r="M11">
        <v>5</v>
      </c>
      <c r="N11" s="11">
        <f>132/392*100</f>
        <v>33.673469387755098</v>
      </c>
      <c r="O11" s="11">
        <f>676/1694*100</f>
        <v>39.905548996458087</v>
      </c>
      <c r="P11" s="11">
        <f>40/317*100</f>
        <v>12.618296529968454</v>
      </c>
      <c r="Q11" s="11">
        <f>262/3910*100</f>
        <v>6.7007672634271103</v>
      </c>
      <c r="R11" s="11">
        <f>(262+676)/(1694+3910)*100</f>
        <v>16.73804425410421</v>
      </c>
      <c r="S11" s="11">
        <f>(40+132)/(392+317)*100</f>
        <v>24.259520451339917</v>
      </c>
      <c r="T11" s="11">
        <f>(262+5+6+676)/(1694+21+3910+33)*100</f>
        <v>16.772711205372921</v>
      </c>
      <c r="U11" s="5">
        <v>24.1</v>
      </c>
      <c r="V11" s="5">
        <v>27.1</v>
      </c>
      <c r="W11" s="7">
        <v>35825</v>
      </c>
      <c r="X11" s="4">
        <f t="shared" ca="1" si="0"/>
        <v>23.219178082191782</v>
      </c>
      <c r="Y11" s="11">
        <f>5*12+11</f>
        <v>71</v>
      </c>
      <c r="Z11" s="11">
        <v>216</v>
      </c>
      <c r="AA11" s="11">
        <v>4</v>
      </c>
      <c r="AB11" s="11">
        <v>200</v>
      </c>
      <c r="AC11" s="4">
        <v>47</v>
      </c>
      <c r="AD11" s="4">
        <f>Table2[[#This Row],[FP]]/Table2[[#This Row],[NFL.Games]]</f>
        <v>11.75</v>
      </c>
      <c r="AE11" s="15">
        <f>Table2[[#This Row],[FP]]/Table2[[#This Row],[Snaps]]</f>
        <v>0.23499999999999999</v>
      </c>
    </row>
    <row r="12" spans="1:31" ht="22.5" customHeight="1" x14ac:dyDescent="0.25">
      <c r="A12" s="1" t="s">
        <v>34</v>
      </c>
      <c r="B12" s="1" t="s">
        <v>37</v>
      </c>
      <c r="C12" s="6" t="s">
        <v>38</v>
      </c>
      <c r="D12" s="1" t="s">
        <v>101</v>
      </c>
      <c r="E12">
        <v>364</v>
      </c>
      <c r="F12">
        <v>1899</v>
      </c>
      <c r="G12">
        <v>5.22</v>
      </c>
      <c r="H12">
        <v>18</v>
      </c>
      <c r="I12" s="6" t="s">
        <v>39</v>
      </c>
      <c r="J12">
        <v>16</v>
      </c>
      <c r="K12">
        <v>80</v>
      </c>
      <c r="L12" s="4">
        <v>5</v>
      </c>
      <c r="M12">
        <v>0</v>
      </c>
      <c r="N12" s="11">
        <f>364/645*100</f>
        <v>56.434108527131791</v>
      </c>
      <c r="O12" s="11">
        <f>1899/2733*100</f>
        <v>69.484083424807906</v>
      </c>
      <c r="P12" s="11">
        <f>16/132*100</f>
        <v>12.121212121212121</v>
      </c>
      <c r="Q12" s="11">
        <f>80/1767*100</f>
        <v>4.5274476513865309</v>
      </c>
      <c r="R12" s="11">
        <f>(80+1899)/(2733+1767)*100</f>
        <v>43.977777777777774</v>
      </c>
      <c r="S12" s="11">
        <f>(16+364)/(645+132)*100</f>
        <v>48.906048906048902</v>
      </c>
      <c r="T12" s="11">
        <f>(80+1899+18)/(2733+24+1767+10)*100</f>
        <v>44.044993383325981</v>
      </c>
      <c r="U12" s="5">
        <v>79.78</v>
      </c>
      <c r="V12" s="5">
        <v>96.12</v>
      </c>
      <c r="W12" s="7">
        <v>36016</v>
      </c>
      <c r="X12" s="4">
        <f t="shared" ca="1" si="0"/>
        <v>22.695890410958903</v>
      </c>
      <c r="Y12" s="11">
        <f>5*12+9</f>
        <v>69</v>
      </c>
      <c r="Z12" s="11">
        <v>219</v>
      </c>
      <c r="AA12" s="11">
        <v>14</v>
      </c>
      <c r="AB12" s="11">
        <v>641</v>
      </c>
      <c r="AC12" s="4">
        <v>223.9</v>
      </c>
      <c r="AD12" s="4">
        <f>Table2[[#This Row],[FP]]/Table2[[#This Row],[NFL.Games]]</f>
        <v>15.992857142857144</v>
      </c>
      <c r="AE12" s="15">
        <f>Table2[[#This Row],[FP]]/Table2[[#This Row],[Snaps]]</f>
        <v>0.34929797191887674</v>
      </c>
    </row>
    <row r="13" spans="1:31" ht="22.5" customHeight="1" x14ac:dyDescent="0.25">
      <c r="L13" s="4"/>
      <c r="X13" s="5"/>
      <c r="Y13" s="5"/>
      <c r="Z13" s="5"/>
      <c r="AA13" s="5"/>
      <c r="AB13" s="5"/>
      <c r="AC13" s="5"/>
      <c r="AD13" s="5"/>
    </row>
    <row r="14" spans="1:31" ht="22.5" customHeight="1" x14ac:dyDescent="0.25">
      <c r="L14" s="4"/>
      <c r="X14" s="5"/>
      <c r="Y14" s="5"/>
      <c r="Z14" s="5"/>
      <c r="AA14" s="5"/>
      <c r="AB14" s="5"/>
      <c r="AC14" s="5"/>
      <c r="AD14" s="5"/>
    </row>
    <row r="15" spans="1:31" ht="22.5" customHeight="1" x14ac:dyDescent="0.25">
      <c r="X15" s="5"/>
      <c r="Y15" s="5"/>
      <c r="Z15" s="5"/>
      <c r="AA15" s="5"/>
      <c r="AB15" s="5"/>
      <c r="AC15" s="5"/>
      <c r="AD15" s="5"/>
    </row>
    <row r="16" spans="1:31" ht="22.5" customHeight="1" x14ac:dyDescent="0.25">
      <c r="X16" s="5"/>
      <c r="Y16" s="5"/>
      <c r="Z16" s="5"/>
      <c r="AA16" s="5"/>
      <c r="AB16" s="5"/>
      <c r="AC16" s="5"/>
      <c r="AD16" s="5"/>
    </row>
  </sheetData>
  <sortState xmlns:xlrd2="http://schemas.microsoft.com/office/spreadsheetml/2017/richdata2" ref="A2:AE12">
    <sortCondition ref="C2:C12"/>
  </sortState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CDA0-655D-4FF3-A70D-308CAE2E52F3}">
  <dimension ref="A1:AB58"/>
  <sheetViews>
    <sheetView tabSelected="1" zoomScale="80" zoomScaleNormal="80" workbookViewId="0">
      <pane xSplit="1" topLeftCell="B1" activePane="topRight" state="frozen"/>
      <selection pane="topRight" activeCell="S6" sqref="S6"/>
    </sheetView>
  </sheetViews>
  <sheetFormatPr defaultColWidth="15.42578125" defaultRowHeight="15" x14ac:dyDescent="0.25"/>
  <cols>
    <col min="1" max="1" width="23.85546875" style="1" bestFit="1" customWidth="1"/>
    <col min="2" max="2" width="18.42578125" style="1" bestFit="1" customWidth="1"/>
    <col min="5" max="18" width="0" hidden="1" customWidth="1"/>
  </cols>
  <sheetData>
    <row r="1" spans="1:28" s="1" customFormat="1" x14ac:dyDescent="0.25">
      <c r="A1" s="2" t="s">
        <v>0</v>
      </c>
      <c r="B1" s="2" t="s">
        <v>1</v>
      </c>
      <c r="C1" s="2" t="s">
        <v>68</v>
      </c>
      <c r="D1" s="2" t="s">
        <v>90</v>
      </c>
      <c r="E1" s="2" t="s">
        <v>122</v>
      </c>
      <c r="F1" s="2" t="s">
        <v>17</v>
      </c>
      <c r="G1" s="2" t="s">
        <v>86</v>
      </c>
      <c r="H1" s="2" t="s">
        <v>67</v>
      </c>
      <c r="I1" s="2" t="s">
        <v>87</v>
      </c>
      <c r="J1" s="2" t="s">
        <v>85</v>
      </c>
      <c r="K1" s="2" t="s">
        <v>82</v>
      </c>
      <c r="L1" s="2" t="s">
        <v>83</v>
      </c>
      <c r="M1" s="2" t="s">
        <v>84</v>
      </c>
      <c r="N1" s="2" t="s">
        <v>6</v>
      </c>
      <c r="O1" s="2" t="s">
        <v>112</v>
      </c>
      <c r="P1" s="2" t="s">
        <v>113</v>
      </c>
      <c r="Q1" s="2" t="s">
        <v>117</v>
      </c>
      <c r="R1" s="2" t="s">
        <v>116</v>
      </c>
      <c r="S1" s="2" t="s">
        <v>89</v>
      </c>
      <c r="T1" s="2" t="s">
        <v>69</v>
      </c>
      <c r="U1" s="2" t="s">
        <v>11</v>
      </c>
      <c r="V1" s="2" t="s">
        <v>118</v>
      </c>
      <c r="W1" s="2" t="s">
        <v>119</v>
      </c>
      <c r="X1" s="2" t="s">
        <v>123</v>
      </c>
      <c r="Y1" s="1" t="s">
        <v>124</v>
      </c>
      <c r="Z1" s="1" t="s">
        <v>125</v>
      </c>
      <c r="AA1" s="1" t="s">
        <v>66</v>
      </c>
      <c r="AB1" s="1" t="s">
        <v>126</v>
      </c>
    </row>
    <row r="2" spans="1:28" x14ac:dyDescent="0.25">
      <c r="A2" s="1" t="s">
        <v>46</v>
      </c>
      <c r="B2" s="1" t="s">
        <v>61</v>
      </c>
      <c r="C2">
        <v>92</v>
      </c>
      <c r="D2" s="1" t="s">
        <v>95</v>
      </c>
      <c r="E2" s="1">
        <v>13</v>
      </c>
      <c r="F2">
        <v>106</v>
      </c>
      <c r="G2">
        <v>1386</v>
      </c>
      <c r="H2" s="4">
        <v>13.08</v>
      </c>
      <c r="I2">
        <v>9</v>
      </c>
      <c r="J2">
        <v>10</v>
      </c>
      <c r="K2">
        <v>24</v>
      </c>
      <c r="L2" s="4">
        <v>2.4</v>
      </c>
      <c r="M2">
        <v>1</v>
      </c>
      <c r="N2" s="10" t="s">
        <v>39</v>
      </c>
      <c r="O2" s="12">
        <f>106/306*100</f>
        <v>34.640522875816991</v>
      </c>
      <c r="P2" s="12">
        <f>1386/3761*100</f>
        <v>36.851901090135605</v>
      </c>
      <c r="Q2" s="12">
        <f>9/32*100</f>
        <v>28.125</v>
      </c>
      <c r="R2" s="12">
        <f>(1386+9)/(3761+32)*100</f>
        <v>36.778275771157389</v>
      </c>
      <c r="S2" s="16">
        <v>20.879000000000001</v>
      </c>
      <c r="T2" s="9">
        <v>35685</v>
      </c>
      <c r="U2" s="5">
        <f t="shared" ref="U2:U21" ca="1" si="0">((TODAY()-T2)/365)-1</f>
        <v>23.602739726027398</v>
      </c>
      <c r="V2" s="11">
        <f>5*12+11</f>
        <v>71</v>
      </c>
      <c r="W2" s="11">
        <v>210</v>
      </c>
      <c r="X2" s="11">
        <v>6</v>
      </c>
      <c r="Y2" s="11">
        <v>347</v>
      </c>
      <c r="Z2" s="4">
        <v>43.1</v>
      </c>
      <c r="AA2" s="4">
        <f>Table3[[#This Row],[FP]]/Table3[[#This Row],[NFL.Games]]</f>
        <v>7.1833333333333336</v>
      </c>
      <c r="AB2" s="15">
        <f>Table3[[#This Row],[FP]]/Table3[[#This Row],[Snaps]]</f>
        <v>0.12420749279538905</v>
      </c>
    </row>
    <row r="3" spans="1:28" x14ac:dyDescent="0.25">
      <c r="A3" s="1" t="s">
        <v>54</v>
      </c>
      <c r="B3" s="1" t="s">
        <v>73</v>
      </c>
      <c r="C3">
        <v>128</v>
      </c>
      <c r="D3" s="1" t="s">
        <v>98</v>
      </c>
      <c r="E3" s="1">
        <v>12</v>
      </c>
      <c r="F3">
        <v>72</v>
      </c>
      <c r="G3">
        <v>1241</v>
      </c>
      <c r="H3" s="4">
        <v>17.239999999999998</v>
      </c>
      <c r="I3">
        <v>12</v>
      </c>
      <c r="J3">
        <v>0</v>
      </c>
      <c r="K3">
        <v>0</v>
      </c>
      <c r="L3" s="4">
        <v>0</v>
      </c>
      <c r="M3">
        <v>0</v>
      </c>
      <c r="N3">
        <v>0</v>
      </c>
      <c r="O3" s="12">
        <f>72/271*100</f>
        <v>26.568265682656829</v>
      </c>
      <c r="P3" s="12">
        <f>1241/4117*100</f>
        <v>30.143308234151078</v>
      </c>
      <c r="Q3" s="12">
        <f>12/36*100</f>
        <v>33.333333333333329</v>
      </c>
      <c r="R3" s="12">
        <f>(1241+12)/(4117+36)*100</f>
        <v>30.170960751264147</v>
      </c>
      <c r="S3" s="4">
        <v>11.18</v>
      </c>
      <c r="T3" s="7">
        <v>36251</v>
      </c>
      <c r="U3" s="5">
        <f t="shared" ca="1" si="0"/>
        <v>22.052054794520547</v>
      </c>
      <c r="V3" s="11">
        <f>6*12+2</f>
        <v>74</v>
      </c>
      <c r="W3" s="11">
        <v>210</v>
      </c>
      <c r="X3" s="11">
        <v>15</v>
      </c>
      <c r="Y3" s="11">
        <v>797</v>
      </c>
      <c r="Z3" s="4">
        <v>118.4</v>
      </c>
      <c r="AA3" s="4">
        <f>Table3[[#This Row],[FP]]/Table3[[#This Row],[NFL.Games]]</f>
        <v>7.8933333333333335</v>
      </c>
      <c r="AB3" s="15">
        <f>Table3[[#This Row],[FP]]/Table3[[#This Row],[Snaps]]</f>
        <v>0.14855708908406526</v>
      </c>
    </row>
    <row r="4" spans="1:28" x14ac:dyDescent="0.25">
      <c r="A4" s="1" t="s">
        <v>127</v>
      </c>
      <c r="B4" s="1" t="s">
        <v>128</v>
      </c>
      <c r="C4">
        <v>173</v>
      </c>
      <c r="D4" s="1" t="s">
        <v>129</v>
      </c>
      <c r="E4" s="1">
        <v>13</v>
      </c>
      <c r="F4">
        <v>48</v>
      </c>
      <c r="G4">
        <v>713</v>
      </c>
      <c r="H4" s="4">
        <f>Table3[[#This Row],[Rec.Yds]]/Table3[[#This Row],[Receptions]]</f>
        <v>14.854166666666666</v>
      </c>
      <c r="I4">
        <v>5</v>
      </c>
      <c r="J4">
        <v>0</v>
      </c>
      <c r="K4">
        <v>0</v>
      </c>
      <c r="L4" s="4">
        <v>0</v>
      </c>
      <c r="M4">
        <v>0</v>
      </c>
      <c r="N4">
        <v>0</v>
      </c>
      <c r="O4" s="12">
        <f>48/197*100</f>
        <v>24.36548223350254</v>
      </c>
      <c r="P4" s="12">
        <f>713/2679*100</f>
        <v>26.614408361328856</v>
      </c>
      <c r="Q4" s="12">
        <f>5/19*100</f>
        <v>26.315789473684209</v>
      </c>
      <c r="R4" s="12">
        <f>(5+713)/(19+2679)*100</f>
        <v>26.612305411415864</v>
      </c>
      <c r="S4" s="4">
        <f>48/350*100</f>
        <v>13.714285714285715</v>
      </c>
      <c r="T4" s="7">
        <v>35732</v>
      </c>
      <c r="U4" s="5">
        <f t="shared" ca="1" si="0"/>
        <v>23.473972602739725</v>
      </c>
      <c r="V4" s="11">
        <f>5*12+11</f>
        <v>71</v>
      </c>
      <c r="W4" s="11">
        <v>174</v>
      </c>
      <c r="X4" s="11">
        <v>15</v>
      </c>
      <c r="Y4" s="11">
        <v>781</v>
      </c>
      <c r="Z4" s="4">
        <v>120.6</v>
      </c>
      <c r="AA4" s="4">
        <f>Table3[[#This Row],[FP]]/Table3[[#This Row],[NFL.Games]]</f>
        <v>8.0399999999999991</v>
      </c>
      <c r="AB4" s="15">
        <f>Table3[[#This Row],[FP]]/Table3[[#This Row],[Snaps]]</f>
        <v>0.15441741357234315</v>
      </c>
    </row>
    <row r="5" spans="1:28" x14ac:dyDescent="0.25">
      <c r="A5" s="1" t="s">
        <v>44</v>
      </c>
      <c r="B5" s="1" t="s">
        <v>60</v>
      </c>
      <c r="C5">
        <v>33</v>
      </c>
      <c r="D5" s="1" t="s">
        <v>108</v>
      </c>
      <c r="E5" s="1">
        <v>15</v>
      </c>
      <c r="F5">
        <v>59</v>
      </c>
      <c r="G5">
        <v>1167</v>
      </c>
      <c r="H5" s="4">
        <v>19.78</v>
      </c>
      <c r="I5">
        <v>13</v>
      </c>
      <c r="J5">
        <v>1</v>
      </c>
      <c r="K5">
        <v>36</v>
      </c>
      <c r="L5" s="4">
        <v>36</v>
      </c>
      <c r="M5">
        <v>1</v>
      </c>
      <c r="N5">
        <v>0</v>
      </c>
      <c r="O5" s="11">
        <f>59/326*100</f>
        <v>18.098159509202453</v>
      </c>
      <c r="P5" s="11">
        <f>1167/4325*100</f>
        <v>26.98265895953757</v>
      </c>
      <c r="Q5" s="11">
        <f>13/40*100</f>
        <v>32.5</v>
      </c>
      <c r="R5" s="11">
        <f>(13+1167)/(4325+40)*100</f>
        <v>27.033218785796105</v>
      </c>
      <c r="S5" s="4">
        <f>16/388*100</f>
        <v>4.1237113402061851</v>
      </c>
      <c r="T5" s="7">
        <v>36178</v>
      </c>
      <c r="U5" s="5">
        <f t="shared" ca="1" si="0"/>
        <v>22.252054794520546</v>
      </c>
      <c r="V5" s="11">
        <f>6*12+4</f>
        <v>76</v>
      </c>
      <c r="W5" s="11">
        <v>215</v>
      </c>
      <c r="X5" s="11">
        <v>14</v>
      </c>
      <c r="Y5" s="11">
        <v>805</v>
      </c>
      <c r="Z5" s="4">
        <v>161.1</v>
      </c>
      <c r="AA5" s="4">
        <f>Table3[[#This Row],[FP]]/Table3[[#This Row],[NFL.Games]]</f>
        <v>11.507142857142856</v>
      </c>
      <c r="AB5" s="15">
        <f>Table3[[#This Row],[FP]]/Table3[[#This Row],[Snaps]]</f>
        <v>0.20012422360248447</v>
      </c>
    </row>
    <row r="6" spans="1:28" x14ac:dyDescent="0.25">
      <c r="A6" s="1" t="s">
        <v>41</v>
      </c>
      <c r="B6" s="1" t="s">
        <v>16</v>
      </c>
      <c r="C6">
        <v>17</v>
      </c>
      <c r="D6" s="1" t="s">
        <v>104</v>
      </c>
      <c r="E6" s="1">
        <v>13</v>
      </c>
      <c r="F6">
        <v>62</v>
      </c>
      <c r="G6">
        <v>1327</v>
      </c>
      <c r="H6" s="4">
        <v>21.4</v>
      </c>
      <c r="I6">
        <v>14</v>
      </c>
      <c r="J6">
        <v>9</v>
      </c>
      <c r="K6">
        <v>20</v>
      </c>
      <c r="L6" s="4">
        <v>2.2200000000000002</v>
      </c>
      <c r="M6">
        <v>1</v>
      </c>
      <c r="N6">
        <v>2</v>
      </c>
      <c r="O6" s="11">
        <f>62/262*100</f>
        <v>23.664122137404579</v>
      </c>
      <c r="P6" s="11">
        <f>1327/4164*100</f>
        <v>31.86839577329491</v>
      </c>
      <c r="Q6" s="11">
        <f>14/36*100</f>
        <v>38.888888888888893</v>
      </c>
      <c r="R6" s="11">
        <f>(1327+14)/(4164+36)*100</f>
        <v>31.928571428571427</v>
      </c>
      <c r="S6" s="4">
        <v>32.770000000000003</v>
      </c>
      <c r="T6" s="7">
        <v>36258</v>
      </c>
      <c r="U6" s="5">
        <f t="shared" ca="1" si="0"/>
        <v>22.032876712328768</v>
      </c>
      <c r="V6" s="11">
        <f>6*12+2</f>
        <v>74</v>
      </c>
      <c r="W6" s="11">
        <v>189</v>
      </c>
      <c r="X6" s="11">
        <v>16</v>
      </c>
      <c r="Y6" s="11">
        <v>731</v>
      </c>
      <c r="Z6" s="4">
        <v>179.7</v>
      </c>
      <c r="AA6" s="4">
        <f>Table3[[#This Row],[FP]]/Table3[[#This Row],[NFL.Games]]</f>
        <v>11.231249999999999</v>
      </c>
      <c r="AB6" s="15">
        <f>Table3[[#This Row],[FP]]/Table3[[#This Row],[Snaps]]</f>
        <v>0.24582763337893296</v>
      </c>
    </row>
    <row r="7" spans="1:28" x14ac:dyDescent="0.25">
      <c r="A7" s="1" t="s">
        <v>45</v>
      </c>
      <c r="B7" s="1" t="s">
        <v>14</v>
      </c>
      <c r="C7">
        <v>15</v>
      </c>
      <c r="D7" s="1" t="s">
        <v>103</v>
      </c>
      <c r="E7" s="1">
        <v>13</v>
      </c>
      <c r="F7">
        <v>77</v>
      </c>
      <c r="G7">
        <v>1163</v>
      </c>
      <c r="H7" s="4">
        <v>15.1</v>
      </c>
      <c r="I7">
        <v>10</v>
      </c>
      <c r="J7">
        <v>1</v>
      </c>
      <c r="K7">
        <v>1</v>
      </c>
      <c r="L7" s="4">
        <v>1</v>
      </c>
      <c r="M7">
        <v>0</v>
      </c>
      <c r="N7">
        <v>0</v>
      </c>
      <c r="O7" s="11">
        <f>77/287*100</f>
        <v>26.829268292682929</v>
      </c>
      <c r="P7" s="11">
        <f>1163/4449*100</f>
        <v>26.140705776579004</v>
      </c>
      <c r="Q7" s="11">
        <f>10/49*100</f>
        <v>20.408163265306122</v>
      </c>
      <c r="R7" s="11">
        <f>(1163+10)/(4449+49)*100</f>
        <v>26.078257003112494</v>
      </c>
      <c r="S7" s="4">
        <f>44/262*100</f>
        <v>16.793893129770993</v>
      </c>
      <c r="T7" s="7">
        <v>36274</v>
      </c>
      <c r="U7" s="5">
        <f t="shared" ca="1" si="0"/>
        <v>21.989041095890411</v>
      </c>
      <c r="V7" s="11">
        <f>6*12+1</f>
        <v>73</v>
      </c>
      <c r="W7" s="11">
        <v>193</v>
      </c>
      <c r="X7" s="11">
        <v>16</v>
      </c>
      <c r="Y7" s="11">
        <v>806</v>
      </c>
      <c r="Z7" s="4">
        <v>129.6</v>
      </c>
      <c r="AA7" s="4">
        <f>Table3[[#This Row],[FP]]/Table3[[#This Row],[NFL.Games]]</f>
        <v>8.1</v>
      </c>
      <c r="AB7" s="15">
        <f>Table3[[#This Row],[FP]]/Table3[[#This Row],[Snaps]]</f>
        <v>0.1607940446650124</v>
      </c>
    </row>
    <row r="8" spans="1:28" x14ac:dyDescent="0.25">
      <c r="A8" s="1" t="s">
        <v>48</v>
      </c>
      <c r="B8" s="1" t="s">
        <v>63</v>
      </c>
      <c r="C8">
        <v>46</v>
      </c>
      <c r="D8" s="1" t="s">
        <v>103</v>
      </c>
      <c r="E8" s="1">
        <v>13</v>
      </c>
      <c r="F8">
        <v>56</v>
      </c>
      <c r="G8">
        <v>904</v>
      </c>
      <c r="H8" s="4">
        <v>16.14</v>
      </c>
      <c r="I8">
        <v>8</v>
      </c>
      <c r="J8">
        <v>13</v>
      </c>
      <c r="K8">
        <v>43</v>
      </c>
      <c r="L8" s="4">
        <v>3.31</v>
      </c>
      <c r="M8">
        <v>0</v>
      </c>
      <c r="N8">
        <v>3</v>
      </c>
      <c r="O8" s="11">
        <f>56/217*100</f>
        <v>25.806451612903224</v>
      </c>
      <c r="P8" s="11">
        <f>904/2887*100</f>
        <v>31.312781434014546</v>
      </c>
      <c r="Q8" s="11">
        <f>8/25*100</f>
        <v>32</v>
      </c>
      <c r="R8" s="11">
        <f>(8+904)/(2887+25)*100</f>
        <v>31.318681318681318</v>
      </c>
      <c r="S8" s="4">
        <f>44/262*100</f>
        <v>16.793893129770993</v>
      </c>
      <c r="T8" s="7">
        <v>36349</v>
      </c>
      <c r="U8" s="5">
        <f t="shared" ca="1" si="0"/>
        <v>21.783561643835615</v>
      </c>
      <c r="V8" s="11">
        <f>5*12+9</f>
        <v>69</v>
      </c>
      <c r="W8" s="11">
        <v>178</v>
      </c>
      <c r="X8" s="11">
        <v>10</v>
      </c>
      <c r="Y8" s="11">
        <v>521</v>
      </c>
      <c r="Z8" s="4">
        <v>73.099999999999994</v>
      </c>
      <c r="AA8" s="4">
        <f>Table3[[#This Row],[FP]]/Table3[[#This Row],[NFL.Games]]</f>
        <v>7.31</v>
      </c>
      <c r="AB8" s="15">
        <f>Table3[[#This Row],[FP]]/Table3[[#This Row],[Snaps]]</f>
        <v>0.1403071017274472</v>
      </c>
    </row>
    <row r="9" spans="1:28" x14ac:dyDescent="0.25">
      <c r="A9" s="1" t="s">
        <v>50</v>
      </c>
      <c r="B9" s="1" t="s">
        <v>71</v>
      </c>
      <c r="C9">
        <v>34</v>
      </c>
      <c r="D9" s="1" t="s">
        <v>93</v>
      </c>
      <c r="E9" s="1">
        <v>13</v>
      </c>
      <c r="F9">
        <v>101</v>
      </c>
      <c r="G9">
        <v>1275</v>
      </c>
      <c r="H9" s="4">
        <v>12.62</v>
      </c>
      <c r="I9">
        <v>11</v>
      </c>
      <c r="J9">
        <v>0</v>
      </c>
      <c r="K9">
        <v>0</v>
      </c>
      <c r="L9" s="4">
        <v>0</v>
      </c>
      <c r="M9">
        <v>0</v>
      </c>
      <c r="N9">
        <v>1</v>
      </c>
      <c r="O9" s="11">
        <f>101/365*100</f>
        <v>27.671232876712327</v>
      </c>
      <c r="P9" s="11">
        <f>1275/4365*100</f>
        <v>29.209621993127151</v>
      </c>
      <c r="Q9" s="11">
        <f>11/35*100</f>
        <v>31.428571428571427</v>
      </c>
      <c r="R9" s="11">
        <f>(11+1275)/(4365+35)*100</f>
        <v>29.22727272727273</v>
      </c>
      <c r="S9" s="4">
        <v>21.96</v>
      </c>
      <c r="T9" s="7">
        <v>35708</v>
      </c>
      <c r="U9" s="5">
        <f t="shared" ca="1" si="0"/>
        <v>23.539726027397261</v>
      </c>
      <c r="V9" s="11">
        <f>6*12+4</f>
        <v>76</v>
      </c>
      <c r="W9" s="11">
        <v>223</v>
      </c>
      <c r="X9" s="11">
        <v>13</v>
      </c>
      <c r="Y9" s="11">
        <v>700</v>
      </c>
      <c r="Z9" s="4">
        <v>78.900000000000006</v>
      </c>
      <c r="AA9" s="4">
        <f>Table3[[#This Row],[FP]]/Table3[[#This Row],[NFL.Games]]</f>
        <v>6.0692307692307699</v>
      </c>
      <c r="AB9" s="15">
        <f>Table3[[#This Row],[FP]]/Table3[[#This Row],[Snaps]]</f>
        <v>0.11271428571428573</v>
      </c>
    </row>
    <row r="10" spans="1:28" x14ac:dyDescent="0.25">
      <c r="A10" s="1" t="s">
        <v>52</v>
      </c>
      <c r="B10" s="1" t="s">
        <v>72</v>
      </c>
      <c r="C10">
        <v>42</v>
      </c>
      <c r="D10" s="1" t="s">
        <v>101</v>
      </c>
      <c r="E10" s="1">
        <v>11</v>
      </c>
      <c r="F10">
        <v>56</v>
      </c>
      <c r="G10">
        <v>764</v>
      </c>
      <c r="H10" s="4">
        <v>13.64</v>
      </c>
      <c r="I10">
        <v>4</v>
      </c>
      <c r="J10">
        <v>23</v>
      </c>
      <c r="K10">
        <v>161</v>
      </c>
      <c r="L10" s="4">
        <v>7</v>
      </c>
      <c r="M10">
        <v>2</v>
      </c>
      <c r="N10">
        <v>1</v>
      </c>
      <c r="O10" s="11">
        <f>56/257*100</f>
        <v>21.789883268482491</v>
      </c>
      <c r="P10" s="11">
        <f>764/2858*100</f>
        <v>26.731980405878236</v>
      </c>
      <c r="Q10" s="11">
        <f>4/18*100</f>
        <v>22.222222222222221</v>
      </c>
      <c r="R10" s="11">
        <f>(4+764)/(2858+18)*100</f>
        <v>26.703755215577189</v>
      </c>
      <c r="S10" s="4">
        <v>3.0979999999999999</v>
      </c>
      <c r="T10" s="7">
        <v>36073</v>
      </c>
      <c r="U10" s="5">
        <f t="shared" ca="1" si="0"/>
        <v>22.539726027397261</v>
      </c>
      <c r="V10" s="11">
        <f>6*12+1</f>
        <v>73</v>
      </c>
      <c r="W10" s="11">
        <v>227</v>
      </c>
      <c r="X10" s="11">
        <v>12</v>
      </c>
      <c r="Y10" s="11">
        <v>585</v>
      </c>
      <c r="Z10" s="4">
        <v>128.1</v>
      </c>
      <c r="AA10" s="4">
        <f>Table3[[#This Row],[FP]]/Table3[[#This Row],[NFL.Games]]</f>
        <v>10.674999999999999</v>
      </c>
      <c r="AB10" s="15">
        <f>Table3[[#This Row],[FP]]/Table3[[#This Row],[Snaps]]</f>
        <v>0.21897435897435896</v>
      </c>
    </row>
    <row r="11" spans="1:28" x14ac:dyDescent="0.25">
      <c r="A11" s="1" t="s">
        <v>56</v>
      </c>
      <c r="B11" s="1" t="s">
        <v>75</v>
      </c>
      <c r="C11">
        <v>151</v>
      </c>
      <c r="D11" s="1" t="s">
        <v>99</v>
      </c>
      <c r="E11" s="1">
        <v>13</v>
      </c>
      <c r="F11">
        <v>77</v>
      </c>
      <c r="G11">
        <v>679</v>
      </c>
      <c r="H11" s="4">
        <v>8.82</v>
      </c>
      <c r="I11">
        <v>7</v>
      </c>
      <c r="J11">
        <v>8</v>
      </c>
      <c r="K11">
        <v>42</v>
      </c>
      <c r="L11" s="4">
        <v>5.25</v>
      </c>
      <c r="M11">
        <v>0</v>
      </c>
      <c r="N11">
        <v>1</v>
      </c>
      <c r="O11" s="12">
        <f>77/337*100</f>
        <v>22.848664688427299</v>
      </c>
      <c r="P11" s="12">
        <f>679/3748*100</f>
        <v>18.116328708644609</v>
      </c>
      <c r="Q11" s="12">
        <f>7/23*100</f>
        <v>30.434782608695656</v>
      </c>
      <c r="R11" s="12">
        <f>(7+679)/(3748+23)*100</f>
        <v>18.191461150888358</v>
      </c>
      <c r="S11" s="4">
        <v>16.61</v>
      </c>
      <c r="T11" s="7">
        <v>35799</v>
      </c>
      <c r="U11" s="5">
        <f t="shared" ca="1" si="0"/>
        <v>23.290410958904111</v>
      </c>
      <c r="V11" s="11">
        <f>6*12</f>
        <v>72</v>
      </c>
      <c r="W11" s="11">
        <v>224</v>
      </c>
      <c r="X11" s="11">
        <v>0.81</v>
      </c>
      <c r="Y11" s="11">
        <v>27</v>
      </c>
      <c r="Z11" s="4">
        <v>8.9</v>
      </c>
      <c r="AA11" s="4">
        <f>Table3[[#This Row],[FP]]/Table3[[#This Row],[NFL.Games]]</f>
        <v>10.987654320987653</v>
      </c>
      <c r="AB11" s="15">
        <f>Table3[[#This Row],[FP]]/Table3[[#This Row],[Snaps]]</f>
        <v>0.32962962962962966</v>
      </c>
    </row>
    <row r="12" spans="1:28" x14ac:dyDescent="0.25">
      <c r="A12" s="1" t="s">
        <v>53</v>
      </c>
      <c r="B12" s="1" t="s">
        <v>36</v>
      </c>
      <c r="C12">
        <v>57</v>
      </c>
      <c r="D12" s="1" t="s">
        <v>94</v>
      </c>
      <c r="E12" s="1">
        <v>13</v>
      </c>
      <c r="F12">
        <v>49</v>
      </c>
      <c r="G12">
        <v>657</v>
      </c>
      <c r="H12" s="4">
        <v>13.41</v>
      </c>
      <c r="I12">
        <v>6</v>
      </c>
      <c r="J12">
        <v>1</v>
      </c>
      <c r="K12">
        <v>7</v>
      </c>
      <c r="L12" s="4">
        <v>7</v>
      </c>
      <c r="M12">
        <v>0</v>
      </c>
      <c r="N12">
        <v>0</v>
      </c>
      <c r="O12" s="11">
        <f>49/317*100</f>
        <v>15.457413249211358</v>
      </c>
      <c r="P12" s="11">
        <f>657/3910*100</f>
        <v>16.803069053708438</v>
      </c>
      <c r="Q12" s="11">
        <f>6/33*100</f>
        <v>18.181818181818183</v>
      </c>
      <c r="R12" s="11">
        <f>(6+657)/(3910+33)*100</f>
        <v>16.814608166370785</v>
      </c>
      <c r="S12" s="4">
        <v>19.591999999999999</v>
      </c>
      <c r="T12" s="7">
        <v>35272</v>
      </c>
      <c r="U12" s="5">
        <f t="shared" ca="1" si="0"/>
        <v>24.734246575342464</v>
      </c>
      <c r="V12" s="11">
        <f>6*12+1</f>
        <v>73</v>
      </c>
      <c r="W12" s="11">
        <v>200</v>
      </c>
      <c r="X12" s="11">
        <v>2.79</v>
      </c>
      <c r="Y12" s="11">
        <v>256</v>
      </c>
      <c r="Z12" s="4">
        <v>36.4</v>
      </c>
      <c r="AA12" s="4">
        <f>Table3[[#This Row],[FP]]/Table3[[#This Row],[NFL.Games]]</f>
        <v>13.046594982078853</v>
      </c>
      <c r="AB12" s="15">
        <f>Table3[[#This Row],[FP]]/Table3[[#This Row],[Snaps]]</f>
        <v>0.14218749999999999</v>
      </c>
    </row>
    <row r="13" spans="1:28" x14ac:dyDescent="0.25">
      <c r="A13" s="1" t="s">
        <v>121</v>
      </c>
      <c r="B13" s="1" t="s">
        <v>14</v>
      </c>
      <c r="C13">
        <v>12</v>
      </c>
      <c r="D13" s="1" t="s">
        <v>102</v>
      </c>
      <c r="E13" s="1">
        <v>12</v>
      </c>
      <c r="F13">
        <v>40</v>
      </c>
      <c r="G13">
        <v>746</v>
      </c>
      <c r="H13" s="4">
        <v>18.649999999999999</v>
      </c>
      <c r="I13">
        <v>7</v>
      </c>
      <c r="J13">
        <v>2</v>
      </c>
      <c r="K13">
        <v>75</v>
      </c>
      <c r="L13" s="4">
        <v>37.5</v>
      </c>
      <c r="M13">
        <v>1</v>
      </c>
      <c r="N13">
        <v>0</v>
      </c>
      <c r="O13" s="11">
        <f>40/287*100</f>
        <v>13.937282229965156</v>
      </c>
      <c r="P13" s="11">
        <f>746/4449*100</f>
        <v>16.767812991683524</v>
      </c>
      <c r="Q13" s="11">
        <f>7/49*100</f>
        <v>14.285714285714285</v>
      </c>
      <c r="R13" s="11">
        <f>(746+7)/(4449+49)*100</f>
        <v>16.740773677189864</v>
      </c>
      <c r="S13" s="4">
        <v>47.41</v>
      </c>
      <c r="T13" s="7">
        <v>36184</v>
      </c>
      <c r="U13" s="5">
        <f t="shared" ca="1" si="0"/>
        <v>22.235616438356164</v>
      </c>
      <c r="V13" s="11">
        <f>6*12</f>
        <v>72</v>
      </c>
      <c r="W13" s="11">
        <v>190</v>
      </c>
      <c r="X13" s="11">
        <v>13</v>
      </c>
      <c r="Y13" s="11">
        <v>581</v>
      </c>
      <c r="Z13" s="4">
        <v>71.099999999999994</v>
      </c>
      <c r="AA13" s="4">
        <f>Table3[[#This Row],[FP]]/Table3[[#This Row],[NFL.Games]]</f>
        <v>5.4692307692307685</v>
      </c>
      <c r="AB13" s="15">
        <f>Table3[[#This Row],[FP]]/Table3[[#This Row],[Snaps]]</f>
        <v>0.12237521514629947</v>
      </c>
    </row>
    <row r="14" spans="1:28" x14ac:dyDescent="0.25">
      <c r="A14" s="1" t="s">
        <v>49</v>
      </c>
      <c r="B14" s="1" t="s">
        <v>64</v>
      </c>
      <c r="C14">
        <v>81</v>
      </c>
      <c r="D14" s="1" t="s">
        <v>102</v>
      </c>
      <c r="E14" s="1">
        <v>10</v>
      </c>
      <c r="F14">
        <v>71</v>
      </c>
      <c r="G14">
        <v>816</v>
      </c>
      <c r="H14" s="4">
        <v>11.49</v>
      </c>
      <c r="I14">
        <v>6</v>
      </c>
      <c r="J14">
        <v>2</v>
      </c>
      <c r="K14">
        <v>22</v>
      </c>
      <c r="L14" s="4">
        <v>11</v>
      </c>
      <c r="M14">
        <v>0</v>
      </c>
      <c r="N14">
        <v>0</v>
      </c>
      <c r="O14" s="11">
        <f>71/268*100</f>
        <v>26.492537313432834</v>
      </c>
      <c r="P14" s="11">
        <f>816/2667*100</f>
        <v>30.596175478065241</v>
      </c>
      <c r="Q14" s="11">
        <f>6/12*100</f>
        <v>50</v>
      </c>
      <c r="R14" s="11">
        <f>(6+816)/(2667+12)*100</f>
        <v>30.683090705487121</v>
      </c>
      <c r="S14" s="4">
        <v>47.41</v>
      </c>
      <c r="T14" s="7">
        <v>36112</v>
      </c>
      <c r="U14" s="5">
        <f t="shared" ca="1" si="0"/>
        <v>22.432876712328767</v>
      </c>
      <c r="V14" s="11">
        <f>6*12+3</f>
        <v>75</v>
      </c>
      <c r="W14" s="11">
        <v>212</v>
      </c>
      <c r="X14" s="11">
        <v>3</v>
      </c>
      <c r="Y14" s="11">
        <v>259</v>
      </c>
      <c r="Z14" s="4">
        <v>30.8</v>
      </c>
      <c r="AA14" s="4">
        <f>Table3[[#This Row],[FP]]/Table3[[#This Row],[NFL.Games]]</f>
        <v>10.266666666666667</v>
      </c>
      <c r="AB14" s="15">
        <f>Table3[[#This Row],[FP]]/Table3[[#This Row],[Snaps]]</f>
        <v>0.11891891891891893</v>
      </c>
    </row>
    <row r="15" spans="1:28" x14ac:dyDescent="0.25">
      <c r="A15" s="1" t="s">
        <v>40</v>
      </c>
      <c r="B15" s="1" t="s">
        <v>8</v>
      </c>
      <c r="C15">
        <v>22</v>
      </c>
      <c r="D15" s="1" t="s">
        <v>106</v>
      </c>
      <c r="E15" s="1">
        <v>15</v>
      </c>
      <c r="F15">
        <v>111</v>
      </c>
      <c r="G15">
        <v>1540</v>
      </c>
      <c r="H15" s="4">
        <v>13.87</v>
      </c>
      <c r="I15">
        <v>18</v>
      </c>
      <c r="J15">
        <v>0</v>
      </c>
      <c r="K15">
        <v>0</v>
      </c>
      <c r="L15" s="4">
        <v>0</v>
      </c>
      <c r="M15">
        <v>0</v>
      </c>
      <c r="N15">
        <v>0</v>
      </c>
      <c r="O15" s="11">
        <f>111/426*100</f>
        <v>26.056338028169012</v>
      </c>
      <c r="P15" s="11">
        <f>1540/6024*100</f>
        <v>25.564409030544489</v>
      </c>
      <c r="Q15" s="11">
        <f>18/61*100</f>
        <v>29.508196721311474</v>
      </c>
      <c r="R15" s="11">
        <f>(18+1540)/(6024+61)*100</f>
        <v>25.603944124897289</v>
      </c>
      <c r="S15" s="4">
        <v>52.63</v>
      </c>
      <c r="T15" s="7">
        <v>36176</v>
      </c>
      <c r="U15" s="5">
        <f t="shared" ca="1" si="0"/>
        <v>22.257534246575343</v>
      </c>
      <c r="V15" s="11">
        <f>6*12+1</f>
        <v>73</v>
      </c>
      <c r="W15" s="11">
        <v>202</v>
      </c>
      <c r="X15" s="11">
        <v>16</v>
      </c>
      <c r="Y15" s="11">
        <v>886</v>
      </c>
      <c r="Z15" s="4">
        <v>229.2</v>
      </c>
      <c r="AA15" s="4">
        <f>Table3[[#This Row],[FP]]/Table3[[#This Row],[NFL.Games]]</f>
        <v>14.324999999999999</v>
      </c>
      <c r="AB15" s="15">
        <f>Table3[[#This Row],[FP]]/Table3[[#This Row],[Snaps]]</f>
        <v>0.2586907449209932</v>
      </c>
    </row>
    <row r="16" spans="1:28" x14ac:dyDescent="0.25">
      <c r="A16" s="1" t="s">
        <v>43</v>
      </c>
      <c r="B16" s="1" t="s">
        <v>59</v>
      </c>
      <c r="C16">
        <v>59</v>
      </c>
      <c r="D16" s="1" t="s">
        <v>100</v>
      </c>
      <c r="E16" s="1">
        <v>14</v>
      </c>
      <c r="F16">
        <v>66</v>
      </c>
      <c r="G16">
        <v>1020</v>
      </c>
      <c r="H16" s="4">
        <v>15.45</v>
      </c>
      <c r="I16">
        <v>12</v>
      </c>
      <c r="J16">
        <v>0</v>
      </c>
      <c r="K16">
        <v>0</v>
      </c>
      <c r="L16" s="4">
        <v>0</v>
      </c>
      <c r="M16">
        <v>0</v>
      </c>
      <c r="N16">
        <v>2</v>
      </c>
      <c r="O16" s="11">
        <f>66/277*100</f>
        <v>23.826714801444044</v>
      </c>
      <c r="P16" s="11">
        <f>1020/3571*100</f>
        <v>28.563427611313358</v>
      </c>
      <c r="Q16" s="11">
        <f>12/24*100</f>
        <v>50</v>
      </c>
      <c r="R16" s="11">
        <f>(12+1020)/(3571+24)*100</f>
        <v>28.70653685674548</v>
      </c>
      <c r="S16" s="4">
        <v>51.3</v>
      </c>
      <c r="T16" s="7">
        <v>35713</v>
      </c>
      <c r="U16" s="5">
        <f t="shared" ca="1" si="0"/>
        <v>23.526027397260275</v>
      </c>
      <c r="V16" s="11">
        <f>6*12+3</f>
        <v>75</v>
      </c>
      <c r="W16" s="11">
        <v>207</v>
      </c>
      <c r="X16" s="11">
        <v>8</v>
      </c>
      <c r="Y16" s="11">
        <v>439</v>
      </c>
      <c r="Z16" s="4">
        <v>49.2</v>
      </c>
      <c r="AA16" s="4">
        <f>Table3[[#This Row],[FP]]/Table3[[#This Row],[NFL.Games]]</f>
        <v>6.15</v>
      </c>
      <c r="AB16" s="15">
        <f>Table3[[#This Row],[FP]]/Table3[[#This Row],[Snaps]]</f>
        <v>0.11207289293849659</v>
      </c>
    </row>
    <row r="17" spans="1:28" x14ac:dyDescent="0.25">
      <c r="A17" s="1" t="s">
        <v>42</v>
      </c>
      <c r="B17" s="1" t="s">
        <v>58</v>
      </c>
      <c r="C17">
        <v>21</v>
      </c>
      <c r="D17" s="1" t="s">
        <v>105</v>
      </c>
      <c r="E17" s="1">
        <v>12</v>
      </c>
      <c r="F17">
        <v>43</v>
      </c>
      <c r="G17">
        <v>611</v>
      </c>
      <c r="H17" s="4">
        <v>14.21</v>
      </c>
      <c r="I17">
        <v>5</v>
      </c>
      <c r="J17">
        <v>14</v>
      </c>
      <c r="K17">
        <v>89</v>
      </c>
      <c r="L17" s="4">
        <v>6.36</v>
      </c>
      <c r="M17">
        <v>0</v>
      </c>
      <c r="N17">
        <v>6</v>
      </c>
      <c r="O17" s="11">
        <f>43/211*100</f>
        <v>20.379146919431278</v>
      </c>
      <c r="P17" s="11">
        <f>611/2444*100</f>
        <v>25</v>
      </c>
      <c r="Q17" s="11">
        <f>5/15*100</f>
        <v>33.333333333333329</v>
      </c>
      <c r="R17" s="11">
        <f>(5+611)/(2444+15)*100</f>
        <v>25.050833672224481</v>
      </c>
      <c r="S17" s="4">
        <v>42.23</v>
      </c>
      <c r="T17" s="7">
        <v>36161</v>
      </c>
      <c r="U17" s="5">
        <f t="shared" ca="1" si="0"/>
        <v>22.298630136986301</v>
      </c>
      <c r="V17" s="11">
        <f>5*12+11</f>
        <v>71</v>
      </c>
      <c r="W17" s="11">
        <v>197</v>
      </c>
      <c r="X17" s="11">
        <v>10</v>
      </c>
      <c r="Y17" s="11">
        <v>511</v>
      </c>
      <c r="Z17" s="4">
        <v>70.7</v>
      </c>
      <c r="AA17" s="4">
        <f>Table3[[#This Row],[FP]]/Table3[[#This Row],[NFL.Games]]</f>
        <v>7.07</v>
      </c>
      <c r="AB17" s="15">
        <f>Table3[[#This Row],[FP]]/Table3[[#This Row],[Snaps]]</f>
        <v>0.13835616438356166</v>
      </c>
    </row>
    <row r="18" spans="1:28" x14ac:dyDescent="0.25">
      <c r="A18" s="1" t="s">
        <v>51</v>
      </c>
      <c r="B18" s="1" t="s">
        <v>65</v>
      </c>
      <c r="C18">
        <v>49</v>
      </c>
      <c r="D18" s="1" t="s">
        <v>109</v>
      </c>
      <c r="E18" s="1">
        <v>13</v>
      </c>
      <c r="F18">
        <v>66</v>
      </c>
      <c r="G18">
        <v>1037</v>
      </c>
      <c r="H18" s="4">
        <v>15.71</v>
      </c>
      <c r="I18">
        <v>13</v>
      </c>
      <c r="J18">
        <v>0</v>
      </c>
      <c r="K18">
        <v>0</v>
      </c>
      <c r="L18">
        <v>0</v>
      </c>
      <c r="M18">
        <v>0</v>
      </c>
      <c r="N18">
        <v>0</v>
      </c>
      <c r="O18" s="11">
        <f>66/253*100</f>
        <v>26.086956521739129</v>
      </c>
      <c r="P18" s="11">
        <f>1037/3278*100</f>
        <v>31.63514338010982</v>
      </c>
      <c r="Q18" s="11">
        <f>13/37*100</f>
        <v>35.135135135135137</v>
      </c>
      <c r="R18" s="11">
        <f>(13+1037)/(3278+37)*100</f>
        <v>31.674208144796378</v>
      </c>
      <c r="S18" s="4">
        <v>17.056000000000001</v>
      </c>
      <c r="T18" s="7">
        <v>35983</v>
      </c>
      <c r="U18" s="5">
        <f t="shared" ca="1" si="0"/>
        <v>22.786301369863015</v>
      </c>
      <c r="V18" s="11">
        <f>6*12+4</f>
        <v>76</v>
      </c>
      <c r="W18" s="11">
        <v>238</v>
      </c>
      <c r="X18" s="11">
        <v>14</v>
      </c>
      <c r="Y18" s="11">
        <v>692</v>
      </c>
      <c r="Z18" s="4">
        <v>181.9</v>
      </c>
      <c r="AA18" s="4">
        <f>Table3[[#This Row],[FP]]/Table3[[#This Row],[NFL.Games]]</f>
        <v>12.992857142857144</v>
      </c>
      <c r="AB18" s="15">
        <f>Table3[[#This Row],[FP]]/Table3[[#This Row],[Snaps]]</f>
        <v>0.26286127167630058</v>
      </c>
    </row>
    <row r="19" spans="1:28" x14ac:dyDescent="0.25">
      <c r="A19" s="1" t="s">
        <v>47</v>
      </c>
      <c r="B19" s="1" t="s">
        <v>62</v>
      </c>
      <c r="C19">
        <v>25</v>
      </c>
      <c r="D19" s="1" t="s">
        <v>107</v>
      </c>
      <c r="E19" s="1">
        <v>12</v>
      </c>
      <c r="F19">
        <v>65</v>
      </c>
      <c r="G19">
        <v>1192</v>
      </c>
      <c r="H19" s="4">
        <v>18.34</v>
      </c>
      <c r="I19">
        <v>8</v>
      </c>
      <c r="J19">
        <v>1</v>
      </c>
      <c r="K19">
        <v>6</v>
      </c>
      <c r="L19" s="4">
        <v>6</v>
      </c>
      <c r="M19">
        <v>0</v>
      </c>
      <c r="N19">
        <v>1</v>
      </c>
      <c r="O19" s="11">
        <f>65/233*100</f>
        <v>27.896995708154503</v>
      </c>
      <c r="P19" s="11">
        <f>1192/3235*100</f>
        <v>36.84698608964451</v>
      </c>
      <c r="Q19" s="11">
        <f>8/21*100</f>
        <v>38.095238095238095</v>
      </c>
      <c r="R19" s="11">
        <f>(8+1192)/(3235+21)*100</f>
        <v>36.855036855036857</v>
      </c>
      <c r="S19" s="4">
        <v>48.927</v>
      </c>
      <c r="T19" s="7">
        <v>35871</v>
      </c>
      <c r="U19" s="5">
        <f t="shared" ca="1" si="0"/>
        <v>23.093150684931508</v>
      </c>
      <c r="V19" s="11">
        <f>6*12</f>
        <v>72</v>
      </c>
      <c r="W19" s="11">
        <v>200</v>
      </c>
      <c r="X19" s="11">
        <v>12</v>
      </c>
      <c r="Y19" s="11">
        <v>728</v>
      </c>
      <c r="Z19" s="4">
        <v>154.5</v>
      </c>
      <c r="AA19" s="4">
        <f>Table3[[#This Row],[FP]]/Table3[[#This Row],[NFL.Games]]</f>
        <v>12.875</v>
      </c>
      <c r="AB19" s="15">
        <f>Table3[[#This Row],[FP]]/Table3[[#This Row],[Snaps]]</f>
        <v>0.21222527472527472</v>
      </c>
    </row>
    <row r="20" spans="1:28" x14ac:dyDescent="0.25">
      <c r="A20" s="1" t="s">
        <v>57</v>
      </c>
      <c r="B20" s="1" t="s">
        <v>76</v>
      </c>
      <c r="C20">
        <v>161</v>
      </c>
      <c r="D20" s="1" t="s">
        <v>97</v>
      </c>
      <c r="E20" s="1">
        <v>13</v>
      </c>
      <c r="F20">
        <v>86</v>
      </c>
      <c r="G20">
        <v>1318</v>
      </c>
      <c r="H20" s="4">
        <v>15.33</v>
      </c>
      <c r="I20">
        <v>13</v>
      </c>
      <c r="J20">
        <v>1</v>
      </c>
      <c r="K20">
        <v>-1</v>
      </c>
      <c r="L20" s="4">
        <v>-1</v>
      </c>
      <c r="M20">
        <v>0</v>
      </c>
      <c r="N20">
        <v>2</v>
      </c>
      <c r="O20" s="12">
        <f>86/212*100</f>
        <v>40.566037735849058</v>
      </c>
      <c r="P20" s="12">
        <f>1318/3298*100</f>
        <v>39.963614311704063</v>
      </c>
      <c r="Q20" s="12">
        <f>13/31*100</f>
        <v>41.935483870967744</v>
      </c>
      <c r="R20" s="12">
        <f>(13+1318)/(3293+31)*100</f>
        <v>40.042117930204576</v>
      </c>
      <c r="S20" s="4">
        <v>22.545999999999999</v>
      </c>
      <c r="T20" s="7">
        <v>36032</v>
      </c>
      <c r="U20" s="5">
        <f t="shared" ca="1" si="0"/>
        <v>22.652054794520549</v>
      </c>
      <c r="V20" s="11">
        <f>6*12+2</f>
        <v>74</v>
      </c>
      <c r="W20" s="11">
        <v>206</v>
      </c>
      <c r="X20" s="11">
        <v>2.5</v>
      </c>
      <c r="Y20" s="11">
        <v>264</v>
      </c>
      <c r="Z20" s="4">
        <v>34.9</v>
      </c>
      <c r="AA20" s="4">
        <f>Table3[[#This Row],[FP]]/Table3[[#This Row],[NFL.Games]]</f>
        <v>13.959999999999999</v>
      </c>
      <c r="AB20" s="15">
        <f>Table3[[#This Row],[FP]]/Table3[[#This Row],[Snaps]]</f>
        <v>0.1321969696969697</v>
      </c>
    </row>
    <row r="21" spans="1:28" x14ac:dyDescent="0.25">
      <c r="A21" s="1" t="s">
        <v>55</v>
      </c>
      <c r="B21" s="1" t="s">
        <v>74</v>
      </c>
      <c r="C21">
        <v>142</v>
      </c>
      <c r="D21" s="1" t="s">
        <v>96</v>
      </c>
      <c r="E21" s="1">
        <v>13</v>
      </c>
      <c r="F21">
        <v>79</v>
      </c>
      <c r="G21">
        <v>1396</v>
      </c>
      <c r="H21" s="4">
        <v>17.670000000000002</v>
      </c>
      <c r="I21">
        <v>10</v>
      </c>
      <c r="J21">
        <v>0</v>
      </c>
      <c r="K21">
        <v>0</v>
      </c>
      <c r="L21" s="4">
        <v>0</v>
      </c>
      <c r="M21">
        <v>0</v>
      </c>
      <c r="N21" t="s">
        <v>39</v>
      </c>
      <c r="O21" s="12">
        <f>79/257*100</f>
        <v>30.739299610894943</v>
      </c>
      <c r="P21" s="12">
        <f>1396/3756*100</f>
        <v>37.167199148029816</v>
      </c>
      <c r="Q21" s="12">
        <f>10/29*100</f>
        <v>34.482758620689658</v>
      </c>
      <c r="R21" s="12">
        <f>(10+1396)/(29+3756)*100</f>
        <v>37.146631439894321</v>
      </c>
      <c r="S21" s="4">
        <v>47.037999999999997</v>
      </c>
      <c r="T21" s="7">
        <v>35896</v>
      </c>
      <c r="U21" s="5">
        <f t="shared" ca="1" si="0"/>
        <v>23.024657534246575</v>
      </c>
      <c r="V21" s="11">
        <f>6*12+4</f>
        <v>76</v>
      </c>
      <c r="W21" s="11">
        <v>223</v>
      </c>
      <c r="X21" s="11">
        <v>2</v>
      </c>
      <c r="Y21" s="11">
        <v>124</v>
      </c>
      <c r="Z21" s="4">
        <v>3</v>
      </c>
      <c r="AA21" s="4">
        <f>Table3[[#This Row],[FP]]/Table3[[#This Row],[NFL.Games]]</f>
        <v>1.5</v>
      </c>
      <c r="AB21" s="15">
        <f>Table3[[#This Row],[FP]]/Table3[[#This Row],[Snaps]]</f>
        <v>2.4193548387096774E-2</v>
      </c>
    </row>
    <row r="22" spans="1:28" x14ac:dyDescent="0.25">
      <c r="X22" s="4"/>
    </row>
    <row r="23" spans="1:28" x14ac:dyDescent="0.25">
      <c r="X23" s="4"/>
    </row>
    <row r="24" spans="1:28" x14ac:dyDescent="0.25">
      <c r="X24" s="4"/>
    </row>
    <row r="25" spans="1:28" x14ac:dyDescent="0.25">
      <c r="X25" s="4"/>
    </row>
    <row r="26" spans="1:28" x14ac:dyDescent="0.25">
      <c r="X26" s="4"/>
    </row>
    <row r="27" spans="1:28" x14ac:dyDescent="0.25">
      <c r="X27" s="4"/>
    </row>
    <row r="28" spans="1:28" x14ac:dyDescent="0.25">
      <c r="X28" s="4"/>
    </row>
    <row r="29" spans="1:28" x14ac:dyDescent="0.25">
      <c r="X29" s="4"/>
    </row>
    <row r="30" spans="1:28" x14ac:dyDescent="0.25">
      <c r="X30" s="4"/>
    </row>
    <row r="31" spans="1:28" x14ac:dyDescent="0.25">
      <c r="X31" s="4"/>
    </row>
    <row r="32" spans="1:28" x14ac:dyDescent="0.25">
      <c r="X32" s="4"/>
    </row>
    <row r="33" spans="24:24" x14ac:dyDescent="0.25">
      <c r="X33" s="4"/>
    </row>
    <row r="34" spans="24:24" x14ac:dyDescent="0.25">
      <c r="X34" s="4"/>
    </row>
    <row r="35" spans="24:24" x14ac:dyDescent="0.25">
      <c r="X35" s="4"/>
    </row>
    <row r="36" spans="24:24" x14ac:dyDescent="0.25">
      <c r="X36" s="4"/>
    </row>
    <row r="37" spans="24:24" x14ac:dyDescent="0.25">
      <c r="X37" s="4"/>
    </row>
    <row r="38" spans="24:24" x14ac:dyDescent="0.25">
      <c r="X38" s="4"/>
    </row>
    <row r="39" spans="24:24" x14ac:dyDescent="0.25">
      <c r="X39" s="4"/>
    </row>
    <row r="40" spans="24:24" x14ac:dyDescent="0.25">
      <c r="X40" s="4"/>
    </row>
    <row r="41" spans="24:24" x14ac:dyDescent="0.25">
      <c r="X41" s="4"/>
    </row>
    <row r="42" spans="24:24" x14ac:dyDescent="0.25">
      <c r="X42" s="4"/>
    </row>
    <row r="43" spans="24:24" x14ac:dyDescent="0.25">
      <c r="X43" s="4"/>
    </row>
    <row r="44" spans="24:24" x14ac:dyDescent="0.25">
      <c r="X44" s="4"/>
    </row>
    <row r="45" spans="24:24" x14ac:dyDescent="0.25">
      <c r="X45" s="4"/>
    </row>
    <row r="46" spans="24:24" x14ac:dyDescent="0.25">
      <c r="X46" s="4"/>
    </row>
    <row r="47" spans="24:24" x14ac:dyDescent="0.25">
      <c r="X47" s="4"/>
    </row>
    <row r="48" spans="24:24" x14ac:dyDescent="0.25">
      <c r="X48" s="4"/>
    </row>
    <row r="49" spans="24:24" x14ac:dyDescent="0.25">
      <c r="X49" s="4"/>
    </row>
    <row r="50" spans="24:24" x14ac:dyDescent="0.25">
      <c r="X50" s="4"/>
    </row>
    <row r="51" spans="24:24" x14ac:dyDescent="0.25">
      <c r="X51" s="4"/>
    </row>
    <row r="52" spans="24:24" x14ac:dyDescent="0.25">
      <c r="X52" s="4"/>
    </row>
    <row r="53" spans="24:24" x14ac:dyDescent="0.25">
      <c r="X53" s="4"/>
    </row>
    <row r="54" spans="24:24" x14ac:dyDescent="0.25">
      <c r="X54" s="4"/>
    </row>
    <row r="55" spans="24:24" x14ac:dyDescent="0.25">
      <c r="X55" s="4"/>
    </row>
    <row r="56" spans="24:24" x14ac:dyDescent="0.25">
      <c r="X56" s="4"/>
    </row>
    <row r="57" spans="24:24" x14ac:dyDescent="0.25">
      <c r="X57" s="4"/>
    </row>
    <row r="58" spans="24:24" x14ac:dyDescent="0.25">
      <c r="X58" s="4"/>
    </row>
  </sheetData>
  <sortState xmlns:xlrd2="http://schemas.microsoft.com/office/spreadsheetml/2017/richdata2" ref="A2:X20">
    <sortCondition ref="C2:C20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Quarterbacks</vt:lpstr>
      <vt:lpstr>Running Backs</vt:lpstr>
      <vt:lpstr>Wide Receivers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bborh</dc:creator>
  <cp:lastModifiedBy>bborh</cp:lastModifiedBy>
  <dcterms:created xsi:type="dcterms:W3CDTF">2021-03-15T19:54:36Z</dcterms:created>
  <dcterms:modified xsi:type="dcterms:W3CDTF">2022-04-14T19:55:44Z</dcterms:modified>
</cp:coreProperties>
</file>