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Y" sheetId="1" r:id="rId4"/>
  </sheets>
  <definedNames/>
  <calcPr/>
  <extLst>
    <ext uri="GoogleSheetsCustomDataVersion1">
      <go:sheetsCustomData xmlns:go="http://customooxmlschemas.google.com/" r:id="rId5" roundtripDataSignature="AMtx7mgF8zaFFKXKstz/nSK6MAGj91OPXg=="/>
    </ext>
  </extLst>
</workbook>
</file>

<file path=xl/sharedStrings.xml><?xml version="1.0" encoding="utf-8"?>
<sst xmlns="http://schemas.openxmlformats.org/spreadsheetml/2006/main" count="129" uniqueCount="71">
  <si>
    <t>D2</t>
  </si>
  <si>
    <t>D1</t>
  </si>
  <si>
    <t>COST</t>
  </si>
  <si>
    <t>E01</t>
  </si>
  <si>
    <t>E02</t>
  </si>
  <si>
    <t>E03</t>
  </si>
  <si>
    <t>E04</t>
  </si>
  <si>
    <t>E05</t>
  </si>
  <si>
    <t>E06</t>
  </si>
  <si>
    <t>I01</t>
  </si>
  <si>
    <t>I02</t>
  </si>
  <si>
    <t>I03</t>
  </si>
  <si>
    <t>P01</t>
  </si>
  <si>
    <t>P02</t>
  </si>
  <si>
    <t>P03</t>
  </si>
  <si>
    <t>P11</t>
  </si>
  <si>
    <t>P12</t>
  </si>
  <si>
    <t>P13</t>
  </si>
  <si>
    <t>P14</t>
  </si>
  <si>
    <t>P15</t>
  </si>
  <si>
    <t>P16</t>
  </si>
  <si>
    <t>Drilling per well</t>
  </si>
  <si>
    <t>Injection Pump per well</t>
  </si>
  <si>
    <t>ESP per production well</t>
  </si>
  <si>
    <t>VSD per production well</t>
  </si>
  <si>
    <t>Christmass tree per new well</t>
  </si>
  <si>
    <t>Degasser per doublet</t>
  </si>
  <si>
    <t>Heat exchanger per doublet</t>
  </si>
  <si>
    <t>CHP per doublet</t>
  </si>
  <si>
    <t>Filter per demand location</t>
  </si>
  <si>
    <t>Piping</t>
  </si>
  <si>
    <t>CAPEX</t>
  </si>
  <si>
    <t>Inj Pump (OPEX)</t>
  </si>
  <si>
    <t>Christmass tree (OPEX)</t>
  </si>
  <si>
    <t>Degasser (OPEX)</t>
  </si>
  <si>
    <t>Heat exchanger (OPEX)</t>
  </si>
  <si>
    <t>CHP (OPEX)</t>
  </si>
  <si>
    <t>Filter (OPEX)</t>
  </si>
  <si>
    <t>Piping (OPEX)</t>
  </si>
  <si>
    <t>OPEX</t>
  </si>
  <si>
    <t>TOTAL COST</t>
  </si>
  <si>
    <t>periodic_OpEx_rate</t>
  </si>
  <si>
    <t xml:space="preserve">DRILLING, SURFACE &amp; FACILITIES </t>
  </si>
  <si>
    <t>PIPING</t>
  </si>
  <si>
    <t>NPV</t>
  </si>
  <si>
    <t xml:space="preserve">Years </t>
  </si>
  <si>
    <t>Equipment</t>
  </si>
  <si>
    <t>Replacement 
frequency per year</t>
  </si>
  <si>
    <t>Number of 
replacement 
new wells</t>
  </si>
  <si>
    <t>Number of 
replacement 
old wells</t>
  </si>
  <si>
    <t>Well</t>
  </si>
  <si>
    <t>x_coord*</t>
  </si>
  <si>
    <t>y_coord*</t>
  </si>
  <si>
    <t>Connected 
to</t>
  </si>
  <si>
    <t>Piping 
(in 1/20 
km)</t>
  </si>
  <si>
    <t>Piping 
(in km)</t>
  </si>
  <si>
    <t>Piping 
fraction, 
%</t>
  </si>
  <si>
    <t>Demand 
area in 
Hague</t>
  </si>
  <si>
    <t>Cost of 
MW, 
EUR</t>
  </si>
  <si>
    <t>MW per 
capita</t>
  </si>
  <si>
    <t>Population
of demand
area</t>
  </si>
  <si>
    <t>NPV
(estimated)</t>
  </si>
  <si>
    <t>Doublets 
per D1</t>
  </si>
  <si>
    <t>ESP</t>
  </si>
  <si>
    <t>Doublets 
per D2</t>
  </si>
  <si>
    <t>Injection Pump</t>
  </si>
  <si>
    <t>Filter</t>
  </si>
  <si>
    <t>Total piping, km</t>
  </si>
  <si>
    <t>* Every unit in the coordinates corresponds to 50 m</t>
  </si>
  <si>
    <t>Piping to D1, km</t>
  </si>
  <si>
    <t>Piping to D2, km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</si>
</sst>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sz val="6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b/>
      <sz val="10.0"/>
      <color rgb="FFEA4335"/>
      <name val="Arial"/>
    </font>
    <font>
      <b/>
      <sz val="10.0"/>
      <color rgb="FFFF0000"/>
      <name val="Arial"/>
    </font>
    <font>
      <b/>
      <color theme="0"/>
      <name val="Arial"/>
    </font>
    <font>
      <color theme="1"/>
      <name val="Arial"/>
    </font>
    <font>
      <b/>
      <color theme="1"/>
      <name val="Arial"/>
    </font>
    <font>
      <b/>
      <color rgb="FF000000"/>
      <name val="Arial"/>
    </font>
    <font>
      <sz val="9.0"/>
      <color rgb="FFEA4335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6B26B"/>
        <bgColor rgb="FFF6B26B"/>
      </patternFill>
    </fill>
    <fill>
      <patternFill patternType="solid">
        <fgColor rgb="FFEA4335"/>
        <bgColor rgb="FFEA4335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right/>
      <top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" fillId="2" fontId="2" numFmtId="0" xfId="0" applyAlignment="1" applyBorder="1" applyFill="1" applyFont="1">
      <alignment horizontal="center"/>
    </xf>
    <xf borderId="1" fillId="3" fontId="2" numFmtId="0" xfId="0" applyAlignment="1" applyBorder="1" applyFill="1" applyFont="1">
      <alignment horizontal="center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readingOrder="0"/>
    </xf>
    <xf borderId="1" fillId="0" fontId="3" numFmtId="3" xfId="0" applyBorder="1" applyFont="1" applyNumberFormat="1"/>
    <xf borderId="1" fillId="0" fontId="3" numFmtId="3" xfId="0" applyAlignment="1" applyBorder="1" applyFont="1" applyNumberFormat="1">
      <alignment readingOrder="0"/>
    </xf>
    <xf borderId="1" fillId="0" fontId="2" numFmtId="3" xfId="0" applyBorder="1" applyFont="1" applyNumberFormat="1"/>
    <xf borderId="1" fillId="0" fontId="4" numFmtId="4" xfId="0" applyAlignment="1" applyBorder="1" applyFont="1" applyNumberFormat="1">
      <alignment readingOrder="0"/>
    </xf>
    <xf borderId="1" fillId="0" fontId="5" numFmtId="3" xfId="0" applyBorder="1" applyFont="1" applyNumberFormat="1"/>
    <xf borderId="0" fillId="4" fontId="6" numFmtId="3" xfId="0" applyFill="1" applyFont="1" applyNumberFormat="1"/>
    <xf borderId="0" fillId="0" fontId="3" numFmtId="4" xfId="0" applyFont="1" applyNumberFormat="1"/>
    <xf borderId="1" fillId="0" fontId="2" numFmtId="0" xfId="0" applyBorder="1" applyFont="1"/>
    <xf borderId="1" fillId="0" fontId="2" numFmtId="4" xfId="0" applyAlignment="1" applyBorder="1" applyFont="1" applyNumberFormat="1">
      <alignment readingOrder="0"/>
    </xf>
    <xf borderId="2" fillId="0" fontId="3" numFmtId="4" xfId="0" applyBorder="1" applyFont="1" applyNumberFormat="1"/>
    <xf borderId="0" fillId="0" fontId="7" numFmtId="0" xfId="0" applyAlignment="1" applyFont="1">
      <alignment readingOrder="0"/>
    </xf>
    <xf borderId="3" fillId="0" fontId="2" numFmtId="0" xfId="0" applyAlignment="1" applyBorder="1" applyFont="1">
      <alignment readingOrder="0"/>
    </xf>
    <xf borderId="2" fillId="0" fontId="2" numFmtId="0" xfId="0" applyBorder="1" applyFont="1"/>
    <xf borderId="0" fillId="0" fontId="8" numFmtId="0" xfId="0" applyAlignment="1" applyFont="1">
      <alignment readingOrder="0"/>
    </xf>
    <xf borderId="1" fillId="5" fontId="8" numFmtId="0" xfId="0" applyAlignment="1" applyBorder="1" applyFill="1" applyFont="1">
      <alignment readingOrder="0"/>
    </xf>
    <xf borderId="1" fillId="0" fontId="9" numFmtId="0" xfId="0" applyAlignment="1" applyBorder="1" applyFont="1">
      <alignment horizontal="left" readingOrder="0"/>
    </xf>
    <xf borderId="1" fillId="0" fontId="8" numFmtId="0" xfId="0" applyAlignment="1" applyBorder="1" applyFont="1">
      <alignment readingOrder="0"/>
    </xf>
    <xf borderId="1" fillId="6" fontId="8" numFmtId="0" xfId="0" applyAlignment="1" applyBorder="1" applyFill="1" applyFont="1">
      <alignment readingOrder="0"/>
    </xf>
    <xf borderId="1" fillId="0" fontId="3" numFmtId="0" xfId="0" applyBorder="1" applyFont="1"/>
    <xf borderId="1" fillId="0" fontId="3" numFmtId="4" xfId="0" applyBorder="1" applyFont="1" applyNumberFormat="1"/>
    <xf borderId="1" fillId="0" fontId="3" numFmtId="0" xfId="0" applyAlignment="1" applyBorder="1" applyFont="1">
      <alignment readingOrder="0"/>
    </xf>
    <xf borderId="1" fillId="6" fontId="2" numFmtId="3" xfId="0" applyBorder="1" applyFont="1" applyNumberFormat="1"/>
    <xf borderId="1" fillId="0" fontId="2" numFmtId="4" xfId="0" applyBorder="1" applyFont="1" applyNumberFormat="1"/>
    <xf borderId="1" fillId="0" fontId="2" numFmtId="10" xfId="0" applyAlignment="1" applyBorder="1" applyFont="1" applyNumberFormat="1">
      <alignment readingOrder="0"/>
    </xf>
    <xf borderId="0" fillId="0" fontId="10" numFmtId="0" xfId="0" applyFont="1"/>
    <xf borderId="1" fillId="6" fontId="2" numFmtId="0" xfId="0" applyAlignment="1" applyBorder="1" applyFont="1">
      <alignment readingOrder="0"/>
    </xf>
    <xf borderId="1" fillId="6" fontId="2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28</xdr:row>
      <xdr:rowOff>180975</xdr:rowOff>
    </xdr:from>
    <xdr:ext cx="5038725" cy="34099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8.43"/>
    <col customWidth="1" min="2" max="19" width="9.57"/>
    <col customWidth="1" min="20" max="21" width="18.0"/>
    <col customWidth="1" min="24" max="24" width="17.57"/>
  </cols>
  <sheetData>
    <row r="1" ht="15.75" customHeight="1">
      <c r="B1" s="1" t="s">
        <v>0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0</v>
      </c>
      <c r="S1" s="1" t="s">
        <v>0</v>
      </c>
      <c r="T1" s="1" t="s">
        <v>1</v>
      </c>
      <c r="U1" s="1" t="s">
        <v>0</v>
      </c>
    </row>
    <row r="2" ht="15.75" customHeight="1">
      <c r="A2" s="2" t="s">
        <v>2</v>
      </c>
      <c r="B2" s="3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3" t="s">
        <v>19</v>
      </c>
      <c r="S2" s="3" t="s">
        <v>20</v>
      </c>
      <c r="T2" s="5" t="s">
        <v>1</v>
      </c>
      <c r="U2" s="3" t="s">
        <v>0</v>
      </c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ht="15.75" customHeight="1">
      <c r="A3" s="7" t="s">
        <v>21</v>
      </c>
      <c r="B3" s="8">
        <v>0.0</v>
      </c>
      <c r="C3" s="8">
        <v>0.0</v>
      </c>
      <c r="D3" s="8">
        <v>0.0</v>
      </c>
      <c r="E3" s="8">
        <v>0.0</v>
      </c>
      <c r="F3" s="8">
        <v>0.0</v>
      </c>
      <c r="G3" s="8">
        <v>0.0</v>
      </c>
      <c r="H3" s="8">
        <v>0.0</v>
      </c>
      <c r="I3" s="8">
        <v>0.0</v>
      </c>
      <c r="J3" s="8">
        <v>0.0</v>
      </c>
      <c r="K3" s="8">
        <v>0.0</v>
      </c>
      <c r="L3" s="8">
        <v>0.0</v>
      </c>
      <c r="M3" s="8">
        <v>0.0</v>
      </c>
      <c r="N3" s="9">
        <v>4113000.0</v>
      </c>
      <c r="O3" s="9">
        <v>4113000.0</v>
      </c>
      <c r="P3" s="9">
        <v>4113000.0</v>
      </c>
      <c r="Q3" s="9">
        <v>4113000.0</v>
      </c>
      <c r="R3" s="9">
        <v>4113000.0</v>
      </c>
      <c r="S3" s="9">
        <v>4113000.0</v>
      </c>
      <c r="T3" s="10">
        <f t="shared" ref="T3:T7" si="3">sum(C3:F3,N3:Q3)</f>
        <v>16452000</v>
      </c>
      <c r="U3" s="10">
        <f t="shared" ref="U3:U7" si="4">sum(B3,G3:M3,R3:S3)</f>
        <v>8226000</v>
      </c>
    </row>
    <row r="4" ht="15.75" customHeight="1">
      <c r="A4" s="7" t="s">
        <v>22</v>
      </c>
      <c r="B4" s="8">
        <f t="shared" ref="B4:G4" si="1">$F$27* 300000</f>
        <v>1200000</v>
      </c>
      <c r="C4" s="8">
        <f t="shared" si="1"/>
        <v>1200000</v>
      </c>
      <c r="D4" s="8">
        <f t="shared" si="1"/>
        <v>1200000</v>
      </c>
      <c r="E4" s="8">
        <f t="shared" si="1"/>
        <v>1200000</v>
      </c>
      <c r="F4" s="8">
        <f t="shared" si="1"/>
        <v>1200000</v>
      </c>
      <c r="G4" s="8">
        <f t="shared" si="1"/>
        <v>1200000</v>
      </c>
      <c r="H4" s="8">
        <f t="shared" ref="H4:J4" si="2">$G$27* 300000</f>
        <v>1200000</v>
      </c>
      <c r="I4" s="8">
        <f t="shared" si="2"/>
        <v>1200000</v>
      </c>
      <c r="J4" s="8">
        <f t="shared" si="2"/>
        <v>1200000</v>
      </c>
      <c r="K4" s="8">
        <v>0.0</v>
      </c>
      <c r="L4" s="8">
        <v>0.0</v>
      </c>
      <c r="M4" s="8">
        <v>0.0</v>
      </c>
      <c r="N4" s="8">
        <v>0.0</v>
      </c>
      <c r="O4" s="8">
        <v>0.0</v>
      </c>
      <c r="P4" s="8">
        <v>0.0</v>
      </c>
      <c r="Q4" s="8">
        <v>0.0</v>
      </c>
      <c r="R4" s="8">
        <v>0.0</v>
      </c>
      <c r="S4" s="8">
        <v>0.0</v>
      </c>
      <c r="T4" s="10">
        <f t="shared" si="3"/>
        <v>4800000</v>
      </c>
      <c r="U4" s="10">
        <f t="shared" si="4"/>
        <v>6000000</v>
      </c>
    </row>
    <row r="5" ht="15.75" customHeight="1">
      <c r="A5" s="7" t="s">
        <v>23</v>
      </c>
      <c r="B5" s="8">
        <v>0.0</v>
      </c>
      <c r="C5" s="8">
        <v>0.0</v>
      </c>
      <c r="D5" s="8">
        <v>0.0</v>
      </c>
      <c r="E5" s="8">
        <v>0.0</v>
      </c>
      <c r="F5" s="8">
        <v>0.0</v>
      </c>
      <c r="G5" s="8">
        <v>0.0</v>
      </c>
      <c r="H5" s="8">
        <v>0.0</v>
      </c>
      <c r="I5" s="8">
        <v>0.0</v>
      </c>
      <c r="J5" s="8">
        <v>0.0</v>
      </c>
      <c r="K5" s="8">
        <f t="shared" ref="K5:M5" si="5">$G$26* 400000</f>
        <v>2400000</v>
      </c>
      <c r="L5" s="8">
        <f t="shared" si="5"/>
        <v>2400000</v>
      </c>
      <c r="M5" s="8">
        <f t="shared" si="5"/>
        <v>2400000</v>
      </c>
      <c r="N5" s="8">
        <f t="shared" ref="N5:S5" si="6">$F$26* 400000</f>
        <v>2800000</v>
      </c>
      <c r="O5" s="8">
        <f t="shared" si="6"/>
        <v>2800000</v>
      </c>
      <c r="P5" s="8">
        <f t="shared" si="6"/>
        <v>2800000</v>
      </c>
      <c r="Q5" s="8">
        <f t="shared" si="6"/>
        <v>2800000</v>
      </c>
      <c r="R5" s="8">
        <f t="shared" si="6"/>
        <v>2800000</v>
      </c>
      <c r="S5" s="8">
        <f t="shared" si="6"/>
        <v>2800000</v>
      </c>
      <c r="T5" s="10">
        <f t="shared" si="3"/>
        <v>11200000</v>
      </c>
      <c r="U5" s="10">
        <f t="shared" si="4"/>
        <v>12800000</v>
      </c>
    </row>
    <row r="6" ht="15.75" customHeight="1">
      <c r="A6" s="7" t="s">
        <v>24</v>
      </c>
      <c r="B6" s="8">
        <v>0.0</v>
      </c>
      <c r="C6" s="8">
        <v>0.0</v>
      </c>
      <c r="D6" s="8">
        <v>0.0</v>
      </c>
      <c r="E6" s="8">
        <v>0.0</v>
      </c>
      <c r="F6" s="8">
        <v>0.0</v>
      </c>
      <c r="G6" s="8">
        <v>0.0</v>
      </c>
      <c r="H6" s="8">
        <v>0.0</v>
      </c>
      <c r="I6" s="8">
        <v>0.0</v>
      </c>
      <c r="J6" s="8">
        <v>0.0</v>
      </c>
      <c r="K6" s="8">
        <v>0.0</v>
      </c>
      <c r="L6" s="8">
        <v>0.0</v>
      </c>
      <c r="M6" s="8">
        <v>0.0</v>
      </c>
      <c r="N6" s="9">
        <v>300000.0</v>
      </c>
      <c r="O6" s="9">
        <v>300000.0</v>
      </c>
      <c r="P6" s="9">
        <v>300000.0</v>
      </c>
      <c r="Q6" s="9">
        <v>300000.0</v>
      </c>
      <c r="R6" s="9">
        <v>300000.0</v>
      </c>
      <c r="S6" s="9">
        <v>300000.0</v>
      </c>
      <c r="T6" s="10">
        <f t="shared" si="3"/>
        <v>1200000</v>
      </c>
      <c r="U6" s="10">
        <f t="shared" si="4"/>
        <v>600000</v>
      </c>
    </row>
    <row r="7" ht="15.75" customHeight="1">
      <c r="A7" s="7" t="s">
        <v>25</v>
      </c>
      <c r="B7" s="8">
        <v>0.0</v>
      </c>
      <c r="C7" s="8">
        <v>0.0</v>
      </c>
      <c r="D7" s="8">
        <v>0.0</v>
      </c>
      <c r="E7" s="8">
        <v>0.0</v>
      </c>
      <c r="F7" s="8">
        <v>0.0</v>
      </c>
      <c r="G7" s="8">
        <v>0.0</v>
      </c>
      <c r="H7" s="8">
        <v>0.0</v>
      </c>
      <c r="I7" s="8">
        <v>0.0</v>
      </c>
      <c r="J7" s="8">
        <v>0.0</v>
      </c>
      <c r="K7" s="8">
        <v>0.0</v>
      </c>
      <c r="L7" s="8">
        <v>0.0</v>
      </c>
      <c r="M7" s="8">
        <v>0.0</v>
      </c>
      <c r="N7" s="8">
        <v>250000.0</v>
      </c>
      <c r="O7" s="8">
        <v>250000.0</v>
      </c>
      <c r="P7" s="8">
        <v>250000.0</v>
      </c>
      <c r="Q7" s="8">
        <v>250000.0</v>
      </c>
      <c r="R7" s="8">
        <v>250000.0</v>
      </c>
      <c r="S7" s="8">
        <v>250000.0</v>
      </c>
      <c r="T7" s="10">
        <f t="shared" si="3"/>
        <v>1000000</v>
      </c>
      <c r="U7" s="10">
        <f t="shared" si="4"/>
        <v>500000</v>
      </c>
    </row>
    <row r="8" ht="15.75" customHeight="1">
      <c r="A8" s="7" t="s">
        <v>26</v>
      </c>
      <c r="B8" s="8">
        <v>0.0</v>
      </c>
      <c r="C8" s="8">
        <v>0.0</v>
      </c>
      <c r="D8" s="8">
        <v>0.0</v>
      </c>
      <c r="E8" s="8">
        <v>0.0</v>
      </c>
      <c r="F8" s="8">
        <v>0.0</v>
      </c>
      <c r="G8" s="8">
        <v>0.0</v>
      </c>
      <c r="H8" s="8">
        <v>0.0</v>
      </c>
      <c r="I8" s="8">
        <v>0.0</v>
      </c>
      <c r="J8" s="8">
        <v>0.0</v>
      </c>
      <c r="K8" s="8">
        <v>0.0</v>
      </c>
      <c r="L8" s="8">
        <v>0.0</v>
      </c>
      <c r="M8" s="8">
        <v>0.0</v>
      </c>
      <c r="N8" s="8">
        <v>0.0</v>
      </c>
      <c r="O8" s="8">
        <v>0.0</v>
      </c>
      <c r="P8" s="8">
        <v>0.0</v>
      </c>
      <c r="Q8" s="8">
        <v>0.0</v>
      </c>
      <c r="R8" s="8">
        <v>0.0</v>
      </c>
      <c r="S8" s="8">
        <v>0.0</v>
      </c>
      <c r="T8" s="10">
        <f>$A$26* 1000000</f>
        <v>4000000</v>
      </c>
      <c r="U8" s="10">
        <f>$A$27* 1000000</f>
        <v>5000000</v>
      </c>
    </row>
    <row r="9" ht="15.75" customHeight="1">
      <c r="A9" s="7" t="s">
        <v>27</v>
      </c>
      <c r="B9" s="8">
        <v>0.0</v>
      </c>
      <c r="C9" s="8">
        <v>0.0</v>
      </c>
      <c r="D9" s="8">
        <v>0.0</v>
      </c>
      <c r="E9" s="8">
        <v>0.0</v>
      </c>
      <c r="F9" s="8">
        <v>0.0</v>
      </c>
      <c r="G9" s="8">
        <v>0.0</v>
      </c>
      <c r="H9" s="8">
        <v>0.0</v>
      </c>
      <c r="I9" s="8">
        <v>0.0</v>
      </c>
      <c r="J9" s="8">
        <v>0.0</v>
      </c>
      <c r="K9" s="8">
        <v>0.0</v>
      </c>
      <c r="L9" s="8">
        <v>0.0</v>
      </c>
      <c r="M9" s="8">
        <v>0.0</v>
      </c>
      <c r="N9" s="8">
        <v>0.0</v>
      </c>
      <c r="O9" s="8">
        <v>0.0</v>
      </c>
      <c r="P9" s="8">
        <v>0.0</v>
      </c>
      <c r="Q9" s="8">
        <v>0.0</v>
      </c>
      <c r="R9" s="8">
        <v>0.0</v>
      </c>
      <c r="S9" s="8">
        <v>0.0</v>
      </c>
      <c r="T9" s="10">
        <f>$A$26* 2000000</f>
        <v>8000000</v>
      </c>
      <c r="U9" s="10">
        <f>$A$27* 2000000</f>
        <v>10000000</v>
      </c>
    </row>
    <row r="10" ht="15.75" customHeight="1">
      <c r="A10" s="7" t="s">
        <v>28</v>
      </c>
      <c r="B10" s="8">
        <v>0.0</v>
      </c>
      <c r="C10" s="8">
        <v>0.0</v>
      </c>
      <c r="D10" s="8">
        <v>0.0</v>
      </c>
      <c r="E10" s="8">
        <v>0.0</v>
      </c>
      <c r="F10" s="8">
        <v>0.0</v>
      </c>
      <c r="G10" s="8">
        <v>0.0</v>
      </c>
      <c r="H10" s="8">
        <v>0.0</v>
      </c>
      <c r="I10" s="8">
        <v>0.0</v>
      </c>
      <c r="J10" s="8">
        <v>0.0</v>
      </c>
      <c r="K10" s="8">
        <v>0.0</v>
      </c>
      <c r="L10" s="8">
        <v>0.0</v>
      </c>
      <c r="M10" s="8">
        <v>0.0</v>
      </c>
      <c r="N10" s="8">
        <v>0.0</v>
      </c>
      <c r="O10" s="8">
        <v>0.0</v>
      </c>
      <c r="P10" s="8">
        <v>0.0</v>
      </c>
      <c r="Q10" s="8">
        <v>0.0</v>
      </c>
      <c r="R10" s="8">
        <v>0.0</v>
      </c>
      <c r="S10" s="8">
        <v>0.0</v>
      </c>
      <c r="T10" s="10">
        <f>$A$26* 1600000</f>
        <v>6400000</v>
      </c>
      <c r="U10" s="10">
        <f>$A$27* 1600000</f>
        <v>8000000</v>
      </c>
    </row>
    <row r="11" ht="15.75" customHeight="1">
      <c r="A11" s="7" t="s">
        <v>29</v>
      </c>
      <c r="B11" s="8">
        <v>0.0</v>
      </c>
      <c r="C11" s="8">
        <v>0.0</v>
      </c>
      <c r="D11" s="8">
        <v>0.0</v>
      </c>
      <c r="E11" s="8">
        <v>0.0</v>
      </c>
      <c r="F11" s="8">
        <v>0.0</v>
      </c>
      <c r="G11" s="8">
        <v>0.0</v>
      </c>
      <c r="H11" s="8">
        <v>0.0</v>
      </c>
      <c r="I11" s="8">
        <v>0.0</v>
      </c>
      <c r="J11" s="8">
        <v>0.0</v>
      </c>
      <c r="K11" s="8">
        <v>0.0</v>
      </c>
      <c r="L11" s="8">
        <v>0.0</v>
      </c>
      <c r="M11" s="8">
        <v>0.0</v>
      </c>
      <c r="N11" s="8">
        <v>0.0</v>
      </c>
      <c r="O11" s="8">
        <v>0.0</v>
      </c>
      <c r="P11" s="8">
        <v>0.0</v>
      </c>
      <c r="Q11" s="8">
        <v>0.0</v>
      </c>
      <c r="R11" s="8">
        <v>0.0</v>
      </c>
      <c r="S11" s="8">
        <v>0.0</v>
      </c>
      <c r="T11" s="10">
        <f t="shared" ref="T11:U11" si="7">$F$28* 4500</f>
        <v>90000</v>
      </c>
      <c r="U11" s="10">
        <f t="shared" si="7"/>
        <v>90000</v>
      </c>
    </row>
    <row r="12" ht="15.75" customHeight="1">
      <c r="A12" s="7" t="s">
        <v>30</v>
      </c>
      <c r="B12" s="8">
        <v>0.0</v>
      </c>
      <c r="C12" s="8">
        <v>0.0</v>
      </c>
      <c r="D12" s="8">
        <v>0.0</v>
      </c>
      <c r="E12" s="8">
        <v>0.0</v>
      </c>
      <c r="F12" s="8">
        <v>0.0</v>
      </c>
      <c r="G12" s="8">
        <v>0.0</v>
      </c>
      <c r="H12" s="8">
        <v>0.0</v>
      </c>
      <c r="I12" s="8">
        <v>0.0</v>
      </c>
      <c r="J12" s="8">
        <v>0.0</v>
      </c>
      <c r="K12" s="8">
        <v>0.0</v>
      </c>
      <c r="L12" s="8">
        <v>0.0</v>
      </c>
      <c r="M12" s="8">
        <v>0.0</v>
      </c>
      <c r="N12" s="8">
        <v>0.0</v>
      </c>
      <c r="O12" s="8">
        <v>0.0</v>
      </c>
      <c r="P12" s="8">
        <v>0.0</v>
      </c>
      <c r="Q12" s="8">
        <v>0.0</v>
      </c>
      <c r="R12" s="8">
        <v>0.0</v>
      </c>
      <c r="S12" s="8">
        <v>0.0</v>
      </c>
      <c r="T12" s="10">
        <f>N45*600000</f>
        <v>12832423.84</v>
      </c>
      <c r="U12" s="10">
        <f>N46*600000</f>
        <v>21125698.34</v>
      </c>
    </row>
    <row r="13" ht="15.75" customHeight="1">
      <c r="A13" s="11" t="s">
        <v>31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>
        <f t="shared" ref="T13:U13" si="8">sum(T3:T12)</f>
        <v>65974423.84</v>
      </c>
      <c r="U13" s="12">
        <f t="shared" si="8"/>
        <v>72341698.34</v>
      </c>
      <c r="V13" s="13">
        <f>sum(T13:U13)</f>
        <v>138316122.2</v>
      </c>
      <c r="W13" s="14"/>
      <c r="X13" s="14"/>
      <c r="Y13" s="14"/>
      <c r="Z13" s="14"/>
      <c r="AA13" s="14"/>
      <c r="AB13" s="14"/>
      <c r="AC13" s="14"/>
      <c r="AD13" s="14"/>
      <c r="AE13" s="14"/>
      <c r="AF13" s="14"/>
    </row>
    <row r="14" ht="15.75" customHeight="1">
      <c r="A14" s="15" t="s">
        <v>32</v>
      </c>
      <c r="B14" s="8">
        <f t="shared" ref="B14:J14" si="9">$A$25*15000</f>
        <v>300000</v>
      </c>
      <c r="C14" s="8">
        <f t="shared" si="9"/>
        <v>300000</v>
      </c>
      <c r="D14" s="8">
        <f t="shared" si="9"/>
        <v>300000</v>
      </c>
      <c r="E14" s="8">
        <f t="shared" si="9"/>
        <v>300000</v>
      </c>
      <c r="F14" s="8">
        <f t="shared" si="9"/>
        <v>300000</v>
      </c>
      <c r="G14" s="8">
        <f t="shared" si="9"/>
        <v>300000</v>
      </c>
      <c r="H14" s="8">
        <f t="shared" si="9"/>
        <v>300000</v>
      </c>
      <c r="I14" s="8">
        <f t="shared" si="9"/>
        <v>300000</v>
      </c>
      <c r="J14" s="8">
        <f t="shared" si="9"/>
        <v>300000</v>
      </c>
      <c r="K14" s="8">
        <v>0.0</v>
      </c>
      <c r="L14" s="8">
        <v>0.0</v>
      </c>
      <c r="M14" s="8">
        <v>0.0</v>
      </c>
      <c r="N14" s="8">
        <v>0.0</v>
      </c>
      <c r="O14" s="8">
        <v>0.0</v>
      </c>
      <c r="P14" s="8">
        <v>0.0</v>
      </c>
      <c r="Q14" s="8">
        <v>0.0</v>
      </c>
      <c r="R14" s="8">
        <v>0.0</v>
      </c>
      <c r="S14" s="8">
        <v>0.0</v>
      </c>
      <c r="T14" s="10">
        <f t="shared" ref="T14:T15" si="11">sum(C14:F14,N14:Q14)</f>
        <v>1200000</v>
      </c>
      <c r="U14" s="10">
        <f t="shared" ref="U14:U15" si="12">sum(B14,G14:M14,R14:S14)</f>
        <v>1500000</v>
      </c>
    </row>
    <row r="15" ht="15.75" customHeight="1">
      <c r="A15" s="7" t="s">
        <v>33</v>
      </c>
      <c r="B15" s="8">
        <f t="shared" ref="B15:S15" si="10">$A$25*10000</f>
        <v>200000</v>
      </c>
      <c r="C15" s="8">
        <f t="shared" si="10"/>
        <v>200000</v>
      </c>
      <c r="D15" s="8">
        <f t="shared" si="10"/>
        <v>200000</v>
      </c>
      <c r="E15" s="8">
        <f t="shared" si="10"/>
        <v>200000</v>
      </c>
      <c r="F15" s="8">
        <f t="shared" si="10"/>
        <v>200000</v>
      </c>
      <c r="G15" s="8">
        <f t="shared" si="10"/>
        <v>200000</v>
      </c>
      <c r="H15" s="8">
        <f t="shared" si="10"/>
        <v>200000</v>
      </c>
      <c r="I15" s="8">
        <f t="shared" si="10"/>
        <v>200000</v>
      </c>
      <c r="J15" s="8">
        <f t="shared" si="10"/>
        <v>200000</v>
      </c>
      <c r="K15" s="8">
        <f t="shared" si="10"/>
        <v>200000</v>
      </c>
      <c r="L15" s="8">
        <f t="shared" si="10"/>
        <v>200000</v>
      </c>
      <c r="M15" s="8">
        <f t="shared" si="10"/>
        <v>200000</v>
      </c>
      <c r="N15" s="8">
        <f t="shared" si="10"/>
        <v>200000</v>
      </c>
      <c r="O15" s="8">
        <f t="shared" si="10"/>
        <v>200000</v>
      </c>
      <c r="P15" s="8">
        <f t="shared" si="10"/>
        <v>200000</v>
      </c>
      <c r="Q15" s="8">
        <f t="shared" si="10"/>
        <v>200000</v>
      </c>
      <c r="R15" s="8">
        <f t="shared" si="10"/>
        <v>200000</v>
      </c>
      <c r="S15" s="8">
        <f t="shared" si="10"/>
        <v>200000</v>
      </c>
      <c r="T15" s="10">
        <f t="shared" si="11"/>
        <v>1600000</v>
      </c>
      <c r="U15" s="10">
        <f t="shared" si="12"/>
        <v>2000000</v>
      </c>
    </row>
    <row r="16" ht="15.75" customHeight="1">
      <c r="A16" s="15" t="s">
        <v>34</v>
      </c>
      <c r="B16" s="8">
        <v>0.0</v>
      </c>
      <c r="C16" s="8">
        <v>0.0</v>
      </c>
      <c r="D16" s="8">
        <v>0.0</v>
      </c>
      <c r="E16" s="8">
        <v>0.0</v>
      </c>
      <c r="F16" s="8">
        <v>0.0</v>
      </c>
      <c r="G16" s="8">
        <v>0.0</v>
      </c>
      <c r="H16" s="8">
        <v>0.0</v>
      </c>
      <c r="I16" s="8">
        <v>0.0</v>
      </c>
      <c r="J16" s="8">
        <v>0.0</v>
      </c>
      <c r="K16" s="8">
        <v>0.0</v>
      </c>
      <c r="L16" s="8">
        <v>0.0</v>
      </c>
      <c r="M16" s="8">
        <v>0.0</v>
      </c>
      <c r="N16" s="8">
        <v>0.0</v>
      </c>
      <c r="O16" s="8">
        <v>0.0</v>
      </c>
      <c r="P16" s="8">
        <v>0.0</v>
      </c>
      <c r="Q16" s="8">
        <v>0.0</v>
      </c>
      <c r="R16" s="8">
        <v>0.0</v>
      </c>
      <c r="S16" s="8">
        <v>0.0</v>
      </c>
      <c r="T16" s="10">
        <f t="shared" ref="T16:U16" si="13">$A$25*15000</f>
        <v>300000</v>
      </c>
      <c r="U16" s="10">
        <f t="shared" si="13"/>
        <v>300000</v>
      </c>
    </row>
    <row r="17" ht="15.75" customHeight="1">
      <c r="A17" s="7" t="s">
        <v>35</v>
      </c>
      <c r="B17" s="8">
        <v>0.0</v>
      </c>
      <c r="C17" s="8">
        <v>0.0</v>
      </c>
      <c r="D17" s="8">
        <v>0.0</v>
      </c>
      <c r="E17" s="8">
        <v>0.0</v>
      </c>
      <c r="F17" s="8">
        <v>0.0</v>
      </c>
      <c r="G17" s="8">
        <v>0.0</v>
      </c>
      <c r="H17" s="8">
        <v>0.0</v>
      </c>
      <c r="I17" s="8">
        <v>0.0</v>
      </c>
      <c r="J17" s="8">
        <v>0.0</v>
      </c>
      <c r="K17" s="8">
        <v>0.0</v>
      </c>
      <c r="L17" s="8">
        <v>0.0</v>
      </c>
      <c r="M17" s="8">
        <v>0.0</v>
      </c>
      <c r="N17" s="8">
        <v>0.0</v>
      </c>
      <c r="O17" s="8">
        <v>0.0</v>
      </c>
      <c r="P17" s="8">
        <v>0.0</v>
      </c>
      <c r="Q17" s="8">
        <v>0.0</v>
      </c>
      <c r="R17" s="8">
        <v>0.0</v>
      </c>
      <c r="S17" s="8">
        <v>0.0</v>
      </c>
      <c r="T17" s="10">
        <f t="shared" ref="T17:U17" si="14">$A$25*10000</f>
        <v>200000</v>
      </c>
      <c r="U17" s="10">
        <f t="shared" si="14"/>
        <v>200000</v>
      </c>
    </row>
    <row r="18" ht="15.75" customHeight="1">
      <c r="A18" s="16" t="s">
        <v>36</v>
      </c>
      <c r="B18" s="8">
        <v>0.0</v>
      </c>
      <c r="C18" s="8">
        <v>0.0</v>
      </c>
      <c r="D18" s="8">
        <v>0.0</v>
      </c>
      <c r="E18" s="8">
        <v>0.0</v>
      </c>
      <c r="F18" s="8">
        <v>0.0</v>
      </c>
      <c r="G18" s="8">
        <v>0.0</v>
      </c>
      <c r="H18" s="8">
        <v>0.0</v>
      </c>
      <c r="I18" s="8">
        <v>0.0</v>
      </c>
      <c r="J18" s="8">
        <v>0.0</v>
      </c>
      <c r="K18" s="8">
        <v>0.0</v>
      </c>
      <c r="L18" s="8">
        <v>0.0</v>
      </c>
      <c r="M18" s="8">
        <v>0.0</v>
      </c>
      <c r="N18" s="8">
        <v>0.0</v>
      </c>
      <c r="O18" s="8">
        <v>0.0</v>
      </c>
      <c r="P18" s="8">
        <v>0.0</v>
      </c>
      <c r="Q18" s="8">
        <v>0.0</v>
      </c>
      <c r="R18" s="8">
        <v>0.0</v>
      </c>
      <c r="S18" s="8">
        <v>0.0</v>
      </c>
      <c r="T18" s="10">
        <f t="shared" ref="T18:U18" si="15">$A$25*100000</f>
        <v>2000000</v>
      </c>
      <c r="U18" s="10">
        <f t="shared" si="15"/>
        <v>2000000</v>
      </c>
      <c r="V18" s="17"/>
      <c r="W18" s="17"/>
      <c r="X18" s="17"/>
      <c r="Y18" s="17"/>
      <c r="Z18" s="14"/>
      <c r="AA18" s="14"/>
      <c r="AB18" s="14"/>
      <c r="AC18" s="14"/>
      <c r="AD18" s="14"/>
      <c r="AE18" s="14"/>
      <c r="AF18" s="14"/>
    </row>
    <row r="19" ht="15.75" customHeight="1">
      <c r="A19" s="15" t="s">
        <v>37</v>
      </c>
      <c r="B19" s="8">
        <v>0.0</v>
      </c>
      <c r="C19" s="8">
        <v>0.0</v>
      </c>
      <c r="D19" s="8">
        <v>0.0</v>
      </c>
      <c r="E19" s="8">
        <v>0.0</v>
      </c>
      <c r="F19" s="8">
        <v>0.0</v>
      </c>
      <c r="G19" s="8">
        <v>0.0</v>
      </c>
      <c r="H19" s="8">
        <v>0.0</v>
      </c>
      <c r="I19" s="8">
        <v>0.0</v>
      </c>
      <c r="J19" s="8">
        <v>0.0</v>
      </c>
      <c r="K19" s="8">
        <v>0.0</v>
      </c>
      <c r="L19" s="8">
        <v>0.0</v>
      </c>
      <c r="M19" s="8">
        <v>0.0</v>
      </c>
      <c r="N19" s="8">
        <v>0.0</v>
      </c>
      <c r="O19" s="8">
        <v>0.0</v>
      </c>
      <c r="P19" s="8">
        <v>0.0</v>
      </c>
      <c r="Q19" s="8">
        <v>0.0</v>
      </c>
      <c r="R19" s="8">
        <v>0.0</v>
      </c>
      <c r="S19" s="8">
        <v>0.0</v>
      </c>
      <c r="T19" s="10">
        <f t="shared" ref="T19:U19" si="16">$A$25*70000</f>
        <v>1400000</v>
      </c>
      <c r="U19" s="10">
        <f t="shared" si="16"/>
        <v>1400000</v>
      </c>
    </row>
    <row r="20" ht="15.75" customHeight="1">
      <c r="A20" s="15" t="s">
        <v>38</v>
      </c>
      <c r="B20" s="8">
        <v>0.0</v>
      </c>
      <c r="C20" s="8">
        <v>0.0</v>
      </c>
      <c r="D20" s="8">
        <v>0.0</v>
      </c>
      <c r="E20" s="8">
        <v>0.0</v>
      </c>
      <c r="F20" s="8">
        <v>0.0</v>
      </c>
      <c r="G20" s="8">
        <v>0.0</v>
      </c>
      <c r="H20" s="8">
        <v>0.0</v>
      </c>
      <c r="I20" s="8">
        <v>0.0</v>
      </c>
      <c r="J20" s="8">
        <v>0.0</v>
      </c>
      <c r="K20" s="8">
        <v>0.0</v>
      </c>
      <c r="L20" s="8">
        <v>0.0</v>
      </c>
      <c r="M20" s="8">
        <v>0.0</v>
      </c>
      <c r="N20" s="8">
        <v>0.0</v>
      </c>
      <c r="O20" s="8">
        <v>0.0</v>
      </c>
      <c r="P20" s="8">
        <v>0.0</v>
      </c>
      <c r="Q20" s="8">
        <v>0.0</v>
      </c>
      <c r="R20" s="8">
        <v>0.0</v>
      </c>
      <c r="S20" s="8">
        <v>0.0</v>
      </c>
      <c r="T20" s="10">
        <f>$A$25*$O$45*50000</f>
        <v>377889.6776</v>
      </c>
      <c r="U20" s="10">
        <f>$A$25*$O$46*50000</f>
        <v>622110.3224</v>
      </c>
    </row>
    <row r="21" ht="15.75" customHeight="1">
      <c r="A21" s="11" t="s">
        <v>39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>
        <f t="shared" ref="T21:U21" si="17">sum(T14:T20)</f>
        <v>7077889.678</v>
      </c>
      <c r="U21" s="12">
        <f t="shared" si="17"/>
        <v>8022110.322</v>
      </c>
      <c r="V21" s="13">
        <f t="shared" ref="V21:V22" si="19">sum(T21:U21)</f>
        <v>15100000</v>
      </c>
      <c r="W21" s="14"/>
      <c r="X21" s="14"/>
      <c r="Y21" s="14"/>
      <c r="Z21" s="14"/>
      <c r="AA21" s="14"/>
      <c r="AB21" s="14"/>
      <c r="AC21" s="14"/>
      <c r="AD21" s="14"/>
      <c r="AE21" s="14"/>
      <c r="AF21" s="14"/>
    </row>
    <row r="22" ht="15.75" customHeight="1">
      <c r="A22" s="11" t="s">
        <v>40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>
        <f t="shared" ref="T22:U22" si="18">T13+T21</f>
        <v>73052313.52</v>
      </c>
      <c r="U22" s="12">
        <f t="shared" si="18"/>
        <v>80363808.66</v>
      </c>
      <c r="V22" s="13">
        <f t="shared" si="19"/>
        <v>153416122.2</v>
      </c>
      <c r="X22" s="14"/>
      <c r="Y22" s="14"/>
      <c r="Z22" s="14"/>
      <c r="AA22" s="14"/>
      <c r="AB22" s="14"/>
      <c r="AC22" s="14"/>
      <c r="AD22" s="14"/>
      <c r="AE22" s="14"/>
      <c r="AF22" s="14"/>
    </row>
    <row r="23" ht="15.75" customHeight="1">
      <c r="U23" s="18" t="s">
        <v>41</v>
      </c>
      <c r="V23" s="14">
        <f>V21/V13</f>
        <v>0.1091702092</v>
      </c>
    </row>
    <row r="24" ht="15.75" customHeight="1">
      <c r="A24" s="19" t="s">
        <v>42</v>
      </c>
      <c r="I24" s="20" t="s">
        <v>43</v>
      </c>
      <c r="Q24" s="21" t="s">
        <v>44</v>
      </c>
    </row>
    <row r="25" ht="37.5" customHeight="1">
      <c r="A25" s="22">
        <v>20.0</v>
      </c>
      <c r="B25" s="23" t="s">
        <v>45</v>
      </c>
      <c r="D25" s="24" t="s">
        <v>46</v>
      </c>
      <c r="E25" s="24" t="s">
        <v>47</v>
      </c>
      <c r="F25" s="24" t="s">
        <v>48</v>
      </c>
      <c r="G25" s="24" t="s">
        <v>49</v>
      </c>
      <c r="I25" s="7" t="s">
        <v>50</v>
      </c>
      <c r="J25" s="15" t="s">
        <v>51</v>
      </c>
      <c r="K25" s="15" t="s">
        <v>52</v>
      </c>
      <c r="L25" s="7" t="s">
        <v>53</v>
      </c>
      <c r="M25" s="7" t="s">
        <v>54</v>
      </c>
      <c r="N25" s="7" t="s">
        <v>55</v>
      </c>
      <c r="O25" s="24" t="s">
        <v>56</v>
      </c>
      <c r="Q25" s="7" t="s">
        <v>57</v>
      </c>
      <c r="R25" s="7" t="s">
        <v>58</v>
      </c>
      <c r="S25" s="7" t="s">
        <v>59</v>
      </c>
      <c r="T25" s="7" t="s">
        <v>60</v>
      </c>
      <c r="U25" s="7" t="s">
        <v>61</v>
      </c>
    </row>
    <row r="26" ht="36.0" customHeight="1">
      <c r="A26" s="25">
        <v>4.0</v>
      </c>
      <c r="B26" s="23" t="s">
        <v>62</v>
      </c>
      <c r="C26" s="1"/>
      <c r="D26" s="25" t="s">
        <v>63</v>
      </c>
      <c r="E26" s="24">
        <v>3.0</v>
      </c>
      <c r="F26" s="25">
        <f t="shared" ref="F26:F28" si="20">ROUNDUP($A$25/$E26)</f>
        <v>7</v>
      </c>
      <c r="G26" s="25">
        <f t="shared" ref="G26:G28" si="21">ROUNDDOWN($A$25/$E26)</f>
        <v>6</v>
      </c>
      <c r="I26" s="26" t="s">
        <v>3</v>
      </c>
      <c r="J26" s="26">
        <v>195.0</v>
      </c>
      <c r="K26" s="26">
        <v>70.0</v>
      </c>
      <c r="L26" s="26" t="s">
        <v>0</v>
      </c>
      <c r="M26" s="27">
        <f>SQRT((J26-125)^2 + (K26-170)^2)</f>
        <v>122.0655562</v>
      </c>
      <c r="N26" s="27">
        <f t="shared" ref="N26:N43" si="22">M26/20</f>
        <v>6.103277808</v>
      </c>
      <c r="O26" s="26"/>
      <c r="Q26" s="28" t="s">
        <v>1</v>
      </c>
      <c r="R26" s="28">
        <v>100.0</v>
      </c>
      <c r="S26" s="26">
        <v>6.4</v>
      </c>
      <c r="T26" s="28">
        <v>13000.0</v>
      </c>
      <c r="U26" s="29">
        <f>R26*S26*T26*$A$25-T22</f>
        <v>93347686.48</v>
      </c>
    </row>
    <row r="27" ht="15.75" customHeight="1">
      <c r="A27" s="25">
        <v>5.0</v>
      </c>
      <c r="B27" s="23" t="s">
        <v>64</v>
      </c>
      <c r="C27" s="1"/>
      <c r="D27" s="25" t="s">
        <v>65</v>
      </c>
      <c r="E27" s="24">
        <v>5.0</v>
      </c>
      <c r="F27" s="25">
        <f t="shared" si="20"/>
        <v>4</v>
      </c>
      <c r="G27" s="25">
        <f t="shared" si="21"/>
        <v>4</v>
      </c>
      <c r="I27" s="26" t="s">
        <v>4</v>
      </c>
      <c r="J27" s="26">
        <v>145.0</v>
      </c>
      <c r="K27" s="26">
        <v>41.0</v>
      </c>
      <c r="L27" s="26" t="s">
        <v>1</v>
      </c>
      <c r="M27" s="27">
        <f t="shared" ref="M27:M30" si="23">SQRT((J27-94)^2 + (K27-65)^2)</f>
        <v>56.36488268</v>
      </c>
      <c r="N27" s="27">
        <f t="shared" si="22"/>
        <v>2.818244134</v>
      </c>
      <c r="O27" s="26"/>
      <c r="Q27" s="28" t="s">
        <v>0</v>
      </c>
      <c r="R27" s="28">
        <v>100.0</v>
      </c>
      <c r="S27" s="26">
        <v>6.4</v>
      </c>
      <c r="T27" s="28">
        <v>15000.0</v>
      </c>
      <c r="U27" s="29">
        <f>R27*S27*T27*$A$25-U22</f>
        <v>111636191.3</v>
      </c>
      <c r="Y27" s="1"/>
      <c r="Z27" s="1"/>
    </row>
    <row r="28" ht="15.75" customHeight="1">
      <c r="B28" s="1"/>
      <c r="C28" s="1"/>
      <c r="D28" s="25" t="s">
        <v>66</v>
      </c>
      <c r="E28" s="24">
        <v>1.0</v>
      </c>
      <c r="F28" s="25">
        <f t="shared" si="20"/>
        <v>20</v>
      </c>
      <c r="G28" s="25">
        <f t="shared" si="21"/>
        <v>20</v>
      </c>
      <c r="I28" s="26" t="s">
        <v>5</v>
      </c>
      <c r="J28" s="26">
        <v>46.0</v>
      </c>
      <c r="K28" s="26">
        <v>46.0</v>
      </c>
      <c r="L28" s="26" t="s">
        <v>1</v>
      </c>
      <c r="M28" s="27">
        <f t="shared" si="23"/>
        <v>51.623638</v>
      </c>
      <c r="N28" s="27">
        <f t="shared" si="22"/>
        <v>2.5811819</v>
      </c>
      <c r="O28" s="26"/>
      <c r="R28" s="1"/>
      <c r="Z28" s="1"/>
      <c r="AA28" s="1"/>
    </row>
    <row r="29" ht="15.75" customHeight="1">
      <c r="I29" s="26" t="s">
        <v>6</v>
      </c>
      <c r="J29" s="26">
        <v>52.0</v>
      </c>
      <c r="K29" s="26">
        <v>100.0</v>
      </c>
      <c r="L29" s="26" t="s">
        <v>1</v>
      </c>
      <c r="M29" s="27">
        <f t="shared" si="23"/>
        <v>54.67174773</v>
      </c>
      <c r="N29" s="27">
        <f t="shared" si="22"/>
        <v>2.733587387</v>
      </c>
      <c r="O29" s="26"/>
      <c r="R29" s="1"/>
      <c r="Z29" s="1"/>
      <c r="AA29" s="1"/>
    </row>
    <row r="30" ht="15.75" customHeight="1">
      <c r="I30" s="26" t="s">
        <v>7</v>
      </c>
      <c r="J30" s="26">
        <v>72.0</v>
      </c>
      <c r="K30" s="26">
        <v>152.0</v>
      </c>
      <c r="L30" s="26" t="s">
        <v>1</v>
      </c>
      <c r="M30" s="27">
        <f t="shared" si="23"/>
        <v>89.73850901</v>
      </c>
      <c r="N30" s="27">
        <f t="shared" si="22"/>
        <v>4.486925451</v>
      </c>
      <c r="O30" s="26"/>
    </row>
    <row r="31" ht="15.75" customHeight="1">
      <c r="I31" s="26" t="s">
        <v>8</v>
      </c>
      <c r="J31" s="26">
        <v>170.0</v>
      </c>
      <c r="K31" s="26">
        <v>170.0</v>
      </c>
      <c r="L31" s="26" t="s">
        <v>0</v>
      </c>
      <c r="M31" s="27">
        <f t="shared" ref="M31:M37" si="24">SQRT((J31-125)^2 + (K31-170)^2)</f>
        <v>45</v>
      </c>
      <c r="N31" s="27">
        <f t="shared" si="22"/>
        <v>2.25</v>
      </c>
      <c r="O31" s="26"/>
    </row>
    <row r="32" ht="15.75" customHeight="1">
      <c r="I32" s="26" t="s">
        <v>9</v>
      </c>
      <c r="J32" s="26">
        <v>190.0</v>
      </c>
      <c r="K32" s="26">
        <v>100.0</v>
      </c>
      <c r="L32" s="26" t="s">
        <v>0</v>
      </c>
      <c r="M32" s="27">
        <f t="shared" si="24"/>
        <v>95.52486587</v>
      </c>
      <c r="N32" s="27">
        <f t="shared" si="22"/>
        <v>4.776243294</v>
      </c>
      <c r="O32" s="26"/>
    </row>
    <row r="33" ht="15.75" customHeight="1">
      <c r="I33" s="26" t="s">
        <v>10</v>
      </c>
      <c r="J33" s="26">
        <v>136.0</v>
      </c>
      <c r="K33" s="26">
        <v>75.0</v>
      </c>
      <c r="L33" s="26" t="s">
        <v>0</v>
      </c>
      <c r="M33" s="27">
        <f t="shared" si="24"/>
        <v>95.63472173</v>
      </c>
      <c r="N33" s="27">
        <f t="shared" si="22"/>
        <v>4.781736086</v>
      </c>
      <c r="O33" s="26"/>
    </row>
    <row r="34" ht="15.75" customHeight="1">
      <c r="I34" s="26" t="s">
        <v>11</v>
      </c>
      <c r="J34" s="26">
        <v>109.0</v>
      </c>
      <c r="K34" s="26">
        <v>113.0</v>
      </c>
      <c r="L34" s="26" t="s">
        <v>0</v>
      </c>
      <c r="M34" s="27">
        <f t="shared" si="24"/>
        <v>59.20304046</v>
      </c>
      <c r="N34" s="27">
        <f t="shared" si="22"/>
        <v>2.960152023</v>
      </c>
      <c r="O34" s="26"/>
    </row>
    <row r="35" ht="15.75" customHeight="1">
      <c r="I35" s="26" t="s">
        <v>12</v>
      </c>
      <c r="J35" s="26">
        <v>164.0</v>
      </c>
      <c r="K35" s="26">
        <v>110.0</v>
      </c>
      <c r="L35" s="26" t="s">
        <v>0</v>
      </c>
      <c r="M35" s="27">
        <f t="shared" si="24"/>
        <v>71.56116265</v>
      </c>
      <c r="N35" s="27">
        <f t="shared" si="22"/>
        <v>3.578058133</v>
      </c>
      <c r="O35" s="26"/>
    </row>
    <row r="36" ht="15.75" customHeight="1">
      <c r="I36" s="26" t="s">
        <v>13</v>
      </c>
      <c r="J36" s="26">
        <v>162.0</v>
      </c>
      <c r="K36" s="26">
        <v>87.0</v>
      </c>
      <c r="L36" s="26" t="s">
        <v>0</v>
      </c>
      <c r="M36" s="27">
        <f t="shared" si="24"/>
        <v>90.8735385</v>
      </c>
      <c r="N36" s="27">
        <f t="shared" si="22"/>
        <v>4.543676925</v>
      </c>
      <c r="O36" s="26"/>
    </row>
    <row r="37" ht="15.75" customHeight="1">
      <c r="I37" s="26" t="s">
        <v>14</v>
      </c>
      <c r="J37" s="26">
        <v>134.0</v>
      </c>
      <c r="K37" s="26">
        <v>115.0</v>
      </c>
      <c r="L37" s="26" t="s">
        <v>0</v>
      </c>
      <c r="M37" s="27">
        <f t="shared" si="24"/>
        <v>55.73149917</v>
      </c>
      <c r="N37" s="27">
        <f t="shared" si="22"/>
        <v>2.786574959</v>
      </c>
      <c r="O37" s="26"/>
    </row>
    <row r="38" ht="15.75" customHeight="1">
      <c r="I38" s="26" t="s">
        <v>15</v>
      </c>
      <c r="J38" s="26">
        <v>120.0</v>
      </c>
      <c r="K38" s="26">
        <v>90.0</v>
      </c>
      <c r="L38" s="26" t="s">
        <v>1</v>
      </c>
      <c r="M38" s="27">
        <f t="shared" ref="M38:M41" si="25">SQRT((J38-94)^2 + (K38-65)^2)</f>
        <v>36.06937759</v>
      </c>
      <c r="N38" s="27">
        <f t="shared" si="22"/>
        <v>1.80346888</v>
      </c>
      <c r="O38" s="26"/>
    </row>
    <row r="39" ht="15.75" customHeight="1">
      <c r="I39" s="26" t="s">
        <v>16</v>
      </c>
      <c r="J39" s="26">
        <v>125.0</v>
      </c>
      <c r="K39" s="26">
        <v>45.0</v>
      </c>
      <c r="L39" s="26" t="s">
        <v>1</v>
      </c>
      <c r="M39" s="27">
        <f t="shared" si="25"/>
        <v>36.89173349</v>
      </c>
      <c r="N39" s="27">
        <f t="shared" si="22"/>
        <v>1.844586675</v>
      </c>
      <c r="O39" s="26"/>
    </row>
    <row r="40" ht="15.75" customHeight="1">
      <c r="I40" s="26" t="s">
        <v>17</v>
      </c>
      <c r="J40" s="26">
        <v>95.0</v>
      </c>
      <c r="K40" s="26">
        <v>125.0</v>
      </c>
      <c r="L40" s="26" t="s">
        <v>1</v>
      </c>
      <c r="M40" s="27">
        <f t="shared" si="25"/>
        <v>60.00833275</v>
      </c>
      <c r="N40" s="27">
        <f t="shared" si="22"/>
        <v>3.000416638</v>
      </c>
      <c r="O40" s="26"/>
    </row>
    <row r="41" ht="15.75" customHeight="1">
      <c r="I41" s="26" t="s">
        <v>18</v>
      </c>
      <c r="J41" s="26">
        <v>80.0</v>
      </c>
      <c r="K41" s="26">
        <v>25.0</v>
      </c>
      <c r="L41" s="26" t="s">
        <v>1</v>
      </c>
      <c r="M41" s="27">
        <f t="shared" si="25"/>
        <v>42.3792402</v>
      </c>
      <c r="N41" s="27">
        <f t="shared" si="22"/>
        <v>2.11896201</v>
      </c>
      <c r="O41" s="26"/>
    </row>
    <row r="42" ht="15.75" customHeight="1">
      <c r="I42" s="26" t="s">
        <v>19</v>
      </c>
      <c r="J42" s="26">
        <v>145.0</v>
      </c>
      <c r="K42" s="26">
        <v>190.0</v>
      </c>
      <c r="L42" s="26" t="s">
        <v>0</v>
      </c>
      <c r="M42" s="27">
        <f t="shared" ref="M42:M43" si="26">SQRT((J42-125)^2 + (K42-170)^2)</f>
        <v>28.28427125</v>
      </c>
      <c r="N42" s="27">
        <f t="shared" si="22"/>
        <v>1.414213562</v>
      </c>
      <c r="O42" s="26"/>
    </row>
    <row r="43" ht="15.75" customHeight="1">
      <c r="I43" s="26" t="s">
        <v>20</v>
      </c>
      <c r="J43" s="26">
        <v>160.0</v>
      </c>
      <c r="K43" s="26">
        <v>150.0</v>
      </c>
      <c r="L43" s="26" t="s">
        <v>0</v>
      </c>
      <c r="M43" s="27">
        <f t="shared" si="26"/>
        <v>40.31128874</v>
      </c>
      <c r="N43" s="27">
        <f t="shared" si="22"/>
        <v>2.015564437</v>
      </c>
      <c r="O43" s="26"/>
    </row>
    <row r="44" ht="15.75" customHeight="1">
      <c r="M44" s="7" t="s">
        <v>67</v>
      </c>
      <c r="N44" s="30">
        <f>sum(N26:N43)</f>
        <v>56.5968703</v>
      </c>
      <c r="O44" s="31">
        <v>1.0</v>
      </c>
    </row>
    <row r="45" ht="15.75" customHeight="1">
      <c r="I45" s="32" t="s">
        <v>68</v>
      </c>
      <c r="M45" s="33" t="s">
        <v>69</v>
      </c>
      <c r="N45" s="30">
        <f>SUM(N27:N30)+SUM(N38:N41)</f>
        <v>21.38737307</v>
      </c>
      <c r="O45" s="34">
        <f>N45/SUM(N45:N46)</f>
        <v>0.3778896776</v>
      </c>
    </row>
    <row r="46" ht="15.75" customHeight="1">
      <c r="M46" s="33" t="s">
        <v>70</v>
      </c>
      <c r="N46" s="30">
        <f>N44-N45</f>
        <v>35.20949723</v>
      </c>
      <c r="O46" s="34">
        <f>N46/SUM(N45:N46)</f>
        <v>0.6221103224</v>
      </c>
    </row>
    <row r="47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