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6"/>
  <workbookPr defaultThemeVersion="166925"/>
  <xr:revisionPtr revIDLastSave="0" documentId="8_{E1997A2D-65EE-4B74-AE15-CED322D4A5C0}" xr6:coauthVersionLast="47" xr6:coauthVersionMax="47" xr10:uidLastSave="{00000000-0000-0000-0000-000000000000}"/>
  <bookViews>
    <workbookView xWindow="240" yWindow="105" windowWidth="14805" windowHeight="8010" firstSheet="7" activeTab="6" xr2:uid="{00000000-000D-0000-FFFF-FFFF00000000}"/>
  </bookViews>
  <sheets>
    <sheet name="BalanceSheet&amp;HorizontalAnalysis" sheetId="1" r:id="rId1"/>
    <sheet name="IncomeStatement&amp;HorizontalAnaly" sheetId="3" r:id="rId2"/>
    <sheet name="Statement of Cash Flow" sheetId="4" r:id="rId3"/>
    <sheet name="Common Size IS" sheetId="5" r:id="rId4"/>
    <sheet name="Common Size BS" sheetId="2" r:id="rId5"/>
    <sheet name="Profitability" sheetId="6" r:id="rId6"/>
    <sheet name="Liquidity&amp;Solvency" sheetId="7" r:id="rId7"/>
    <sheet name="Efficiency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B3" i="7"/>
  <c r="E9" i="8"/>
  <c r="E3" i="8"/>
  <c r="D3" i="8"/>
  <c r="C11" i="8"/>
  <c r="C13" i="8" s="1"/>
  <c r="D11" i="8"/>
  <c r="D13" i="8" s="1"/>
  <c r="E11" i="8"/>
  <c r="E13" i="8" s="1"/>
  <c r="B11" i="8"/>
  <c r="B13" i="8" s="1"/>
  <c r="B9" i="8"/>
  <c r="B5" i="8"/>
  <c r="C9" i="8"/>
  <c r="C5" i="8" s="1"/>
  <c r="D9" i="8"/>
  <c r="D5" i="8" s="1"/>
  <c r="E5" i="8"/>
  <c r="B3" i="8"/>
  <c r="B7" i="8"/>
  <c r="E5" i="7"/>
  <c r="D5" i="7"/>
  <c r="C5" i="7"/>
  <c r="B5" i="7"/>
  <c r="C3" i="6"/>
  <c r="D3" i="6"/>
  <c r="E3" i="6"/>
  <c r="B3" i="6"/>
  <c r="B5" i="6"/>
  <c r="C5" i="6"/>
  <c r="D5" i="6"/>
  <c r="E5" i="6"/>
  <c r="C3" i="8"/>
  <c r="C7" i="8" s="1"/>
  <c r="D7" i="8"/>
  <c r="E7" i="8"/>
  <c r="C9" i="7"/>
  <c r="D9" i="7"/>
  <c r="E9" i="7"/>
  <c r="B9" i="7"/>
  <c r="C7" i="7"/>
  <c r="D7" i="7"/>
  <c r="E7" i="7"/>
  <c r="B7" i="7"/>
  <c r="B7" i="6"/>
  <c r="B9" i="6"/>
  <c r="C9" i="6"/>
  <c r="C7" i="6"/>
  <c r="D9" i="6"/>
  <c r="E9" i="6"/>
  <c r="C11" i="6"/>
  <c r="D11" i="6"/>
  <c r="E11" i="6"/>
  <c r="B11" i="6"/>
  <c r="E7" i="6"/>
  <c r="D7" i="6"/>
  <c r="H5" i="3"/>
  <c r="H6" i="3"/>
  <c r="H7" i="3"/>
  <c r="H8" i="3"/>
  <c r="H9" i="3"/>
  <c r="H10" i="3"/>
  <c r="H11" i="3"/>
  <c r="H12" i="3"/>
  <c r="H13" i="3"/>
  <c r="H14" i="3"/>
  <c r="H16" i="3"/>
  <c r="H17" i="3"/>
  <c r="H19" i="3"/>
  <c r="H20" i="3"/>
  <c r="H4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9" i="3"/>
  <c r="I20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9" i="3"/>
  <c r="J20" i="3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9" i="1"/>
  <c r="H30" i="1"/>
  <c r="H31" i="1"/>
  <c r="H32" i="1"/>
  <c r="H33" i="1"/>
  <c r="H39" i="1"/>
  <c r="H3" i="1"/>
  <c r="I3" i="1"/>
  <c r="I4" i="1"/>
  <c r="I5" i="1"/>
  <c r="I6" i="1"/>
  <c r="I7" i="1"/>
  <c r="I8" i="1"/>
  <c r="I9" i="1"/>
  <c r="I11" i="1"/>
  <c r="I12" i="1"/>
  <c r="I13" i="1"/>
  <c r="I14" i="1"/>
  <c r="I16" i="1"/>
  <c r="I17" i="1"/>
  <c r="I18" i="1"/>
  <c r="I20" i="1"/>
  <c r="I21" i="1"/>
  <c r="I22" i="1"/>
  <c r="I23" i="1"/>
  <c r="I25" i="1"/>
  <c r="I29" i="1"/>
  <c r="I30" i="1"/>
  <c r="I31" i="1"/>
  <c r="I32" i="1"/>
  <c r="I33" i="1"/>
  <c r="I39" i="1"/>
  <c r="J3" i="1"/>
  <c r="J29" i="1"/>
  <c r="J30" i="1"/>
  <c r="J31" i="1"/>
  <c r="J32" i="1"/>
  <c r="J33" i="1"/>
  <c r="J39" i="1"/>
  <c r="J25" i="1"/>
  <c r="J17" i="1"/>
  <c r="J18" i="1"/>
  <c r="J20" i="1"/>
  <c r="J21" i="1"/>
  <c r="J22" i="1"/>
  <c r="J23" i="1"/>
  <c r="J16" i="1"/>
  <c r="J14" i="1"/>
  <c r="J4" i="1"/>
  <c r="J5" i="1"/>
  <c r="J6" i="1"/>
  <c r="J7" i="1"/>
  <c r="J8" i="1"/>
  <c r="J9" i="1"/>
  <c r="J11" i="1"/>
  <c r="J12" i="1"/>
  <c r="J13" i="1"/>
  <c r="E20" i="5"/>
  <c r="E19" i="5"/>
  <c r="E17" i="5"/>
  <c r="E16" i="5"/>
  <c r="E14" i="5"/>
  <c r="E13" i="5"/>
  <c r="E12" i="5"/>
  <c r="E11" i="5"/>
  <c r="E10" i="5"/>
  <c r="E9" i="5"/>
  <c r="E8" i="5"/>
  <c r="E7" i="5"/>
  <c r="E6" i="5"/>
  <c r="E5" i="5"/>
  <c r="E4" i="5"/>
  <c r="D20" i="5"/>
  <c r="D19" i="5"/>
  <c r="D17" i="5"/>
  <c r="D16" i="5"/>
  <c r="D14" i="5"/>
  <c r="D13" i="5"/>
  <c r="D12" i="5"/>
  <c r="D11" i="5"/>
  <c r="D10" i="5"/>
  <c r="D9" i="5"/>
  <c r="D8" i="5"/>
  <c r="D7" i="5"/>
  <c r="D6" i="5"/>
  <c r="D5" i="5"/>
  <c r="D4" i="5"/>
  <c r="C20" i="5"/>
  <c r="C19" i="5"/>
  <c r="C17" i="5"/>
  <c r="C16" i="5"/>
  <c r="C14" i="5"/>
  <c r="C13" i="5"/>
  <c r="C12" i="5"/>
  <c r="C11" i="5"/>
  <c r="C10" i="5"/>
  <c r="C9" i="5"/>
  <c r="C8" i="5"/>
  <c r="C7" i="5"/>
  <c r="C6" i="5"/>
  <c r="C5" i="5"/>
  <c r="C4" i="5"/>
  <c r="B20" i="5"/>
  <c r="B19" i="5"/>
  <c r="B17" i="5"/>
  <c r="B16" i="5"/>
  <c r="B14" i="5"/>
  <c r="B13" i="5"/>
  <c r="B12" i="5"/>
  <c r="B11" i="5"/>
  <c r="B10" i="5"/>
  <c r="B9" i="5"/>
  <c r="B8" i="5"/>
  <c r="B7" i="5"/>
  <c r="B6" i="5"/>
  <c r="B5" i="5"/>
  <c r="B4" i="5"/>
  <c r="E39" i="2"/>
  <c r="E36" i="2"/>
  <c r="D39" i="2"/>
  <c r="D36" i="2"/>
  <c r="C39" i="2"/>
  <c r="C36" i="2"/>
  <c r="B39" i="2"/>
  <c r="B36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B25" i="2"/>
  <c r="C25" i="2"/>
  <c r="D25" i="2"/>
  <c r="E25" i="2"/>
  <c r="B27" i="2"/>
  <c r="C27" i="2"/>
  <c r="D27" i="2"/>
  <c r="E27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E15" i="8" l="1"/>
  <c r="D15" i="8"/>
  <c r="C15" i="8"/>
  <c r="B15" i="8"/>
</calcChain>
</file>

<file path=xl/sharedStrings.xml><?xml version="1.0" encoding="utf-8"?>
<sst xmlns="http://schemas.openxmlformats.org/spreadsheetml/2006/main" count="253" uniqueCount="122">
  <si>
    <t>Consolidated Balance Sheets - USD ($) $ in Millions</t>
  </si>
  <si>
    <t>Horizontal Analysis of Consolidated Balance Sheets - USD ($) $ in Millions</t>
  </si>
  <si>
    <t>Current assets:</t>
  </si>
  <si>
    <t>Cash and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</si>
  <si>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</si>
  <si>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</si>
  <si>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</si>
  <si>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</si>
  <si>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</si>
  <si>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Property, plant and equipment, net</t>
  </si>
  <si>
    <t>Operating lease right-of-use assets, net</t>
  </si>
  <si>
    <t>Identifiable intangible assets, net</t>
  </si>
  <si>
    <t>Goodwill</t>
  </si>
  <si>
    <t>Deferred income taxes and other assets</t>
  </si>
  <si>
    <t>TOTAL ASSETS</t>
  </si>
  <si>
    <t>Current liabilities:</t>
  </si>
  <si>
    <t>Current portion of long-term debt</t>
  </si>
  <si>
    <t>Notes payable</t>
  </si>
  <si>
    <t>Accounts payable</t>
  </si>
  <si>
    <t>Current portion of operating lease liabilities</t>
  </si>
  <si>
    <t>Accrued liabilities</t>
  </si>
  <si>
    <t>Income taxes payable</t>
  </si>
  <si>
    <t>Total current liabilities</t>
  </si>
  <si>
    <t>Long-term debt</t>
  </si>
  <si>
    <t>Operating lease liabilities</t>
  </si>
  <si>
    <t>Deferred income taxes and other liabilities</t>
  </si>
  <si>
    <t>Commitments and contingencies (Note 18)</t>
  </si>
  <si>
    <t xml:space="preserve"> </t>
  </si>
  <si>
    <t>Redeemable preferred stock</t>
  </si>
  <si>
    <t>Shareholders' equity:</t>
  </si>
  <si>
    <t>Capital in excess of stated value</t>
  </si>
  <si>
    <t>Accumulated other comprehensive income (loss)</t>
  </si>
  <si>
    <t>Retained earnings (deficit)</t>
  </si>
  <si>
    <t>Total shareholders' equity</t>
  </si>
  <si>
    <t>TOTAL LIABILITIES AND SHAREHOLDERS' EQUITY</t>
  </si>
  <si>
    <t>Class A Convertible Common Stock</t>
  </si>
  <si>
    <t>Common stock at stated value</t>
  </si>
  <si>
    <t>Class B Common Stock</t>
  </si>
  <si>
    <t>Consolidated Statements of Income - USD ($) shares in Millions, $ in Millions</t>
  </si>
  <si>
    <t>12 Months Ended</t>
  </si>
  <si>
    <t>Income Statement [Abstract]</t>
  </si>
  <si>
    <t>Revenues</t>
  </si>
  <si>
    <t>Cost of sales</t>
  </si>
  <si>
    <t>Gross profit</t>
  </si>
  <si>
    <t>Demand creation expense</t>
  </si>
  <si>
    <t>Operating overhead expense</t>
  </si>
  <si>
    <t>Total selling and administrative expense</t>
  </si>
  <si>
    <t>Interest expense (income), net</t>
  </si>
  <si>
    <t>Other (income) expense, net</t>
  </si>
  <si>
    <t>Income before income taxes</t>
  </si>
  <si>
    <t>Income tax expense</t>
  </si>
  <si>
    <t>NET INCOME</t>
  </si>
  <si>
    <t>Earnings per common share:</t>
  </si>
  <si>
    <t>Basic (in dollars per share)</t>
  </si>
  <si>
    <t>Diluted (in dollars per share)</t>
  </si>
  <si>
    <t>Weighted average common shares outstanding:</t>
  </si>
  <si>
    <t>Basic (in shares)</t>
  </si>
  <si>
    <t>Diluted (in shares)</t>
  </si>
  <si>
    <t>Consolidated Statements of Cash Flows - USD ($) $ in Millions</t>
  </si>
  <si>
    <t>12 Months End</t>
  </si>
  <si>
    <t>Cash provided by operations:</t>
  </si>
  <si>
    <t>Net income</t>
  </si>
  <si>
    <t>Adjustments to reconcile net income to net cash provided by operations:</t>
  </si>
  <si>
    <t>Depreciation</t>
  </si>
  <si>
    <t>Deferred income taxes</t>
  </si>
  <si>
    <t>Stock-based compensation</t>
  </si>
  <si>
    <t>Amortization and other</t>
  </si>
  <si>
    <t>Net foreign currency adjustments</t>
  </si>
  <si>
    <t>Changes in certain working capital components and other assets and liabilities:</t>
  </si>
  <si>
    <t>(Increase) decrease in accounts receivable</t>
  </si>
  <si>
    <t>(Increase) decrease in inventories</t>
  </si>
  <si>
    <t>(Increase) decrease in prepaid expenses and other current and non-current assets</t>
  </si>
  <si>
    <t>Increase (decrease) in accounts payable, accrued liabilities and other current and non-current liabilities</t>
  </si>
  <si>
    <t>Cash provided by operations</t>
  </si>
  <si>
    <t>Cash provided (used) by investing activities:</t>
  </si>
  <si>
    <t>Purchases of short-term investments</t>
  </si>
  <si>
    <t>Maturities of short-term investments</t>
  </si>
  <si>
    <t>Sales of short-term investments</t>
  </si>
  <si>
    <t>Additions to property, plant and equipment</t>
  </si>
  <si>
    <t>Disposals of property, plant and equipment</t>
  </si>
  <si>
    <t>Other investing activities</t>
  </si>
  <si>
    <t>Cash provided (used) by investing activities</t>
  </si>
  <si>
    <t>Cash used by financing activities:</t>
  </si>
  <si>
    <t>Net proceeds from long-term debt issuance</t>
  </si>
  <si>
    <t>Long-term debt payments, including current portion</t>
  </si>
  <si>
    <t>Increase (decrease) in notes payable</t>
  </si>
  <si>
    <t>Payments on capital lease and other financing obligations</t>
  </si>
  <si>
    <t>Proceeds from exercise of stock options and other stock issuances</t>
  </si>
  <si>
    <t>Repurchase of common stock</t>
  </si>
  <si>
    <t>Dividends — common and preferred</t>
  </si>
  <si>
    <t>Tax payments for net share settlement of equity awards</t>
  </si>
  <si>
    <t>Cash used by financing activities</t>
  </si>
  <si>
    <t>Effect of exchange rate changes on cash and equivalents</t>
  </si>
  <si>
    <t>Net increase (decrease) in cash and equivalents</t>
  </si>
  <si>
    <t>Cash and equivalents, beginning of year</t>
  </si>
  <si>
    <t>CASH AND EQUIVALENTS, END OF YEAR</t>
  </si>
  <si>
    <t>Cash paid during the year for:</t>
  </si>
  <si>
    <t>Interest, net of capitalized interest</t>
  </si>
  <si>
    <t>Income taxes</t>
  </si>
  <si>
    <t>Non-cash additions to property, plant and equipment</t>
  </si>
  <si>
    <t>Dividends declared and not paid</t>
  </si>
  <si>
    <t>revenues</t>
  </si>
  <si>
    <t>total assets</t>
  </si>
  <si>
    <t>Profitability Ratios</t>
  </si>
  <si>
    <t>Nike Inc.</t>
  </si>
  <si>
    <t>Asset Turnover Ratio = Net Sales / Average Total Assets</t>
  </si>
  <si>
    <t>ROE = Net Income / Average Equity</t>
  </si>
  <si>
    <t>Operating Income Percentage = Operating Income / Sales Revenue</t>
  </si>
  <si>
    <t>Return on Total Assets (ROA) = Net Income / Average Total Assets</t>
  </si>
  <si>
    <t>EPS = Net Income / Outstanding Shares</t>
  </si>
  <si>
    <t>Liquidity and Solvency Analysis</t>
  </si>
  <si>
    <t>Current Ratio = CA / CL</t>
  </si>
  <si>
    <t>Times Interest Earned = EBIT / Interest Exp.</t>
  </si>
  <si>
    <t>Quick Ratio = (cash + marketable sec. + A/R) / CL</t>
  </si>
  <si>
    <t>Debt to Equity = (LTD + CPLTD + short-term debt) / SE</t>
  </si>
  <si>
    <t>A/R Turnover = Net Sales / Average Net Account Receivable</t>
  </si>
  <si>
    <t>Days Inventory Outstanding = 365 / Inventory Turnover</t>
  </si>
  <si>
    <t>Days Sales Outstanding = 365 / A/R Turnover</t>
  </si>
  <si>
    <t>Inventory Turnover = Cost of goods sold / Average Inventory</t>
  </si>
  <si>
    <t>A/P Turnover = Cost of goods sold / Average accounts payable</t>
  </si>
  <si>
    <t>Days Payable Outstanding = 365 / Turnover</t>
  </si>
  <si>
    <t>Cash Conversion Cycle = Days inventory outstanding + days sales outstanding - days payable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</si>
</sst>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164" fontId="3" fillId="0" borderId="0" xfId="0" applyNumberFormat="1" applyFont="1"/>
    <xf numFmtId="8" fontId="3" fillId="0" borderId="0" xfId="0" applyNumberFormat="1" applyFont="1"/>
    <xf numFmtId="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4" fontId="3" fillId="0" borderId="0" xfId="0" applyNumberFormat="1" applyFont="1" applyAlignment="1">
      <alignment wrapText="1"/>
    </xf>
    <xf numFmtId="0" fontId="0" fillId="0" borderId="0" xfId="0" quotePrefix="1"/>
    <xf numFmtId="10" fontId="0" fillId="0" borderId="0" xfId="0" applyNumberFormat="1"/>
    <xf numFmtId="10" fontId="5" fillId="0" borderId="0" xfId="0" quotePrefix="1" applyNumberFormat="1" applyFont="1"/>
    <xf numFmtId="165" fontId="0" fillId="0" borderId="0" xfId="0" applyNumberFormat="1"/>
    <xf numFmtId="10" fontId="6" fillId="0" borderId="0" xfId="0" quotePrefix="1" applyNumberFormat="1" applyFont="1"/>
    <xf numFmtId="2" fontId="6" fillId="0" borderId="0" xfId="0" quotePrefix="1" applyNumberFormat="1" applyFont="1"/>
    <xf numFmtId="2" fontId="0" fillId="0" borderId="0" xfId="0" applyNumberFormat="1"/>
    <xf numFmtId="0" fontId="0" fillId="0" borderId="0" xfId="0" applyAlignment="1">
      <alignment wrapText="1"/>
    </xf>
    <xf numFmtId="15" fontId="1" fillId="2" borderId="0" xfId="1" applyNumberFormat="1"/>
    <xf numFmtId="0" fontId="1" fillId="2" borderId="0" xfId="1" applyAlignment="1">
      <alignment wrapText="1"/>
    </xf>
    <xf numFmtId="15" fontId="1" fillId="2" borderId="0" xfId="1" applyNumberFormat="1" applyAlignment="1">
      <alignment wrapText="1"/>
    </xf>
    <xf numFmtId="15" fontId="1" fillId="2" borderId="0" xfId="1" applyNumberFormat="1" applyAlignment="1">
      <alignment horizontal="center" wrapText="1"/>
    </xf>
    <xf numFmtId="0" fontId="1" fillId="2" borderId="0" xfId="1"/>
    <xf numFmtId="0" fontId="1" fillId="2" borderId="0" xfId="1" applyAlignment="1">
      <alignment horizontal="center" vertical="top"/>
    </xf>
    <xf numFmtId="4" fontId="6" fillId="0" borderId="0" xfId="0" quotePrefix="1" applyNumberFormat="1" applyFont="1"/>
    <xf numFmtId="0" fontId="1" fillId="2" borderId="0" xfId="1" applyAlignment="1">
      <alignment horizontal="center" wrapText="1"/>
    </xf>
    <xf numFmtId="0" fontId="1" fillId="2" borderId="0" xfId="1" applyAlignment="1">
      <alignment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 (ROE)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Profitability!$B$5:$E$5</c:f>
              <c:numCache>
                <c:formatCode>0.00%</c:formatCode>
                <c:ptCount val="4"/>
                <c:pt idx="0">
                  <c:v>0.55009124963980405</c:v>
                </c:pt>
                <c:pt idx="1">
                  <c:v>0.2970459198596081</c:v>
                </c:pt>
                <c:pt idx="2">
                  <c:v>0.42743475493316357</c:v>
                </c:pt>
                <c:pt idx="3">
                  <c:v>0.39400733795352627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9-44D1-8150-AAFC4DB2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7128"/>
        <c:axId val="798447464"/>
      </c:lineChart>
      <c:dateAx>
        <c:axId val="728871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47464"/>
        <c:crosses val="autoZero"/>
        <c:auto val="1"/>
        <c:lblOffset val="100"/>
        <c:baseTimeUnit val="years"/>
      </c:dateAx>
      <c:valAx>
        <c:axId val="7984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Profitability!$B$3:$E$3</c:f>
              <c:numCache>
                <c:formatCode>0.00</c:formatCode>
                <c:ptCount val="4"/>
                <c:pt idx="0">
                  <c:v>1.2894241625893865</c:v>
                </c:pt>
                <c:pt idx="1">
                  <c:v>1.3586516282533283</c:v>
                </c:pt>
                <c:pt idx="2">
                  <c:v>1.6914362311633839</c:v>
                </c:pt>
                <c:pt idx="3">
                  <c:v>3.2301206957756476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7-4CC9-BB26-53EBB3F5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580232"/>
        <c:axId val="1196206855"/>
      </c:lineChart>
      <c:dateAx>
        <c:axId val="17855802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06855"/>
        <c:crosses val="autoZero"/>
        <c:auto val="1"/>
        <c:lblOffset val="100"/>
        <c:baseTimeUnit val="years"/>
      </c:dateAx>
      <c:valAx>
        <c:axId val="119620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8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Interest Earned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'Liquidity&amp;Solvency'!$B$2:$E$2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'Liquidity&amp;Solvency'!$B$5:$E$5</c:f>
              <c:numCache>
                <c:formatCode>0.00</c:formatCode>
                <c:ptCount val="4"/>
                <c:pt idx="0">
                  <c:v>25.423664122137403</c:v>
                </c:pt>
                <c:pt idx="1">
                  <c:v>32.438202247191015</c:v>
                </c:pt>
                <c:pt idx="2">
                  <c:v>97.979591836734699</c:v>
                </c:pt>
                <c:pt idx="3">
                  <c:v>80.092592592592595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0-4EF7-A8CB-5D34240A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58792"/>
        <c:axId val="1463965399"/>
      </c:lineChart>
      <c:dateAx>
        <c:axId val="1005258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65399"/>
        <c:crosses val="autoZero"/>
        <c:auto val="1"/>
        <c:lblOffset val="100"/>
        <c:baseTimeUnit val="years"/>
      </c:dateAx>
      <c:valAx>
        <c:axId val="146396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'Liquidity&amp;Solvency'!$B$2:$E$2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'Liquidity&amp;Solvency'!$B$3:$E$3</c:f>
              <c:numCache>
                <c:formatCode>0.00</c:formatCode>
                <c:ptCount val="4"/>
                <c:pt idx="0">
                  <c:v>2.717696919578251</c:v>
                </c:pt>
                <c:pt idx="1">
                  <c:v>2.4814099468855626</c:v>
                </c:pt>
                <c:pt idx="2">
                  <c:v>2.1008136282735825</c:v>
                </c:pt>
                <c:pt idx="3">
                  <c:v>2.5056291390728478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6-4E66-A2E0-2AC72C77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59672"/>
        <c:axId val="1908234215"/>
      </c:lineChart>
      <c:dateAx>
        <c:axId val="3240596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4215"/>
        <c:crosses val="autoZero"/>
        <c:auto val="1"/>
        <c:lblOffset val="100"/>
        <c:baseTimeUnit val="years"/>
      </c:dateAx>
      <c:valAx>
        <c:axId val="190823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5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Inventory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Efficiency!$A$5</c:f>
              <c:strCache>
                <c:ptCount val="1"/>
                <c:pt idx="0">
                  <c:v>Days Inventory Outstanding = 365 / Inventory 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Efficiency!$B$2:$E$2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Efficiency!$B$5:$E$5</c:f>
              <c:numCache>
                <c:formatCode>0.00</c:formatCode>
                <c:ptCount val="4"/>
                <c:pt idx="0">
                  <c:v>105.60434977213542</c:v>
                </c:pt>
                <c:pt idx="1">
                  <c:v>112.01646819771288</c:v>
                </c:pt>
                <c:pt idx="2">
                  <c:v>91.768585685903062</c:v>
                </c:pt>
                <c:pt idx="3">
                  <c:v>93.941832591360495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F-49A6-B80E-DC8FA7B3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78055"/>
        <c:axId val="126266664"/>
      </c:lineChart>
      <c:dateAx>
        <c:axId val="209337805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6664"/>
        <c:crosses val="autoZero"/>
        <c:auto val="1"/>
        <c:lblOffset val="100"/>
        <c:baseTimeUnit val="years"/>
      </c:dateAx>
      <c:valAx>
        <c:axId val="1262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78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A/R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Efficiency!$A$3</c:f>
              <c:strCache>
                <c:ptCount val="1"/>
                <c:pt idx="0">
                  <c:v>A/R Turnover = Net Sales / Average Net Account Receivable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Efficiency!$B$2:$E$2</c:f>
              <c:numCache>
                <c:formatCode>d\-mmm\-yy</c:formatCode>
                <c:ptCount val="4"/>
                <c:pt idx="0">
                  <c:v>44347</c:v>
                </c:pt>
                <c:pt idx="1">
                  <c:v>43982</c:v>
                </c:pt>
                <c:pt idx="2">
                  <c:v>43616</c:v>
                </c:pt>
                <c:pt idx="3">
                  <c:v>43251</c:v>
                </c:pt>
              </c:numCache>
            </c:numRef>
          </c:cat>
          <c:val>
            <c:numRef>
              <c:f>Efficiency!$B$3:$E$3</c:f>
              <c:numCache>
                <c:formatCode>0.00</c:formatCode>
                <c:ptCount val="4"/>
                <c:pt idx="0">
                  <c:v>12.351081530782031</c:v>
                </c:pt>
                <c:pt idx="1">
                  <c:v>10.654607605754165</c:v>
                </c:pt>
                <c:pt idx="2">
                  <c:v>10.068725868725869</c:v>
                </c:pt>
                <c:pt idx="3">
                  <c:v>10.405088622069755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8-4A19-BBB5-7D29B54B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290296"/>
        <c:axId val="412926327"/>
      </c:lineChart>
      <c:dateAx>
        <c:axId val="16982902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327"/>
        <c:crosses val="autoZero"/>
        <c:auto val="1"/>
        <c:lblOffset val="100"/>
        <c:baseTimeUnit val="years"/>
      </c:dateAx>
      <c:valAx>
        <c:axId val="41292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76200</xdr:rowOff>
    </xdr:from>
    <xdr:to>
      <xdr:col>14</xdr:col>
      <xdr:colOff>47625</xdr:colOff>
      <xdr:row>13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9CBA2F-381D-4501-AFCE-507CB7F0BEFD}"/>
            </a:ext>
            <a:ext uri="{147F2762-F138-4A5C-976F-8EAC2B608ADB}">
              <a16:predDERef xmlns:a16="http://schemas.microsoft.com/office/drawing/2014/main" pred="{59AE2EE6-2A91-42BD-9480-1E642F073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15</xdr:row>
      <xdr:rowOff>76200</xdr:rowOff>
    </xdr:from>
    <xdr:to>
      <xdr:col>14</xdr:col>
      <xdr:colOff>57150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5FDD-B2C7-4353-81D0-7F9CE12988C0}"/>
            </a:ext>
            <a:ext uri="{147F2762-F138-4A5C-976F-8EAC2B608ADB}">
              <a16:predDERef xmlns:a16="http://schemas.microsoft.com/office/drawing/2014/main" pred="{259CBA2F-381D-4501-AFCE-507CB7F0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16</xdr:row>
      <xdr:rowOff>104775</xdr:rowOff>
    </xdr:from>
    <xdr:to>
      <xdr:col>14</xdr:col>
      <xdr:colOff>533400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506D0-6121-4030-B697-3BDED57C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142875</xdr:rowOff>
    </xdr:from>
    <xdr:to>
      <xdr:col>14</xdr:col>
      <xdr:colOff>381000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A5786-559F-4C82-9FF5-D1B8AC47A697}"/>
            </a:ext>
            <a:ext uri="{147F2762-F138-4A5C-976F-8EAC2B608ADB}">
              <a16:predDERef xmlns:a16="http://schemas.microsoft.com/office/drawing/2014/main" pred="{E2B506D0-6121-4030-B697-3BDED57C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180975</xdr:rowOff>
    </xdr:from>
    <xdr:to>
      <xdr:col>13</xdr:col>
      <xdr:colOff>295275</xdr:colOff>
      <xdr:row>14</xdr:row>
      <xdr:rowOff>247650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B4416-8645-41A0-99B4-87113630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14</xdr:row>
      <xdr:rowOff>371475</xdr:rowOff>
    </xdr:from>
    <xdr:to>
      <xdr:col>13</xdr:col>
      <xdr:colOff>295275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B8519-5231-4E13-BEB0-D9EE546122E4}"/>
            </a:ext>
            <a:ext uri="{147F2762-F138-4A5C-976F-8EAC2B608ADB}">
              <a16:predDERef xmlns:a16="http://schemas.microsoft.com/office/drawing/2014/main" pred="{D53B4416-8645-41A0-99B4-87113630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A19" workbookViewId="0">
      <selection activeCell="C18" sqref="C18"/>
    </sheetView>
  </sheetViews>
  <sheetFormatPr defaultRowHeight="15"/>
  <cols>
    <col min="1" max="1" width="44.85546875" customWidth="1"/>
    <col min="2" max="2" width="10.5703125" bestFit="1" customWidth="1"/>
    <col min="3" max="3" width="10" customWidth="1"/>
    <col min="4" max="4" width="12" customWidth="1"/>
    <col min="5" max="5" width="10" customWidth="1"/>
    <col min="7" max="7" width="44.7109375" customWidth="1"/>
    <col min="8" max="9" width="10.5703125" bestFit="1" customWidth="1"/>
    <col min="10" max="10" width="17.85546875" customWidth="1"/>
    <col min="11" max="11" width="10.5703125" bestFit="1" customWidth="1"/>
  </cols>
  <sheetData>
    <row r="1" spans="1:11" ht="30">
      <c r="A1" s="23" t="s">
        <v>0</v>
      </c>
      <c r="B1" s="24">
        <v>44347</v>
      </c>
      <c r="C1" s="24">
        <v>43982</v>
      </c>
      <c r="D1" s="24">
        <v>43616</v>
      </c>
      <c r="E1" s="24">
        <v>43251</v>
      </c>
      <c r="G1" s="23" t="s">
        <v>1</v>
      </c>
      <c r="H1" s="24">
        <v>44347</v>
      </c>
      <c r="I1" s="24">
        <v>43982</v>
      </c>
      <c r="J1" s="24">
        <v>43616</v>
      </c>
      <c r="K1" s="22">
        <v>43251</v>
      </c>
    </row>
    <row r="2" spans="1:11">
      <c r="A2" s="1" t="s">
        <v>2</v>
      </c>
      <c r="B2" s="3"/>
      <c r="C2" s="3"/>
      <c r="D2" s="3"/>
      <c r="E2" s="3"/>
      <c r="G2" s="1" t="s">
        <v>2</v>
      </c>
      <c r="H2" s="3"/>
      <c r="I2" s="3"/>
      <c r="J2" s="3"/>
    </row>
    <row r="3" spans="1:11">
      <c r="A3" s="2" t="s">
        <v>3</v>
      </c>
      <c r="B3" s="5">
        <v>9889</v>
      </c>
      <c r="C3" s="5">
        <v>8348</v>
      </c>
      <c r="D3" s="5">
        <v>4466</v>
      </c>
      <c r="E3" s="5">
        <v>4249</v>
      </c>
      <c r="G3" s="2" t="s">
        <v>3</v>
      </c>
      <c r="H3" s="8">
        <f>(B3-C3)/C3</f>
        <v>0.18459511260182079</v>
      </c>
      <c r="I3" s="8">
        <f>(C3-D3)/D3</f>
        <v>0.86923421406180024</v>
      </c>
      <c r="J3" s="8">
        <f>(D3-E3)/E3</f>
        <v>5.1070840197693576E-2</v>
      </c>
    </row>
    <row r="4" spans="1:11">
      <c r="A4" s="2" t="s">
        <v>4</v>
      </c>
      <c r="B4" s="6">
        <v>3587</v>
      </c>
      <c r="C4" s="4">
        <v>439</v>
      </c>
      <c r="D4" s="4">
        <v>197</v>
      </c>
      <c r="E4" s="4">
        <v>996</v>
      </c>
      <c r="G4" s="2" t="s">
        <v>4</v>
      </c>
      <c r="H4" s="8">
        <f t="shared" ref="H4:H39" si="0">(B4-C4)/C4</f>
        <v>7.1708428246013671</v>
      </c>
      <c r="I4" s="8">
        <f t="shared" ref="I4:I39" si="1">(C4-D4)/D4</f>
        <v>1.2284263959390862</v>
      </c>
      <c r="J4" s="8">
        <f t="shared" ref="J4:J14" si="2">(D4-E4)/E4</f>
        <v>-0.80220883534136544</v>
      </c>
    </row>
    <row r="5" spans="1:11">
      <c r="A5" s="2" t="s">
        <v>5</v>
      </c>
      <c r="B5" s="6">
        <v>4463</v>
      </c>
      <c r="C5" s="6">
        <v>2749</v>
      </c>
      <c r="D5" s="6">
        <v>4272</v>
      </c>
      <c r="E5" s="6">
        <v>3498</v>
      </c>
      <c r="G5" s="2" t="s">
        <v>5</v>
      </c>
      <c r="H5" s="8">
        <f t="shared" si="0"/>
        <v>0.62349945434703524</v>
      </c>
      <c r="I5" s="8">
        <f t="shared" si="1"/>
        <v>-0.35650749063670412</v>
      </c>
      <c r="J5" s="8">
        <f t="shared" si="2"/>
        <v>0.22126929674099485</v>
      </c>
    </row>
    <row r="6" spans="1:11">
      <c r="A6" s="2" t="s">
        <v>6</v>
      </c>
      <c r="B6" s="6">
        <v>6854</v>
      </c>
      <c r="C6" s="6">
        <v>7367</v>
      </c>
      <c r="D6" s="6">
        <v>5622</v>
      </c>
      <c r="E6" s="6">
        <v>5261</v>
      </c>
      <c r="G6" s="2" t="s">
        <v>6</v>
      </c>
      <c r="H6" s="8">
        <f t="shared" si="0"/>
        <v>-6.9634858151214882E-2</v>
      </c>
      <c r="I6" s="8">
        <f t="shared" si="1"/>
        <v>0.31038776236214871</v>
      </c>
      <c r="J6" s="8">
        <f t="shared" si="2"/>
        <v>6.8618133434708226E-2</v>
      </c>
    </row>
    <row r="7" spans="1:11">
      <c r="A7" s="2" t="s">
        <v>7</v>
      </c>
      <c r="B7" s="6">
        <v>1498</v>
      </c>
      <c r="C7" s="6">
        <v>1653</v>
      </c>
      <c r="D7" s="6">
        <v>1968</v>
      </c>
      <c r="E7" s="6">
        <v>1130</v>
      </c>
      <c r="G7" s="2" t="s">
        <v>7</v>
      </c>
      <c r="H7" s="8">
        <f t="shared" si="0"/>
        <v>-9.3768905021173618E-2</v>
      </c>
      <c r="I7" s="8">
        <f t="shared" si="1"/>
        <v>-0.1600609756097561</v>
      </c>
      <c r="J7" s="8">
        <f t="shared" si="2"/>
        <v>0.74159292035398228</v>
      </c>
    </row>
    <row r="8" spans="1:11">
      <c r="A8" s="2" t="s">
        <v>8</v>
      </c>
      <c r="B8" s="6">
        <v>26291</v>
      </c>
      <c r="C8" s="6">
        <v>20556</v>
      </c>
      <c r="D8" s="6">
        <v>16525</v>
      </c>
      <c r="E8" s="6">
        <v>15134</v>
      </c>
      <c r="G8" s="2" t="s">
        <v>8</v>
      </c>
      <c r="H8" s="8">
        <f t="shared" si="0"/>
        <v>0.27899396769799573</v>
      </c>
      <c r="I8" s="8">
        <f t="shared" si="1"/>
        <v>0.24393343419062027</v>
      </c>
      <c r="J8" s="8">
        <f t="shared" si="2"/>
        <v>9.191225056164927E-2</v>
      </c>
    </row>
    <row r="9" spans="1:11">
      <c r="A9" s="2" t="s">
        <v>9</v>
      </c>
      <c r="B9" s="6">
        <v>4904</v>
      </c>
      <c r="C9" s="6">
        <v>4866</v>
      </c>
      <c r="D9" s="6">
        <v>4744</v>
      </c>
      <c r="E9" s="6">
        <v>4454</v>
      </c>
      <c r="G9" s="2" t="s">
        <v>9</v>
      </c>
      <c r="H9" s="8">
        <f t="shared" si="0"/>
        <v>7.8092889436909164E-3</v>
      </c>
      <c r="I9" s="8">
        <f t="shared" si="1"/>
        <v>2.5716694772344013E-2</v>
      </c>
      <c r="J9" s="8">
        <f t="shared" si="2"/>
        <v>6.5110013471037273E-2</v>
      </c>
    </row>
    <row r="10" spans="1:11">
      <c r="A10" s="2" t="s">
        <v>10</v>
      </c>
      <c r="B10" s="6">
        <v>3113</v>
      </c>
      <c r="C10" s="6">
        <v>3097</v>
      </c>
      <c r="D10" s="4">
        <v>0</v>
      </c>
      <c r="G10" s="2" t="s">
        <v>10</v>
      </c>
      <c r="H10" s="8">
        <f t="shared" si="0"/>
        <v>5.1662899580238938E-3</v>
      </c>
      <c r="I10" s="8">
        <v>0</v>
      </c>
      <c r="J10" s="8">
        <v>0</v>
      </c>
    </row>
    <row r="11" spans="1:11">
      <c r="A11" s="2" t="s">
        <v>11</v>
      </c>
      <c r="B11" s="4">
        <v>269</v>
      </c>
      <c r="C11" s="4">
        <v>274</v>
      </c>
      <c r="D11" s="4">
        <v>283</v>
      </c>
      <c r="E11" s="4">
        <v>285</v>
      </c>
      <c r="G11" s="2" t="s">
        <v>11</v>
      </c>
      <c r="H11" s="8">
        <f t="shared" si="0"/>
        <v>-1.824817518248175E-2</v>
      </c>
      <c r="I11" s="8">
        <f t="shared" si="1"/>
        <v>-3.1802120141342753E-2</v>
      </c>
      <c r="J11" s="8">
        <f t="shared" si="2"/>
        <v>-7.0175438596491229E-3</v>
      </c>
    </row>
    <row r="12" spans="1:11">
      <c r="A12" s="2" t="s">
        <v>12</v>
      </c>
      <c r="B12" s="4">
        <v>242</v>
      </c>
      <c r="C12" s="4">
        <v>223</v>
      </c>
      <c r="D12" s="4">
        <v>154</v>
      </c>
      <c r="E12" s="4">
        <v>154</v>
      </c>
      <c r="G12" s="2" t="s">
        <v>12</v>
      </c>
      <c r="H12" s="8">
        <f t="shared" si="0"/>
        <v>8.520179372197309E-2</v>
      </c>
      <c r="I12" s="8">
        <f t="shared" si="1"/>
        <v>0.44805194805194803</v>
      </c>
      <c r="J12" s="8">
        <f t="shared" si="2"/>
        <v>0</v>
      </c>
    </row>
    <row r="13" spans="1:11">
      <c r="A13" s="2" t="s">
        <v>13</v>
      </c>
      <c r="B13" s="6">
        <v>2921</v>
      </c>
      <c r="C13" s="6">
        <v>2326</v>
      </c>
      <c r="D13" s="6">
        <v>2011</v>
      </c>
      <c r="E13" s="6">
        <v>2509</v>
      </c>
      <c r="G13" s="2" t="s">
        <v>13</v>
      </c>
      <c r="H13" s="8">
        <f t="shared" si="0"/>
        <v>0.25580395528804817</v>
      </c>
      <c r="I13" s="8">
        <f t="shared" si="1"/>
        <v>0.15663848831427152</v>
      </c>
      <c r="J13" s="8">
        <f t="shared" si="2"/>
        <v>-0.19848545237146273</v>
      </c>
    </row>
    <row r="14" spans="1:11">
      <c r="A14" s="2" t="s">
        <v>14</v>
      </c>
      <c r="B14" s="6">
        <v>37740</v>
      </c>
      <c r="C14" s="6">
        <v>31342</v>
      </c>
      <c r="D14" s="6">
        <v>23717</v>
      </c>
      <c r="E14" s="6">
        <v>22536</v>
      </c>
      <c r="G14" s="2" t="s">
        <v>14</v>
      </c>
      <c r="H14" s="8">
        <f t="shared" si="0"/>
        <v>0.20413502648203688</v>
      </c>
      <c r="I14" s="8">
        <f t="shared" si="1"/>
        <v>0.32149934646034489</v>
      </c>
      <c r="J14" s="8">
        <f>(D14-E14)/E14</f>
        <v>5.2405040823571176E-2</v>
      </c>
    </row>
    <row r="15" spans="1:11">
      <c r="A15" s="1" t="s">
        <v>15</v>
      </c>
      <c r="B15" s="3"/>
      <c r="C15" s="3"/>
      <c r="D15" s="3"/>
      <c r="G15" s="1" t="s">
        <v>15</v>
      </c>
      <c r="H15" s="8"/>
      <c r="I15" s="8"/>
      <c r="J15" s="11"/>
    </row>
    <row r="16" spans="1:11">
      <c r="A16" s="2" t="s">
        <v>16</v>
      </c>
      <c r="B16" s="4">
        <v>0</v>
      </c>
      <c r="C16" s="4">
        <v>3</v>
      </c>
      <c r="D16" s="4">
        <v>6</v>
      </c>
      <c r="E16" s="4">
        <v>6</v>
      </c>
      <c r="G16" s="2" t="s">
        <v>16</v>
      </c>
      <c r="H16" s="8">
        <f t="shared" si="0"/>
        <v>-1</v>
      </c>
      <c r="I16" s="8">
        <f t="shared" si="1"/>
        <v>-0.5</v>
      </c>
      <c r="J16" s="8">
        <f>(D16-E16)/E16</f>
        <v>0</v>
      </c>
    </row>
    <row r="17" spans="1:10">
      <c r="A17" s="2" t="s">
        <v>17</v>
      </c>
      <c r="B17" s="4">
        <v>2</v>
      </c>
      <c r="C17" s="4">
        <v>248</v>
      </c>
      <c r="D17" s="4">
        <v>9</v>
      </c>
      <c r="E17" s="4">
        <v>336</v>
      </c>
      <c r="G17" s="2" t="s">
        <v>17</v>
      </c>
      <c r="H17" s="8">
        <f t="shared" si="0"/>
        <v>-0.99193548387096775</v>
      </c>
      <c r="I17" s="8">
        <f t="shared" si="1"/>
        <v>26.555555555555557</v>
      </c>
      <c r="J17" s="8">
        <f t="shared" ref="J17:J25" si="3">(D17-E17)/E17</f>
        <v>-0.9732142857142857</v>
      </c>
    </row>
    <row r="18" spans="1:10">
      <c r="A18" s="2" t="s">
        <v>18</v>
      </c>
      <c r="B18" s="6">
        <v>2836</v>
      </c>
      <c r="C18" s="6">
        <v>2248</v>
      </c>
      <c r="D18" s="6">
        <v>2612</v>
      </c>
      <c r="E18" s="6">
        <v>2279</v>
      </c>
      <c r="G18" s="2" t="s">
        <v>18</v>
      </c>
      <c r="H18" s="8">
        <f t="shared" si="0"/>
        <v>0.26156583629893237</v>
      </c>
      <c r="I18" s="8">
        <f t="shared" si="1"/>
        <v>-0.13935681470137826</v>
      </c>
      <c r="J18" s="8">
        <f t="shared" si="3"/>
        <v>0.14611671785870997</v>
      </c>
    </row>
    <row r="19" spans="1:10">
      <c r="A19" s="2" t="s">
        <v>19</v>
      </c>
      <c r="B19" s="4">
        <v>467</v>
      </c>
      <c r="C19" s="4">
        <v>445</v>
      </c>
      <c r="D19" s="4">
        <v>0</v>
      </c>
      <c r="G19" s="2" t="s">
        <v>19</v>
      </c>
      <c r="H19" s="8">
        <f t="shared" si="0"/>
        <v>4.9438202247191011E-2</v>
      </c>
      <c r="I19" s="8">
        <v>0</v>
      </c>
      <c r="J19" s="8">
        <v>0</v>
      </c>
    </row>
    <row r="20" spans="1:10">
      <c r="A20" s="2" t="s">
        <v>20</v>
      </c>
      <c r="B20" s="6">
        <v>6063</v>
      </c>
      <c r="C20" s="6">
        <v>5184</v>
      </c>
      <c r="D20" s="6">
        <v>5010</v>
      </c>
      <c r="E20" s="6">
        <v>3269</v>
      </c>
      <c r="G20" s="2" t="s">
        <v>20</v>
      </c>
      <c r="H20" s="8">
        <f t="shared" si="0"/>
        <v>0.16956018518518517</v>
      </c>
      <c r="I20" s="8">
        <f t="shared" si="1"/>
        <v>3.473053892215569E-2</v>
      </c>
      <c r="J20" s="8">
        <f t="shared" si="3"/>
        <v>0.53257877026613643</v>
      </c>
    </row>
    <row r="21" spans="1:10">
      <c r="A21" s="2" t="s">
        <v>21</v>
      </c>
      <c r="B21" s="4">
        <v>306</v>
      </c>
      <c r="C21" s="4">
        <v>156</v>
      </c>
      <c r="D21" s="4">
        <v>229</v>
      </c>
      <c r="E21" s="4">
        <v>150</v>
      </c>
      <c r="G21" s="2" t="s">
        <v>21</v>
      </c>
      <c r="H21" s="8">
        <f t="shared" si="0"/>
        <v>0.96153846153846156</v>
      </c>
      <c r="I21" s="8">
        <f t="shared" si="1"/>
        <v>-0.31877729257641924</v>
      </c>
      <c r="J21" s="8">
        <f t="shared" si="3"/>
        <v>0.52666666666666662</v>
      </c>
    </row>
    <row r="22" spans="1:10">
      <c r="A22" s="2" t="s">
        <v>22</v>
      </c>
      <c r="B22" s="6">
        <v>9674</v>
      </c>
      <c r="C22" s="6">
        <v>8284</v>
      </c>
      <c r="D22" s="6">
        <v>7866</v>
      </c>
      <c r="E22" s="6">
        <v>6040</v>
      </c>
      <c r="G22" s="2" t="s">
        <v>22</v>
      </c>
      <c r="H22" s="8">
        <f t="shared" si="0"/>
        <v>0.16779333655239015</v>
      </c>
      <c r="I22" s="8">
        <f t="shared" si="1"/>
        <v>5.3140096618357488E-2</v>
      </c>
      <c r="J22" s="8">
        <f t="shared" si="3"/>
        <v>0.30231788079470201</v>
      </c>
    </row>
    <row r="23" spans="1:10">
      <c r="A23" s="2" t="s">
        <v>23</v>
      </c>
      <c r="B23" s="6">
        <v>9413</v>
      </c>
      <c r="C23" s="6">
        <v>9406</v>
      </c>
      <c r="D23" s="6">
        <v>3464</v>
      </c>
      <c r="E23" s="6">
        <v>3468</v>
      </c>
      <c r="G23" s="2" t="s">
        <v>23</v>
      </c>
      <c r="H23" s="8">
        <f t="shared" si="0"/>
        <v>7.4420582606846695E-4</v>
      </c>
      <c r="I23" s="8">
        <f t="shared" si="1"/>
        <v>1.7153579676674364</v>
      </c>
      <c r="J23" s="8">
        <f t="shared" si="3"/>
        <v>-1.1534025374855825E-3</v>
      </c>
    </row>
    <row r="24" spans="1:10">
      <c r="A24" s="2" t="s">
        <v>24</v>
      </c>
      <c r="B24" s="6">
        <v>2931</v>
      </c>
      <c r="C24" s="6">
        <v>2913</v>
      </c>
      <c r="D24" s="4">
        <v>0</v>
      </c>
      <c r="G24" s="2" t="s">
        <v>24</v>
      </c>
      <c r="H24" s="8">
        <f t="shared" si="0"/>
        <v>6.1791967044284241E-3</v>
      </c>
      <c r="I24" s="8">
        <v>0</v>
      </c>
      <c r="J24" s="8">
        <v>0</v>
      </c>
    </row>
    <row r="25" spans="1:10">
      <c r="A25" s="2" t="s">
        <v>25</v>
      </c>
      <c r="B25" s="6">
        <v>2955</v>
      </c>
      <c r="C25" s="6">
        <v>2684</v>
      </c>
      <c r="D25" s="6">
        <v>3347</v>
      </c>
      <c r="E25" s="6">
        <v>3216</v>
      </c>
      <c r="G25" s="2" t="s">
        <v>25</v>
      </c>
      <c r="H25" s="8">
        <f t="shared" si="0"/>
        <v>0.10096870342771982</v>
      </c>
      <c r="I25" s="8">
        <f t="shared" si="1"/>
        <v>-0.19808783985658798</v>
      </c>
      <c r="J25" s="8">
        <f>(D25-E25)/E25</f>
        <v>4.0733830845771146E-2</v>
      </c>
    </row>
    <row r="26" spans="1:10">
      <c r="A26" s="2" t="s">
        <v>26</v>
      </c>
      <c r="B26" s="2" t="s">
        <v>27</v>
      </c>
      <c r="C26" s="2" t="s">
        <v>27</v>
      </c>
      <c r="D26" s="2" t="s">
        <v>27</v>
      </c>
      <c r="E26" s="2" t="s">
        <v>27</v>
      </c>
      <c r="G26" s="2" t="s">
        <v>26</v>
      </c>
      <c r="H26" s="8"/>
      <c r="I26" s="8"/>
      <c r="J26" s="13" t="s">
        <v>27</v>
      </c>
    </row>
    <row r="27" spans="1:10">
      <c r="A27" s="2" t="s">
        <v>28</v>
      </c>
      <c r="B27" s="4">
        <v>0</v>
      </c>
      <c r="C27" s="4">
        <v>0</v>
      </c>
      <c r="D27" s="4">
        <v>0</v>
      </c>
      <c r="E27" s="4">
        <v>0</v>
      </c>
      <c r="G27" s="2" t="s">
        <v>28</v>
      </c>
      <c r="H27" s="8">
        <v>0</v>
      </c>
      <c r="I27" s="8">
        <v>0</v>
      </c>
      <c r="J27" s="8">
        <v>0</v>
      </c>
    </row>
    <row r="28" spans="1:10">
      <c r="A28" s="1" t="s">
        <v>29</v>
      </c>
      <c r="B28" s="3"/>
      <c r="C28" s="3"/>
      <c r="D28" s="3"/>
      <c r="G28" s="1" t="s">
        <v>29</v>
      </c>
      <c r="H28" s="8"/>
      <c r="I28" s="8"/>
      <c r="J28" s="8"/>
    </row>
    <row r="29" spans="1:10">
      <c r="A29" s="2" t="s">
        <v>30</v>
      </c>
      <c r="B29" s="6">
        <v>9965</v>
      </c>
      <c r="C29" s="6">
        <v>8299</v>
      </c>
      <c r="D29" s="6">
        <v>7163</v>
      </c>
      <c r="E29" s="6">
        <v>6384</v>
      </c>
      <c r="G29" s="2" t="s">
        <v>30</v>
      </c>
      <c r="H29" s="8">
        <f t="shared" si="0"/>
        <v>0.20074707796120014</v>
      </c>
      <c r="I29" s="8">
        <f t="shared" si="1"/>
        <v>0.15859276839313136</v>
      </c>
      <c r="J29" s="8">
        <f t="shared" ref="J28:J39" si="4">(D29-E29)/E29</f>
        <v>0.12202380952380952</v>
      </c>
    </row>
    <row r="30" spans="1:10">
      <c r="A30" s="2" t="s">
        <v>31</v>
      </c>
      <c r="B30" s="4">
        <v>-380</v>
      </c>
      <c r="C30" s="4">
        <v>-56</v>
      </c>
      <c r="D30" s="4">
        <v>231</v>
      </c>
      <c r="E30" s="4">
        <v>-92</v>
      </c>
      <c r="G30" s="2" t="s">
        <v>31</v>
      </c>
      <c r="H30" s="8">
        <f t="shared" si="0"/>
        <v>5.7857142857142856</v>
      </c>
      <c r="I30" s="8">
        <f t="shared" si="1"/>
        <v>-1.2424242424242424</v>
      </c>
      <c r="J30" s="8">
        <f t="shared" si="4"/>
        <v>-3.5108695652173911</v>
      </c>
    </row>
    <row r="31" spans="1:10">
      <c r="A31" s="2" t="s">
        <v>32</v>
      </c>
      <c r="B31" s="6">
        <v>3179</v>
      </c>
      <c r="C31" s="4">
        <v>-191</v>
      </c>
      <c r="D31" s="6">
        <v>1643</v>
      </c>
      <c r="E31" s="6">
        <v>3517</v>
      </c>
      <c r="G31" s="2" t="s">
        <v>32</v>
      </c>
      <c r="H31" s="8">
        <f t="shared" si="0"/>
        <v>-17.643979057591622</v>
      </c>
      <c r="I31" s="8">
        <f t="shared" si="1"/>
        <v>-1.1162507608034085</v>
      </c>
      <c r="J31" s="8">
        <f t="shared" si="4"/>
        <v>-0.53284048905317027</v>
      </c>
    </row>
    <row r="32" spans="1:10">
      <c r="A32" s="2" t="s">
        <v>33</v>
      </c>
      <c r="B32" s="6">
        <v>12767</v>
      </c>
      <c r="C32" s="6">
        <v>8055</v>
      </c>
      <c r="D32" s="6">
        <v>9040</v>
      </c>
      <c r="E32" s="6">
        <v>9812</v>
      </c>
      <c r="G32" s="2" t="s">
        <v>33</v>
      </c>
      <c r="H32" s="8">
        <f t="shared" si="0"/>
        <v>0.58497827436374927</v>
      </c>
      <c r="I32" s="8">
        <f t="shared" si="1"/>
        <v>-0.10896017699115045</v>
      </c>
      <c r="J32" s="8">
        <f t="shared" si="4"/>
        <v>-7.8679168365267019E-2</v>
      </c>
    </row>
    <row r="33" spans="1:10">
      <c r="A33" s="2" t="s">
        <v>34</v>
      </c>
      <c r="B33" s="6">
        <v>37740</v>
      </c>
      <c r="C33" s="6">
        <v>31342</v>
      </c>
      <c r="D33" s="6">
        <v>23717</v>
      </c>
      <c r="E33" s="6">
        <v>22536</v>
      </c>
      <c r="G33" s="2" t="s">
        <v>34</v>
      </c>
      <c r="H33" s="8">
        <f t="shared" si="0"/>
        <v>0.20413502648203688</v>
      </c>
      <c r="I33" s="8">
        <f t="shared" si="1"/>
        <v>0.32149934646034489</v>
      </c>
      <c r="J33" s="8">
        <f t="shared" si="4"/>
        <v>5.2405040823571176E-2</v>
      </c>
    </row>
    <row r="34" spans="1:10">
      <c r="A34" s="2" t="s">
        <v>35</v>
      </c>
      <c r="B34" s="3"/>
      <c r="C34" s="3"/>
      <c r="D34" s="3"/>
      <c r="E34" s="3"/>
      <c r="G34" s="2" t="s">
        <v>35</v>
      </c>
      <c r="H34" s="8"/>
      <c r="I34" s="8"/>
      <c r="J34" s="8"/>
    </row>
    <row r="35" spans="1:10">
      <c r="A35" s="1" t="s">
        <v>29</v>
      </c>
      <c r="B35" s="3"/>
      <c r="C35" s="3"/>
      <c r="D35" s="3"/>
      <c r="E35" s="3"/>
      <c r="G35" s="1" t="s">
        <v>29</v>
      </c>
      <c r="H35" s="8"/>
      <c r="I35" s="8"/>
      <c r="J35" s="8"/>
    </row>
    <row r="36" spans="1:10">
      <c r="A36" s="2" t="s">
        <v>36</v>
      </c>
      <c r="B36" s="4">
        <v>0</v>
      </c>
      <c r="C36" s="4">
        <v>0</v>
      </c>
      <c r="D36" s="4">
        <v>0</v>
      </c>
      <c r="E36" s="4">
        <v>0</v>
      </c>
      <c r="G36" s="2" t="s">
        <v>36</v>
      </c>
      <c r="H36" s="8">
        <v>0</v>
      </c>
      <c r="I36" s="8">
        <v>0</v>
      </c>
      <c r="J36" s="8">
        <v>0</v>
      </c>
    </row>
    <row r="37" spans="1:10">
      <c r="A37" s="2" t="s">
        <v>37</v>
      </c>
      <c r="B37" s="3"/>
      <c r="C37" s="3"/>
      <c r="D37" s="3"/>
      <c r="E37" s="3"/>
      <c r="G37" s="2" t="s">
        <v>37</v>
      </c>
      <c r="H37" s="8"/>
      <c r="I37" s="8"/>
      <c r="J37" s="8"/>
    </row>
    <row r="38" spans="1:10">
      <c r="A38" s="1" t="s">
        <v>29</v>
      </c>
      <c r="B38" s="3"/>
      <c r="C38" s="3"/>
      <c r="D38" s="3"/>
      <c r="E38" s="3"/>
      <c r="G38" s="1" t="s">
        <v>29</v>
      </c>
      <c r="H38" s="8"/>
      <c r="I38" s="8"/>
      <c r="J38" s="8"/>
    </row>
    <row r="39" spans="1:10">
      <c r="A39" s="2" t="s">
        <v>36</v>
      </c>
      <c r="B39" s="5">
        <v>3</v>
      </c>
      <c r="C39" s="5">
        <v>3</v>
      </c>
      <c r="D39" s="5">
        <v>3</v>
      </c>
      <c r="E39" s="5">
        <v>3</v>
      </c>
      <c r="G39" s="2" t="s">
        <v>36</v>
      </c>
      <c r="H39" s="8">
        <f t="shared" si="0"/>
        <v>0</v>
      </c>
      <c r="I39" s="8">
        <f t="shared" si="1"/>
        <v>0</v>
      </c>
      <c r="J39" s="8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68EE-2D4F-4807-8BA9-9220D2E16704}">
  <dimension ref="A1:K20"/>
  <sheetViews>
    <sheetView topLeftCell="A2" workbookViewId="0">
      <selection activeCell="G1" sqref="G1:K2"/>
    </sheetView>
  </sheetViews>
  <sheetFormatPr defaultRowHeight="15"/>
  <cols>
    <col min="1" max="1" width="34" customWidth="1"/>
    <col min="2" max="5" width="10.5703125" bestFit="1" customWidth="1"/>
    <col min="7" max="7" width="34.85546875" customWidth="1"/>
    <col min="8" max="11" width="10.5703125" bestFit="1" customWidth="1"/>
  </cols>
  <sheetData>
    <row r="1" spans="1:11">
      <c r="A1" s="29" t="s">
        <v>38</v>
      </c>
      <c r="B1" s="29" t="s">
        <v>39</v>
      </c>
      <c r="C1" s="29"/>
      <c r="D1" s="29"/>
      <c r="E1" s="29"/>
      <c r="G1" s="29" t="s">
        <v>38</v>
      </c>
      <c r="H1" s="29" t="s">
        <v>39</v>
      </c>
      <c r="I1" s="29"/>
      <c r="J1" s="29"/>
      <c r="K1" s="26"/>
    </row>
    <row r="2" spans="1:11">
      <c r="A2" s="29"/>
      <c r="B2" s="25">
        <v>44347</v>
      </c>
      <c r="C2" s="25">
        <v>43982</v>
      </c>
      <c r="D2" s="25">
        <v>43616</v>
      </c>
      <c r="E2" s="24">
        <v>43251</v>
      </c>
      <c r="G2" s="29"/>
      <c r="H2" s="25">
        <v>44347</v>
      </c>
      <c r="I2" s="25">
        <v>43982</v>
      </c>
      <c r="J2" s="25">
        <v>43616</v>
      </c>
      <c r="K2" s="22">
        <v>43251</v>
      </c>
    </row>
    <row r="3" spans="1:11">
      <c r="A3" s="1" t="s">
        <v>40</v>
      </c>
      <c r="B3" s="3"/>
      <c r="C3" s="3"/>
      <c r="D3" s="3"/>
      <c r="E3" s="3"/>
      <c r="G3" s="1" t="s">
        <v>40</v>
      </c>
      <c r="H3" s="3"/>
      <c r="I3" s="3"/>
      <c r="J3" s="3"/>
    </row>
    <row r="4" spans="1:11">
      <c r="A4" s="2" t="s">
        <v>41</v>
      </c>
      <c r="B4" s="5">
        <v>44538</v>
      </c>
      <c r="C4" s="5">
        <v>37403</v>
      </c>
      <c r="D4" s="5">
        <v>39117</v>
      </c>
      <c r="E4" s="5">
        <v>36397</v>
      </c>
      <c r="G4" s="2" t="s">
        <v>41</v>
      </c>
      <c r="H4" s="8">
        <f>(B4-C4)/C4</f>
        <v>0.1907600994572628</v>
      </c>
      <c r="I4" s="8">
        <f>(C4-D4)/D4</f>
        <v>-4.3817266150267146E-2</v>
      </c>
      <c r="J4" s="8">
        <f>(D4-E4)/E4</f>
        <v>7.4731433909388134E-2</v>
      </c>
    </row>
    <row r="5" spans="1:11">
      <c r="A5" s="2" t="s">
        <v>42</v>
      </c>
      <c r="B5" s="6">
        <v>24576</v>
      </c>
      <c r="C5" s="6">
        <v>21162</v>
      </c>
      <c r="D5" s="6">
        <v>21643</v>
      </c>
      <c r="E5" s="6">
        <v>20441</v>
      </c>
      <c r="G5" s="2" t="s">
        <v>42</v>
      </c>
      <c r="H5" s="8">
        <f t="shared" ref="H5:H20" si="0">(B5-C5)/C5</f>
        <v>0.16132690671959171</v>
      </c>
      <c r="I5" s="8">
        <f t="shared" ref="I5:I20" si="1">(C5-D5)/D5</f>
        <v>-2.2224275747354801E-2</v>
      </c>
      <c r="J5" s="8">
        <f t="shared" ref="J5:J20" si="2">(D5-E5)/E5</f>
        <v>5.8803385352967079E-2</v>
      </c>
    </row>
    <row r="6" spans="1:11">
      <c r="A6" s="2" t="s">
        <v>43</v>
      </c>
      <c r="B6" s="6">
        <v>19962</v>
      </c>
      <c r="C6" s="6">
        <v>16241</v>
      </c>
      <c r="D6" s="6">
        <v>17474</v>
      </c>
      <c r="E6" s="6">
        <v>15956</v>
      </c>
      <c r="G6" s="2" t="s">
        <v>43</v>
      </c>
      <c r="H6" s="8">
        <f t="shared" si="0"/>
        <v>0.22911150791207438</v>
      </c>
      <c r="I6" s="8">
        <f t="shared" si="1"/>
        <v>-7.0561977795582001E-2</v>
      </c>
      <c r="J6" s="8">
        <f t="shared" si="2"/>
        <v>9.5136625720732018E-2</v>
      </c>
    </row>
    <row r="7" spans="1:11">
      <c r="A7" s="2" t="s">
        <v>44</v>
      </c>
      <c r="B7" s="6">
        <v>3114</v>
      </c>
      <c r="C7" s="6">
        <v>3592</v>
      </c>
      <c r="D7" s="6">
        <v>3753</v>
      </c>
      <c r="E7" s="6">
        <v>3577</v>
      </c>
      <c r="G7" s="2" t="s">
        <v>44</v>
      </c>
      <c r="H7" s="8">
        <f t="shared" si="0"/>
        <v>-0.13307349665924276</v>
      </c>
      <c r="I7" s="8">
        <f t="shared" si="1"/>
        <v>-4.2899014122035707E-2</v>
      </c>
      <c r="J7" s="8">
        <f t="shared" si="2"/>
        <v>4.920324294101202E-2</v>
      </c>
    </row>
    <row r="8" spans="1:11">
      <c r="A8" s="2" t="s">
        <v>45</v>
      </c>
      <c r="B8" s="6">
        <v>9911</v>
      </c>
      <c r="C8" s="6">
        <v>9534</v>
      </c>
      <c r="D8" s="6">
        <v>8949</v>
      </c>
      <c r="E8" s="6">
        <v>7934</v>
      </c>
      <c r="G8" s="2" t="s">
        <v>45</v>
      </c>
      <c r="H8" s="8">
        <f t="shared" si="0"/>
        <v>3.9542689322425002E-2</v>
      </c>
      <c r="I8" s="8">
        <f t="shared" si="1"/>
        <v>6.5370432450553129E-2</v>
      </c>
      <c r="J8" s="8">
        <f t="shared" si="2"/>
        <v>0.12793042601462062</v>
      </c>
    </row>
    <row r="9" spans="1:11" ht="30">
      <c r="A9" s="2" t="s">
        <v>46</v>
      </c>
      <c r="B9" s="6">
        <v>13025</v>
      </c>
      <c r="C9" s="6">
        <v>13126</v>
      </c>
      <c r="D9" s="6">
        <v>12702</v>
      </c>
      <c r="E9" s="6">
        <v>11511</v>
      </c>
      <c r="G9" s="2" t="s">
        <v>46</v>
      </c>
      <c r="H9" s="8">
        <f t="shared" si="0"/>
        <v>-7.6946518360505867E-3</v>
      </c>
      <c r="I9" s="8">
        <f t="shared" si="1"/>
        <v>3.3380569988978114E-2</v>
      </c>
      <c r="J9" s="8">
        <f t="shared" si="2"/>
        <v>0.10346624967422466</v>
      </c>
    </row>
    <row r="10" spans="1:11">
      <c r="A10" s="2" t="s">
        <v>47</v>
      </c>
      <c r="B10" s="4">
        <v>262</v>
      </c>
      <c r="C10" s="4">
        <v>89</v>
      </c>
      <c r="D10" s="4">
        <v>49</v>
      </c>
      <c r="E10" s="4">
        <v>54</v>
      </c>
      <c r="G10" s="2" t="s">
        <v>47</v>
      </c>
      <c r="H10" s="8">
        <f t="shared" si="0"/>
        <v>1.9438202247191012</v>
      </c>
      <c r="I10" s="8">
        <f t="shared" si="1"/>
        <v>0.81632653061224492</v>
      </c>
      <c r="J10" s="8">
        <f t="shared" si="2"/>
        <v>-9.2592592592592587E-2</v>
      </c>
    </row>
    <row r="11" spans="1:11">
      <c r="A11" s="2" t="s">
        <v>48</v>
      </c>
      <c r="B11" s="4">
        <v>14</v>
      </c>
      <c r="C11" s="4">
        <v>139</v>
      </c>
      <c r="D11" s="4">
        <v>-78</v>
      </c>
      <c r="E11" s="4">
        <v>66</v>
      </c>
      <c r="G11" s="2" t="s">
        <v>48</v>
      </c>
      <c r="H11" s="8">
        <f t="shared" si="0"/>
        <v>-0.89928057553956831</v>
      </c>
      <c r="I11" s="8">
        <f t="shared" si="1"/>
        <v>-2.7820512820512819</v>
      </c>
      <c r="J11" s="8">
        <f t="shared" si="2"/>
        <v>-2.1818181818181817</v>
      </c>
    </row>
    <row r="12" spans="1:11">
      <c r="A12" s="2" t="s">
        <v>49</v>
      </c>
      <c r="B12" s="6">
        <v>6661</v>
      </c>
      <c r="C12" s="6">
        <v>2887</v>
      </c>
      <c r="D12" s="6">
        <v>4801</v>
      </c>
      <c r="E12" s="6">
        <v>4325</v>
      </c>
      <c r="G12" s="2" t="s">
        <v>49</v>
      </c>
      <c r="H12" s="8">
        <f t="shared" si="0"/>
        <v>1.3072393488049878</v>
      </c>
      <c r="I12" s="8">
        <f t="shared" si="1"/>
        <v>-0.39866694438658612</v>
      </c>
      <c r="J12" s="8">
        <f t="shared" si="2"/>
        <v>0.11005780346820809</v>
      </c>
    </row>
    <row r="13" spans="1:11">
      <c r="A13" s="2" t="s">
        <v>50</v>
      </c>
      <c r="B13" s="4">
        <v>934</v>
      </c>
      <c r="C13" s="4">
        <v>348</v>
      </c>
      <c r="D13" s="4">
        <v>772</v>
      </c>
      <c r="E13" s="6">
        <v>2392</v>
      </c>
      <c r="G13" s="2" t="s">
        <v>50</v>
      </c>
      <c r="H13" s="8">
        <f t="shared" si="0"/>
        <v>1.6839080459770115</v>
      </c>
      <c r="I13" s="8">
        <f t="shared" si="1"/>
        <v>-0.54922279792746109</v>
      </c>
      <c r="J13" s="8">
        <f t="shared" si="2"/>
        <v>-0.67725752508361203</v>
      </c>
    </row>
    <row r="14" spans="1:11">
      <c r="A14" s="2" t="s">
        <v>51</v>
      </c>
      <c r="B14" s="5">
        <v>5727</v>
      </c>
      <c r="C14" s="5">
        <v>2539</v>
      </c>
      <c r="D14" s="5">
        <v>4029</v>
      </c>
      <c r="E14" s="5">
        <v>1933</v>
      </c>
      <c r="G14" s="2" t="s">
        <v>51</v>
      </c>
      <c r="H14" s="8">
        <f t="shared" si="0"/>
        <v>1.2556124458448208</v>
      </c>
      <c r="I14" s="8">
        <f t="shared" si="1"/>
        <v>-0.36981881360138991</v>
      </c>
      <c r="J14" s="8">
        <f t="shared" si="2"/>
        <v>1.0843248836006207</v>
      </c>
    </row>
    <row r="15" spans="1:11">
      <c r="A15" s="1" t="s">
        <v>52</v>
      </c>
      <c r="B15" s="3"/>
      <c r="C15" s="3"/>
      <c r="D15" s="3"/>
      <c r="E15" s="3"/>
      <c r="G15" s="1" t="s">
        <v>52</v>
      </c>
      <c r="H15" s="8"/>
      <c r="I15" s="8"/>
      <c r="J15" s="8"/>
    </row>
    <row r="16" spans="1:11">
      <c r="A16" s="2" t="s">
        <v>53</v>
      </c>
      <c r="B16" s="9">
        <v>3.64</v>
      </c>
      <c r="C16" s="9">
        <v>1.63</v>
      </c>
      <c r="D16" s="9">
        <v>2.5499999999999998</v>
      </c>
      <c r="E16" s="9">
        <v>1.19</v>
      </c>
      <c r="G16" s="2" t="s">
        <v>53</v>
      </c>
      <c r="H16" s="8">
        <f t="shared" si="0"/>
        <v>1.2331288343558284</v>
      </c>
      <c r="I16" s="8">
        <f t="shared" si="1"/>
        <v>-0.36078431372549019</v>
      </c>
      <c r="J16" s="8">
        <f t="shared" si="2"/>
        <v>1.1428571428571428</v>
      </c>
    </row>
    <row r="17" spans="1:10">
      <c r="A17" s="2" t="s">
        <v>54</v>
      </c>
      <c r="B17" s="9">
        <v>3.56</v>
      </c>
      <c r="C17" s="9">
        <v>1.6</v>
      </c>
      <c r="D17" s="9">
        <v>2.4900000000000002</v>
      </c>
      <c r="E17" s="9">
        <v>1.17</v>
      </c>
      <c r="G17" s="2" t="s">
        <v>54</v>
      </c>
      <c r="H17" s="8">
        <f t="shared" si="0"/>
        <v>1.2249999999999999</v>
      </c>
      <c r="I17" s="8">
        <f t="shared" si="1"/>
        <v>-0.35742971887550201</v>
      </c>
      <c r="J17" s="8">
        <f t="shared" si="2"/>
        <v>1.1282051282051284</v>
      </c>
    </row>
    <row r="18" spans="1:10" ht="30">
      <c r="A18" s="1" t="s">
        <v>55</v>
      </c>
      <c r="B18" s="3"/>
      <c r="C18" s="3"/>
      <c r="D18" s="3"/>
      <c r="E18" s="3"/>
      <c r="G18" s="1" t="s">
        <v>55</v>
      </c>
      <c r="H18" s="8"/>
      <c r="I18" s="8"/>
      <c r="J18" s="8"/>
    </row>
    <row r="19" spans="1:10">
      <c r="A19" s="2" t="s">
        <v>56</v>
      </c>
      <c r="B19" s="6">
        <v>1573</v>
      </c>
      <c r="C19" s="10">
        <v>1558.8</v>
      </c>
      <c r="D19" s="10">
        <v>1579.7</v>
      </c>
      <c r="E19" s="10">
        <v>1623.8</v>
      </c>
      <c r="G19" s="2" t="s">
        <v>56</v>
      </c>
      <c r="H19" s="8">
        <f t="shared" si="0"/>
        <v>9.1095714652296936E-3</v>
      </c>
      <c r="I19" s="8">
        <f t="shared" si="1"/>
        <v>-1.3230360194973787E-2</v>
      </c>
      <c r="J19" s="8">
        <f t="shared" si="2"/>
        <v>-2.7158517058751021E-2</v>
      </c>
    </row>
    <row r="20" spans="1:10">
      <c r="A20" s="2" t="s">
        <v>57</v>
      </c>
      <c r="B20" s="10">
        <v>1609.4</v>
      </c>
      <c r="C20" s="10">
        <v>1591.6</v>
      </c>
      <c r="D20" s="10">
        <v>1618.4</v>
      </c>
      <c r="E20" s="10">
        <v>1659.1</v>
      </c>
      <c r="G20" s="2" t="s">
        <v>57</v>
      </c>
      <c r="H20" s="8">
        <f t="shared" si="0"/>
        <v>1.1183714501131052E-2</v>
      </c>
      <c r="I20" s="8">
        <f t="shared" si="1"/>
        <v>-1.6559565002471688E-2</v>
      </c>
      <c r="J20" s="8">
        <f t="shared" si="2"/>
        <v>-2.4531372430835887E-2</v>
      </c>
    </row>
  </sheetData>
  <mergeCells count="4">
    <mergeCell ref="A1:A2"/>
    <mergeCell ref="B1:E1"/>
    <mergeCell ref="G1:G2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0D73-2566-4F11-8B97-86F768B217B6}">
  <dimension ref="A1:E43"/>
  <sheetViews>
    <sheetView workbookViewId="0">
      <selection sqref="A1:E2"/>
    </sheetView>
  </sheetViews>
  <sheetFormatPr defaultRowHeight="15"/>
  <cols>
    <col min="1" max="1" width="54.140625" customWidth="1"/>
    <col min="2" max="5" width="10.5703125" bestFit="1" customWidth="1"/>
  </cols>
  <sheetData>
    <row r="1" spans="1:5">
      <c r="A1" s="30" t="s">
        <v>58</v>
      </c>
      <c r="B1" s="29" t="s">
        <v>59</v>
      </c>
      <c r="C1" s="29"/>
      <c r="D1" s="29"/>
      <c r="E1" s="29"/>
    </row>
    <row r="2" spans="1:5">
      <c r="A2" s="30"/>
      <c r="B2" s="24">
        <v>44347</v>
      </c>
      <c r="C2" s="24">
        <v>43982</v>
      </c>
      <c r="D2" s="25">
        <v>43616</v>
      </c>
      <c r="E2" s="25">
        <v>43251</v>
      </c>
    </row>
    <row r="3" spans="1:5">
      <c r="A3" s="1" t="s">
        <v>60</v>
      </c>
      <c r="B3" s="3"/>
      <c r="C3" s="3"/>
      <c r="D3" s="3"/>
      <c r="E3" s="3"/>
    </row>
    <row r="4" spans="1:5">
      <c r="A4" s="2" t="s">
        <v>61</v>
      </c>
      <c r="B4" s="5">
        <v>5727</v>
      </c>
      <c r="C4" s="5">
        <v>2539</v>
      </c>
      <c r="D4" s="5">
        <v>4029</v>
      </c>
      <c r="E4" s="5">
        <v>1933</v>
      </c>
    </row>
    <row r="5" spans="1:5" ht="30">
      <c r="A5" s="1" t="s">
        <v>62</v>
      </c>
      <c r="B5" s="3"/>
      <c r="C5" s="3"/>
      <c r="D5" s="3"/>
      <c r="E5" s="3"/>
    </row>
    <row r="6" spans="1:5">
      <c r="A6" s="2" t="s">
        <v>63</v>
      </c>
      <c r="B6" s="4">
        <v>744</v>
      </c>
      <c r="C6" s="4">
        <v>721</v>
      </c>
      <c r="D6" s="4">
        <v>705</v>
      </c>
      <c r="E6" s="4">
        <v>747</v>
      </c>
    </row>
    <row r="7" spans="1:5">
      <c r="A7" s="2" t="s">
        <v>64</v>
      </c>
      <c r="B7" s="4">
        <v>-385</v>
      </c>
      <c r="C7" s="4">
        <v>-380</v>
      </c>
      <c r="D7" s="4">
        <v>34</v>
      </c>
      <c r="E7" s="4">
        <v>647</v>
      </c>
    </row>
    <row r="8" spans="1:5">
      <c r="A8" s="2" t="s">
        <v>65</v>
      </c>
      <c r="B8" s="4">
        <v>611</v>
      </c>
      <c r="C8" s="4">
        <v>429</v>
      </c>
      <c r="D8" s="4">
        <v>325</v>
      </c>
      <c r="E8" s="4">
        <v>218</v>
      </c>
    </row>
    <row r="9" spans="1:5">
      <c r="A9" s="2" t="s">
        <v>66</v>
      </c>
      <c r="B9" s="4">
        <v>53</v>
      </c>
      <c r="C9" s="4">
        <v>398</v>
      </c>
      <c r="D9" s="4">
        <v>15</v>
      </c>
      <c r="E9" s="4">
        <v>27</v>
      </c>
    </row>
    <row r="10" spans="1:5">
      <c r="A10" s="2" t="s">
        <v>67</v>
      </c>
      <c r="B10" s="4">
        <v>-138</v>
      </c>
      <c r="C10" s="4">
        <v>23</v>
      </c>
      <c r="D10" s="4">
        <v>233</v>
      </c>
      <c r="E10" s="4">
        <v>-99</v>
      </c>
    </row>
    <row r="11" spans="1:5" ht="30">
      <c r="A11" s="1" t="s">
        <v>68</v>
      </c>
      <c r="B11" s="3"/>
      <c r="C11" s="3"/>
      <c r="D11" s="3"/>
      <c r="E11" s="3"/>
    </row>
    <row r="12" spans="1:5">
      <c r="A12" s="2" t="s">
        <v>69</v>
      </c>
      <c r="B12" s="6">
        <v>-1606</v>
      </c>
      <c r="C12" s="6">
        <v>1239</v>
      </c>
      <c r="D12" s="4">
        <v>-270</v>
      </c>
      <c r="E12" s="4">
        <v>187</v>
      </c>
    </row>
    <row r="13" spans="1:5">
      <c r="A13" s="2" t="s">
        <v>70</v>
      </c>
      <c r="B13" s="4">
        <v>507</v>
      </c>
      <c r="C13" s="6">
        <v>-1854</v>
      </c>
      <c r="D13" s="4">
        <v>-490</v>
      </c>
      <c r="E13" s="4">
        <v>-255</v>
      </c>
    </row>
    <row r="14" spans="1:5" ht="30">
      <c r="A14" s="2" t="s">
        <v>71</v>
      </c>
      <c r="B14" s="4">
        <v>-182</v>
      </c>
      <c r="C14" s="4">
        <v>-654</v>
      </c>
      <c r="D14" s="4">
        <v>-203</v>
      </c>
      <c r="E14" s="4">
        <v>35</v>
      </c>
    </row>
    <row r="15" spans="1:5" ht="30">
      <c r="A15" s="2" t="s">
        <v>72</v>
      </c>
      <c r="B15" s="6">
        <v>1326</v>
      </c>
      <c r="C15" s="4">
        <v>24</v>
      </c>
      <c r="D15" s="6">
        <v>1525</v>
      </c>
      <c r="E15" s="6">
        <v>1515</v>
      </c>
    </row>
    <row r="16" spans="1:5">
      <c r="A16" s="2" t="s">
        <v>73</v>
      </c>
      <c r="B16" s="6">
        <v>6657</v>
      </c>
      <c r="C16" s="6">
        <v>2485</v>
      </c>
      <c r="D16" s="6">
        <v>5903</v>
      </c>
      <c r="E16" s="6">
        <v>4955</v>
      </c>
    </row>
    <row r="17" spans="1:5">
      <c r="A17" s="1" t="s">
        <v>74</v>
      </c>
      <c r="B17" s="3"/>
      <c r="C17" s="3"/>
      <c r="D17" s="3"/>
      <c r="E17" s="3"/>
    </row>
    <row r="18" spans="1:5">
      <c r="A18" s="2" t="s">
        <v>75</v>
      </c>
      <c r="B18" s="6">
        <v>-9961</v>
      </c>
      <c r="C18" s="6">
        <v>-2426</v>
      </c>
      <c r="D18" s="6">
        <v>-2937</v>
      </c>
      <c r="E18" s="6">
        <v>-4783</v>
      </c>
    </row>
    <row r="19" spans="1:5">
      <c r="A19" s="2" t="s">
        <v>76</v>
      </c>
      <c r="B19" s="6">
        <v>4236</v>
      </c>
      <c r="C19" s="4">
        <v>74</v>
      </c>
      <c r="D19" s="6">
        <v>1715</v>
      </c>
      <c r="E19" s="6">
        <v>3613</v>
      </c>
    </row>
    <row r="20" spans="1:5">
      <c r="A20" s="2" t="s">
        <v>77</v>
      </c>
      <c r="B20" s="6">
        <v>2449</v>
      </c>
      <c r="C20" s="6">
        <v>2379</v>
      </c>
      <c r="D20" s="6">
        <v>2072</v>
      </c>
      <c r="E20" s="6">
        <v>2496</v>
      </c>
    </row>
    <row r="21" spans="1:5">
      <c r="A21" s="2" t="s">
        <v>78</v>
      </c>
      <c r="B21" s="4">
        <v>-695</v>
      </c>
      <c r="C21" s="6">
        <v>-1086</v>
      </c>
      <c r="D21" s="6">
        <v>-1119</v>
      </c>
      <c r="E21" s="6">
        <v>-1028</v>
      </c>
    </row>
    <row r="22" spans="1:5">
      <c r="A22" s="2" t="s">
        <v>79</v>
      </c>
      <c r="B22" s="4">
        <v>171</v>
      </c>
      <c r="C22" s="4">
        <v>31</v>
      </c>
      <c r="D22" s="4">
        <v>5</v>
      </c>
      <c r="E22" s="4">
        <v>3</v>
      </c>
    </row>
    <row r="23" spans="1:5">
      <c r="A23" s="2" t="s">
        <v>80</v>
      </c>
      <c r="B23" s="6">
        <v>-3800</v>
      </c>
      <c r="C23" s="6">
        <v>-1028</v>
      </c>
      <c r="D23" s="4">
        <v>0</v>
      </c>
      <c r="E23" s="4">
        <v>-25</v>
      </c>
    </row>
    <row r="24" spans="1:5">
      <c r="A24" s="2" t="s">
        <v>81</v>
      </c>
      <c r="B24" s="3"/>
      <c r="C24" s="3"/>
      <c r="D24" s="4">
        <v>-264</v>
      </c>
      <c r="E24" s="4">
        <v>276</v>
      </c>
    </row>
    <row r="25" spans="1:5">
      <c r="A25" s="1" t="s">
        <v>82</v>
      </c>
      <c r="B25" s="4">
        <v>0</v>
      </c>
      <c r="C25" s="6">
        <v>6134</v>
      </c>
      <c r="D25" s="3"/>
      <c r="E25" s="3"/>
    </row>
    <row r="26" spans="1:5">
      <c r="A26" s="2" t="s">
        <v>83</v>
      </c>
      <c r="B26" s="4">
        <v>-52</v>
      </c>
      <c r="C26" s="4">
        <v>49</v>
      </c>
      <c r="D26" s="4">
        <v>0</v>
      </c>
      <c r="E26" s="4">
        <v>0</v>
      </c>
    </row>
    <row r="27" spans="1:5">
      <c r="A27" s="2" t="s">
        <v>84</v>
      </c>
      <c r="B27" s="4">
        <v>-197</v>
      </c>
      <c r="C27" s="4">
        <v>-6</v>
      </c>
      <c r="D27" s="4">
        <v>-6</v>
      </c>
      <c r="E27" s="4">
        <v>-6</v>
      </c>
    </row>
    <row r="28" spans="1:5">
      <c r="A28" s="2" t="s">
        <v>85</v>
      </c>
      <c r="B28" s="6">
        <v>1172</v>
      </c>
      <c r="C28" s="4">
        <v>885</v>
      </c>
      <c r="D28" s="4">
        <v>-325</v>
      </c>
      <c r="E28" s="4">
        <v>13</v>
      </c>
    </row>
    <row r="29" spans="1:5">
      <c r="A29" s="2" t="s">
        <v>86</v>
      </c>
      <c r="B29" s="4">
        <v>-608</v>
      </c>
      <c r="C29" s="6">
        <v>-3067</v>
      </c>
      <c r="D29" s="4">
        <v>-27</v>
      </c>
      <c r="E29" s="4">
        <v>-23</v>
      </c>
    </row>
    <row r="30" spans="1:5" ht="30">
      <c r="A30" s="2" t="s">
        <v>87</v>
      </c>
      <c r="B30" s="6">
        <v>-1638</v>
      </c>
      <c r="C30" s="6">
        <v>-1452</v>
      </c>
      <c r="D30" s="4">
        <v>700</v>
      </c>
      <c r="E30" s="4">
        <v>733</v>
      </c>
    </row>
    <row r="31" spans="1:5">
      <c r="A31" s="2" t="s">
        <v>88</v>
      </c>
      <c r="B31" s="4">
        <v>-136</v>
      </c>
      <c r="C31" s="4">
        <v>-52</v>
      </c>
      <c r="D31" s="6">
        <v>-4286</v>
      </c>
      <c r="E31" s="6">
        <v>-4254</v>
      </c>
    </row>
    <row r="32" spans="1:5">
      <c r="A32" s="2" t="s">
        <v>89</v>
      </c>
      <c r="B32" s="6">
        <v>-1459</v>
      </c>
      <c r="C32" s="6">
        <v>2491</v>
      </c>
      <c r="D32" s="6">
        <v>-1332</v>
      </c>
      <c r="E32" s="6">
        <v>-1243</v>
      </c>
    </row>
    <row r="33" spans="1:5">
      <c r="A33" s="2" t="s">
        <v>90</v>
      </c>
      <c r="B33" s="4">
        <v>143</v>
      </c>
      <c r="C33" s="4">
        <v>-66</v>
      </c>
      <c r="D33" s="4">
        <v>-17</v>
      </c>
      <c r="E33" s="4">
        <v>-55</v>
      </c>
    </row>
    <row r="34" spans="1:5">
      <c r="A34" s="2" t="s">
        <v>91</v>
      </c>
      <c r="B34" s="6">
        <v>1541</v>
      </c>
      <c r="C34" s="6">
        <v>3882</v>
      </c>
      <c r="D34" s="6">
        <v>-5293</v>
      </c>
      <c r="E34" s="6">
        <v>-4835</v>
      </c>
    </row>
    <row r="35" spans="1:5">
      <c r="A35" s="2" t="s">
        <v>92</v>
      </c>
      <c r="B35" s="6">
        <v>8348</v>
      </c>
      <c r="C35" s="6">
        <v>4466</v>
      </c>
      <c r="D35" s="4">
        <v>-129</v>
      </c>
      <c r="E35" s="4">
        <v>45</v>
      </c>
    </row>
    <row r="36" spans="1:5">
      <c r="A36" s="2" t="s">
        <v>93</v>
      </c>
      <c r="B36" s="6">
        <v>9889</v>
      </c>
      <c r="C36" s="6">
        <v>8348</v>
      </c>
      <c r="D36" s="4">
        <v>217</v>
      </c>
      <c r="E36" s="4">
        <v>441</v>
      </c>
    </row>
    <row r="37" spans="1:5">
      <c r="A37" s="2" t="s">
        <v>94</v>
      </c>
      <c r="B37" s="3"/>
      <c r="C37" s="3"/>
      <c r="D37" s="6">
        <v>4249</v>
      </c>
      <c r="E37" s="6">
        <v>3808</v>
      </c>
    </row>
    <row r="38" spans="1:5">
      <c r="A38" s="2" t="s">
        <v>95</v>
      </c>
      <c r="B38" s="4">
        <v>293</v>
      </c>
      <c r="C38" s="4">
        <v>140</v>
      </c>
      <c r="D38" s="6">
        <v>4466</v>
      </c>
      <c r="E38" s="6">
        <v>4249</v>
      </c>
    </row>
    <row r="39" spans="1:5">
      <c r="A39" s="1" t="s">
        <v>96</v>
      </c>
      <c r="B39" s="6">
        <v>1177</v>
      </c>
      <c r="C39" s="6">
        <v>1028</v>
      </c>
      <c r="D39" s="3"/>
      <c r="E39" s="3"/>
    </row>
    <row r="40" spans="1:5">
      <c r="A40" s="2" t="s">
        <v>97</v>
      </c>
      <c r="B40" s="4">
        <v>179</v>
      </c>
      <c r="C40" s="4">
        <v>121</v>
      </c>
      <c r="D40" s="4">
        <v>153</v>
      </c>
      <c r="E40" s="4">
        <v>125</v>
      </c>
    </row>
    <row r="41" spans="1:5">
      <c r="A41" s="2" t="s">
        <v>98</v>
      </c>
      <c r="B41" s="5">
        <v>438</v>
      </c>
      <c r="C41" s="5">
        <v>385</v>
      </c>
      <c r="D41" s="4">
        <v>757</v>
      </c>
      <c r="E41" s="4">
        <v>529</v>
      </c>
    </row>
    <row r="42" spans="1:5">
      <c r="A42" s="2" t="s">
        <v>99</v>
      </c>
      <c r="B42" s="4">
        <v>160</v>
      </c>
      <c r="C42" s="4">
        <v>294</v>
      </c>
      <c r="D42" s="4">
        <v>160</v>
      </c>
      <c r="E42" s="4">
        <v>294</v>
      </c>
    </row>
    <row r="43" spans="1:5">
      <c r="A43" s="2" t="s">
        <v>100</v>
      </c>
      <c r="B43" s="5">
        <v>347</v>
      </c>
      <c r="C43" s="5">
        <v>320</v>
      </c>
      <c r="D43" s="5">
        <v>347</v>
      </c>
      <c r="E43" s="5">
        <v>320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A595-6B6D-424D-9256-53EAC8723C2B}">
  <dimension ref="A1:E24"/>
  <sheetViews>
    <sheetView workbookViewId="0">
      <selection sqref="A1:E2"/>
    </sheetView>
  </sheetViews>
  <sheetFormatPr defaultRowHeight="15"/>
  <cols>
    <col min="1" max="1" width="42.7109375" customWidth="1"/>
    <col min="2" max="5" width="10.5703125" bestFit="1" customWidth="1"/>
  </cols>
  <sheetData>
    <row r="1" spans="1:5">
      <c r="A1" s="29" t="s">
        <v>38</v>
      </c>
      <c r="B1" s="29" t="s">
        <v>39</v>
      </c>
      <c r="C1" s="29"/>
      <c r="D1" s="29"/>
      <c r="E1" s="29"/>
    </row>
    <row r="2" spans="1:5">
      <c r="A2" s="29"/>
      <c r="B2" s="25">
        <v>44347</v>
      </c>
      <c r="C2" s="25">
        <v>43982</v>
      </c>
      <c r="D2" s="25">
        <v>43616</v>
      </c>
      <c r="E2" s="24">
        <v>43251</v>
      </c>
    </row>
    <row r="3" spans="1:5" ht="15" customHeight="1">
      <c r="A3" s="1" t="s">
        <v>40</v>
      </c>
      <c r="B3" s="3"/>
      <c r="C3" s="3"/>
      <c r="D3" s="3"/>
      <c r="E3" s="3"/>
    </row>
    <row r="4" spans="1:5">
      <c r="A4" s="2" t="s">
        <v>41</v>
      </c>
      <c r="B4" s="8">
        <f>44538/B24</f>
        <v>1</v>
      </c>
      <c r="C4" s="8">
        <f>37403/C24</f>
        <v>1</v>
      </c>
      <c r="D4" s="8">
        <f>39117/D24</f>
        <v>1</v>
      </c>
      <c r="E4" s="8">
        <f>36397/E24</f>
        <v>1</v>
      </c>
    </row>
    <row r="5" spans="1:5">
      <c r="A5" s="2" t="s">
        <v>42</v>
      </c>
      <c r="B5" s="8">
        <f>24576/B24</f>
        <v>0.55179846423279</v>
      </c>
      <c r="C5" s="8">
        <f>21162/C24</f>
        <v>0.5657834933026763</v>
      </c>
      <c r="D5" s="8">
        <f>21643/D24</f>
        <v>0.55328885139453432</v>
      </c>
      <c r="E5" s="8">
        <f>20441/E24</f>
        <v>0.56161222078742756</v>
      </c>
    </row>
    <row r="6" spans="1:5">
      <c r="A6" s="2" t="s">
        <v>43</v>
      </c>
      <c r="B6" s="8">
        <f>19962/B24</f>
        <v>0.44820153576721</v>
      </c>
      <c r="C6" s="8">
        <f>16241/C24</f>
        <v>0.43421650669732376</v>
      </c>
      <c r="D6" s="8">
        <f>17474/D24</f>
        <v>0.44671114860546568</v>
      </c>
      <c r="E6" s="8">
        <f>15956/E24</f>
        <v>0.43838777921257244</v>
      </c>
    </row>
    <row r="7" spans="1:5" ht="15.75" customHeight="1">
      <c r="A7" s="2" t="s">
        <v>44</v>
      </c>
      <c r="B7" s="8">
        <f>3114/B24</f>
        <v>6.9917822982621586E-2</v>
      </c>
      <c r="C7" s="8">
        <f>3592/C24</f>
        <v>9.6035077400208543E-2</v>
      </c>
      <c r="D7" s="8">
        <f>3753/D24</f>
        <v>9.5942940409540614E-2</v>
      </c>
      <c r="E7" s="8">
        <f>3577/E24</f>
        <v>9.8277330549221095E-2</v>
      </c>
    </row>
    <row r="8" spans="1:5" ht="15.75" customHeight="1">
      <c r="A8" s="2" t="s">
        <v>45</v>
      </c>
      <c r="B8" s="8">
        <f>9911/B24</f>
        <v>0.22252907629440027</v>
      </c>
      <c r="C8" s="8">
        <f>9534/C24</f>
        <v>0.25489933962516376</v>
      </c>
      <c r="D8" s="8">
        <f>8949/D24</f>
        <v>0.22877521282306926</v>
      </c>
      <c r="E8" s="8">
        <f>7934/E24</f>
        <v>0.21798499876363436</v>
      </c>
    </row>
    <row r="9" spans="1:5" ht="15" customHeight="1">
      <c r="A9" s="2" t="s">
        <v>46</v>
      </c>
      <c r="B9" s="8">
        <f>13025/B24</f>
        <v>0.29244689927702189</v>
      </c>
      <c r="C9" s="8">
        <f>13126/C24</f>
        <v>0.35093441702537231</v>
      </c>
      <c r="D9" s="8">
        <f>12702/D24</f>
        <v>0.32471815323260989</v>
      </c>
      <c r="E9" s="8">
        <f>11511/E24</f>
        <v>0.31626232931285547</v>
      </c>
    </row>
    <row r="10" spans="1:5" ht="15" customHeight="1">
      <c r="A10" s="2" t="s">
        <v>47</v>
      </c>
      <c r="B10" s="8">
        <f>262/B24</f>
        <v>5.882617091023396E-3</v>
      </c>
      <c r="C10" s="8">
        <f>89/C24</f>
        <v>2.37948827634147E-3</v>
      </c>
      <c r="D10" s="8">
        <f>49/D24</f>
        <v>1.2526522995117213E-3</v>
      </c>
      <c r="E10" s="8">
        <f>54/E24</f>
        <v>1.4836387614363821E-3</v>
      </c>
    </row>
    <row r="11" spans="1:5" ht="15" customHeight="1">
      <c r="A11" s="2" t="s">
        <v>48</v>
      </c>
      <c r="B11" s="8">
        <f>14/B24</f>
        <v>3.1433831784094481E-4</v>
      </c>
      <c r="C11" s="8">
        <f>139/C24</f>
        <v>3.716279442825442E-3</v>
      </c>
      <c r="D11" s="8">
        <f>-78/D24</f>
        <v>-1.9940179461615153E-3</v>
      </c>
      <c r="E11" s="8">
        <f>66/E24</f>
        <v>1.8133362639778004E-3</v>
      </c>
    </row>
    <row r="12" spans="1:5" ht="15" customHeight="1">
      <c r="A12" s="2" t="s">
        <v>49</v>
      </c>
      <c r="B12" s="8">
        <f>6661/B24</f>
        <v>0.14955768108132381</v>
      </c>
      <c r="C12" s="8">
        <f>2887/C24</f>
        <v>7.7186321952784534E-2</v>
      </c>
      <c r="D12" s="8">
        <f>4801/D24</f>
        <v>0.12273436101950559</v>
      </c>
      <c r="E12" s="8">
        <f>4325/E24</f>
        <v>0.11882847487430283</v>
      </c>
    </row>
    <row r="13" spans="1:5">
      <c r="A13" s="2" t="s">
        <v>50</v>
      </c>
      <c r="B13" s="8">
        <f>934/B24</f>
        <v>2.0970856347388746E-2</v>
      </c>
      <c r="C13" s="8">
        <f>348/C24</f>
        <v>9.3040665187284436E-3</v>
      </c>
      <c r="D13" s="8">
        <f>772/D24</f>
        <v>1.9735664800470384E-2</v>
      </c>
      <c r="E13" s="8">
        <f>2392/E24</f>
        <v>6.5719702173256039E-2</v>
      </c>
    </row>
    <row r="14" spans="1:5">
      <c r="A14" s="2" t="s">
        <v>51</v>
      </c>
      <c r="B14" s="8">
        <f>5727/B24</f>
        <v>0.12858682473393507</v>
      </c>
      <c r="C14" s="8">
        <f>2539/C24</f>
        <v>6.7882255434056085E-2</v>
      </c>
      <c r="D14" s="8">
        <f>4029/D24</f>
        <v>0.10299869621903521</v>
      </c>
      <c r="E14" s="8">
        <f>1933/E24</f>
        <v>5.3108772701046789E-2</v>
      </c>
    </row>
    <row r="15" spans="1:5" ht="15" customHeight="1">
      <c r="A15" s="1" t="s">
        <v>52</v>
      </c>
      <c r="B15" s="11"/>
      <c r="C15" s="11"/>
      <c r="D15" s="11"/>
      <c r="E15" s="11"/>
    </row>
    <row r="16" spans="1:5" ht="15" customHeight="1">
      <c r="A16" s="2" t="s">
        <v>53</v>
      </c>
      <c r="B16" s="8">
        <f>3.64/B24</f>
        <v>8.1727962638645648E-5</v>
      </c>
      <c r="C16" s="8">
        <f>1.63/C24</f>
        <v>4.3579392027377483E-5</v>
      </c>
      <c r="D16" s="8">
        <f>2.55/D24</f>
        <v>6.5189048239895696E-5</v>
      </c>
      <c r="E16" s="8">
        <f>1.19/E24</f>
        <v>3.2695002335357308E-5</v>
      </c>
    </row>
    <row r="17" spans="1:5" ht="15" customHeight="1">
      <c r="A17" s="2" t="s">
        <v>54</v>
      </c>
      <c r="B17" s="8">
        <f>3.56/B24</f>
        <v>7.9931743679554533E-5</v>
      </c>
      <c r="C17" s="8">
        <f>1.6/C24</f>
        <v>4.2777317327487103E-5</v>
      </c>
      <c r="D17" s="8">
        <f>2.49/D24</f>
        <v>6.3655188281309922E-5</v>
      </c>
      <c r="E17" s="8">
        <f>1.17/E24</f>
        <v>3.2145506497788275E-5</v>
      </c>
    </row>
    <row r="18" spans="1:5" ht="15" customHeight="1">
      <c r="A18" s="1" t="s">
        <v>55</v>
      </c>
      <c r="B18" s="11"/>
      <c r="C18" s="11"/>
      <c r="D18" s="11"/>
      <c r="E18" s="11"/>
    </row>
    <row r="19" spans="1:5">
      <c r="A19" s="2" t="s">
        <v>56</v>
      </c>
      <c r="B19" s="8">
        <f>1573/B24</f>
        <v>3.531815528312901E-2</v>
      </c>
      <c r="C19" s="8">
        <f>1558.8/C24</f>
        <v>4.1675801406304308E-2</v>
      </c>
      <c r="D19" s="8">
        <f>1579.7/D24</f>
        <v>4.0383976276299312E-2</v>
      </c>
      <c r="E19" s="8">
        <f>1623.8/E24</f>
        <v>4.4613567052229582E-2</v>
      </c>
    </row>
    <row r="20" spans="1:5">
      <c r="A20" s="2" t="s">
        <v>57</v>
      </c>
      <c r="B20" s="8">
        <f>1609.4/B24</f>
        <v>3.6135434909515471E-2</v>
      </c>
      <c r="C20" s="8">
        <f>1591.6/C24</f>
        <v>4.2552736411517793E-2</v>
      </c>
      <c r="D20" s="8">
        <f>1618.4/D24</f>
        <v>4.1373315949587139E-2</v>
      </c>
      <c r="E20" s="8">
        <f>1659.1/E24</f>
        <v>4.5583427205538915E-2</v>
      </c>
    </row>
    <row r="24" spans="1:5">
      <c r="A24" t="s">
        <v>101</v>
      </c>
      <c r="B24">
        <v>44538</v>
      </c>
      <c r="C24">
        <v>37403</v>
      </c>
      <c r="D24">
        <v>39117</v>
      </c>
      <c r="E24">
        <v>36397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4CF3-5A28-4168-8690-9714CD3C0B59}">
  <dimension ref="A1:E42"/>
  <sheetViews>
    <sheetView workbookViewId="0">
      <selection sqref="A1:E1"/>
    </sheetView>
  </sheetViews>
  <sheetFormatPr defaultRowHeight="15"/>
  <cols>
    <col min="1" max="1" width="46.7109375" customWidth="1"/>
    <col min="2" max="4" width="10.5703125" bestFit="1" customWidth="1"/>
    <col min="5" max="5" width="10.7109375" customWidth="1"/>
  </cols>
  <sheetData>
    <row r="1" spans="1:5">
      <c r="A1" s="23" t="s">
        <v>0</v>
      </c>
      <c r="B1" s="24">
        <v>44347</v>
      </c>
      <c r="C1" s="24">
        <v>43982</v>
      </c>
      <c r="D1" s="24">
        <v>43616</v>
      </c>
      <c r="E1" s="24">
        <v>43251</v>
      </c>
    </row>
    <row r="2" spans="1:5">
      <c r="A2" s="1" t="s">
        <v>2</v>
      </c>
      <c r="B2" s="3"/>
      <c r="C2" s="3"/>
      <c r="D2" s="3"/>
      <c r="E2" s="3"/>
    </row>
    <row r="3" spans="1:5">
      <c r="A3" s="2" t="s">
        <v>3</v>
      </c>
      <c r="B3" s="8">
        <f>9889/B42</f>
        <v>0.2620296767355591</v>
      </c>
      <c r="C3" s="8">
        <f>8348/C42</f>
        <v>0.26635186012379553</v>
      </c>
      <c r="D3" s="8">
        <f>4466/D42</f>
        <v>0.18830374836615085</v>
      </c>
      <c r="E3" s="8">
        <f>4249/E42</f>
        <v>0.18854277600283989</v>
      </c>
    </row>
    <row r="4" spans="1:5">
      <c r="A4" s="2" t="s">
        <v>4</v>
      </c>
      <c r="B4" s="8">
        <f>3587/B42</f>
        <v>9.5045045045045046E-2</v>
      </c>
      <c r="C4" s="8">
        <f>439/C42</f>
        <v>1.4006764086529257E-2</v>
      </c>
      <c r="D4" s="8">
        <f>197/D42</f>
        <v>8.3062781970738297E-3</v>
      </c>
      <c r="E4" s="8">
        <f>996/E42</f>
        <v>4.4195953141640043E-2</v>
      </c>
    </row>
    <row r="5" spans="1:5">
      <c r="A5" s="2" t="s">
        <v>5</v>
      </c>
      <c r="B5" s="8">
        <f>4463/B42</f>
        <v>0.11825649178590356</v>
      </c>
      <c r="C5" s="8">
        <f>2749/C42</f>
        <v>8.7709782400612599E-2</v>
      </c>
      <c r="D5" s="8">
        <f>4272/D42</f>
        <v>0.18012396171522538</v>
      </c>
      <c r="E5" s="8">
        <f>3498/E42</f>
        <v>0.15521831735889244</v>
      </c>
    </row>
    <row r="6" spans="1:5">
      <c r="A6" s="2" t="s">
        <v>6</v>
      </c>
      <c r="B6" s="8">
        <f>6854/B42</f>
        <v>0.18161102278749339</v>
      </c>
      <c r="C6" s="8">
        <f>7367/C42</f>
        <v>0.2350520068917108</v>
      </c>
      <c r="D6" s="8">
        <f>5622/D42</f>
        <v>0.23704515748197497</v>
      </c>
      <c r="E6" s="8">
        <f>5261/E42</f>
        <v>0.23344870429534967</v>
      </c>
    </row>
    <row r="7" spans="1:5">
      <c r="A7" s="2" t="s">
        <v>7</v>
      </c>
      <c r="B7" s="8">
        <f>1498/B42</f>
        <v>3.9692633810280868E-2</v>
      </c>
      <c r="C7" s="8">
        <f>1653/C42</f>
        <v>5.2740731287090802E-2</v>
      </c>
      <c r="D7" s="8">
        <f>1968/D42</f>
        <v>8.2978454273306065E-2</v>
      </c>
      <c r="E7" s="8">
        <f>1130/E42</f>
        <v>5.0141995030173941E-2</v>
      </c>
    </row>
    <row r="8" spans="1:5">
      <c r="A8" s="2" t="s">
        <v>8</v>
      </c>
      <c r="B8" s="8">
        <f>26291/B42</f>
        <v>0.69663487016428194</v>
      </c>
      <c r="C8" s="8">
        <f>20556/C42</f>
        <v>0.655861144789739</v>
      </c>
      <c r="D8" s="8">
        <f>16525/D42</f>
        <v>0.69675760003373111</v>
      </c>
      <c r="E8" s="8">
        <f>15134/E42</f>
        <v>0.67154774582889598</v>
      </c>
    </row>
    <row r="9" spans="1:5">
      <c r="A9" s="2" t="s">
        <v>9</v>
      </c>
      <c r="B9" s="8">
        <f>4904/B42</f>
        <v>0.12994170641229466</v>
      </c>
      <c r="C9" s="8">
        <f>4866/C42</f>
        <v>0.15525492948758854</v>
      </c>
      <c r="D9" s="8">
        <f>4744/D42</f>
        <v>0.20002529830922966</v>
      </c>
      <c r="E9" s="8">
        <f>4454/E42</f>
        <v>0.19763933262335817</v>
      </c>
    </row>
    <row r="10" spans="1:5">
      <c r="A10" s="2" t="s">
        <v>10</v>
      </c>
      <c r="B10" s="8">
        <f>3113/B42</f>
        <v>8.2485426603073661E-2</v>
      </c>
      <c r="C10" s="8">
        <f>3097/C42</f>
        <v>9.8813094250526451E-2</v>
      </c>
      <c r="D10" s="8">
        <f>0/D42</f>
        <v>0</v>
      </c>
      <c r="E10" s="12"/>
    </row>
    <row r="11" spans="1:5">
      <c r="A11" s="2" t="s">
        <v>11</v>
      </c>
      <c r="B11" s="8">
        <f>269/B42</f>
        <v>7.1277159512453626E-3</v>
      </c>
      <c r="C11" s="8">
        <f>274/C42</f>
        <v>8.7422627783804475E-3</v>
      </c>
      <c r="D11" s="8">
        <f>283/D42</f>
        <v>1.1932369186659358E-2</v>
      </c>
      <c r="E11" s="8">
        <f>285/E42</f>
        <v>1.264643237486688E-2</v>
      </c>
    </row>
    <row r="12" spans="1:5">
      <c r="A12" s="2" t="s">
        <v>12</v>
      </c>
      <c r="B12" s="8">
        <f>242/B42</f>
        <v>6.4122946475887654E-3</v>
      </c>
      <c r="C12" s="8">
        <f>223/C42</f>
        <v>7.1150532831344522E-3</v>
      </c>
      <c r="D12" s="8">
        <f>154/D42</f>
        <v>6.4932327022810639E-3</v>
      </c>
      <c r="E12" s="8">
        <f>154/E42</f>
        <v>6.8335108271210506E-3</v>
      </c>
    </row>
    <row r="13" spans="1:5">
      <c r="A13" s="2" t="s">
        <v>13</v>
      </c>
      <c r="B13" s="8">
        <f>2921/B42</f>
        <v>7.7397986221515627E-2</v>
      </c>
      <c r="C13" s="8">
        <f>2326/C42</f>
        <v>7.4213515410631106E-2</v>
      </c>
      <c r="D13" s="8">
        <f>2011/D42</f>
        <v>8.4791499768098827E-2</v>
      </c>
      <c r="E13" s="8">
        <f>2509/E42</f>
        <v>0.11133297834575789</v>
      </c>
    </row>
    <row r="14" spans="1:5">
      <c r="A14" s="2" t="s">
        <v>14</v>
      </c>
      <c r="B14" s="8">
        <f>37740/B42</f>
        <v>1</v>
      </c>
      <c r="C14" s="8">
        <f>31342/C42</f>
        <v>1</v>
      </c>
      <c r="D14" s="8">
        <f>23717/D42</f>
        <v>1</v>
      </c>
      <c r="E14" s="8">
        <f>22536/E42</f>
        <v>1</v>
      </c>
    </row>
    <row r="15" spans="1:5">
      <c r="A15" s="1" t="s">
        <v>15</v>
      </c>
      <c r="B15" s="11"/>
      <c r="C15" s="11"/>
      <c r="D15" s="11"/>
      <c r="E15" s="12"/>
    </row>
    <row r="16" spans="1:5">
      <c r="A16" s="2" t="s">
        <v>16</v>
      </c>
      <c r="B16" s="8">
        <f>0/B42</f>
        <v>0</v>
      </c>
      <c r="C16" s="8">
        <f>3/C42</f>
        <v>9.5718205602705631E-5</v>
      </c>
      <c r="D16" s="8">
        <f>6/D42</f>
        <v>2.5298309229666486E-4</v>
      </c>
      <c r="E16" s="8">
        <f>6/E42</f>
        <v>2.6624068157614486E-4</v>
      </c>
    </row>
    <row r="17" spans="1:5">
      <c r="A17" s="2" t="s">
        <v>17</v>
      </c>
      <c r="B17" s="8">
        <f>2/B42</f>
        <v>5.2994170641229467E-5</v>
      </c>
      <c r="C17" s="8">
        <f>248/C42</f>
        <v>7.9127049964903325E-3</v>
      </c>
      <c r="D17" s="8">
        <f>9/D42</f>
        <v>3.7947463844499726E-4</v>
      </c>
      <c r="E17" s="8">
        <f>336/E42</f>
        <v>1.4909478168264111E-2</v>
      </c>
    </row>
    <row r="18" spans="1:5">
      <c r="A18" s="2" t="s">
        <v>18</v>
      </c>
      <c r="B18" s="8">
        <f>2836/B42</f>
        <v>7.5145733969263384E-2</v>
      </c>
      <c r="C18" s="8">
        <f>2248/C42</f>
        <v>7.1724842064960756E-2</v>
      </c>
      <c r="D18" s="8">
        <f>2612/D42</f>
        <v>0.11013197284648142</v>
      </c>
      <c r="E18" s="8">
        <f>2279/E42</f>
        <v>0.10112708555200568</v>
      </c>
    </row>
    <row r="19" spans="1:5">
      <c r="A19" s="2" t="s">
        <v>19</v>
      </c>
      <c r="B19" s="8">
        <f>467/B42</f>
        <v>1.237413884472708E-2</v>
      </c>
      <c r="C19" s="8">
        <f>445/C42</f>
        <v>1.4198200497734669E-2</v>
      </c>
      <c r="D19" s="8">
        <f>0/D42</f>
        <v>0</v>
      </c>
      <c r="E19" s="12"/>
    </row>
    <row r="20" spans="1:5">
      <c r="A20" s="2" t="s">
        <v>20</v>
      </c>
      <c r="B20" s="8">
        <f>6063/B42</f>
        <v>0.16065182829888713</v>
      </c>
      <c r="C20" s="8">
        <f>5184/C42</f>
        <v>0.16540105928147533</v>
      </c>
      <c r="D20" s="8">
        <f>5010/D42</f>
        <v>0.21124088206771513</v>
      </c>
      <c r="E20" s="8">
        <f>3269/E42</f>
        <v>0.14505679801206958</v>
      </c>
    </row>
    <row r="21" spans="1:5">
      <c r="A21" s="2" t="s">
        <v>21</v>
      </c>
      <c r="B21" s="8">
        <f>306/B42</f>
        <v>8.1081081081081086E-3</v>
      </c>
      <c r="C21" s="8">
        <f>156/C42</f>
        <v>4.9773466913406927E-3</v>
      </c>
      <c r="D21" s="8">
        <f>229/D42</f>
        <v>9.6555213559893754E-3</v>
      </c>
      <c r="E21" s="8">
        <f>150/E42</f>
        <v>6.6560170394036212E-3</v>
      </c>
    </row>
    <row r="22" spans="1:5">
      <c r="A22" s="2" t="s">
        <v>22</v>
      </c>
      <c r="B22" s="8">
        <f>9674/B42</f>
        <v>0.2563328033916269</v>
      </c>
      <c r="C22" s="8">
        <f>8284/C42</f>
        <v>0.26430987173760451</v>
      </c>
      <c r="D22" s="8">
        <f>7866/D42</f>
        <v>0.33166083400092761</v>
      </c>
      <c r="E22" s="8">
        <f>6040/E42</f>
        <v>0.26801561945331914</v>
      </c>
    </row>
    <row r="23" spans="1:5">
      <c r="A23" s="2" t="s">
        <v>23</v>
      </c>
      <c r="B23" s="8">
        <f>9413/B42</f>
        <v>0.24941706412294648</v>
      </c>
      <c r="C23" s="8">
        <f>9406/C42</f>
        <v>0.30010848063301637</v>
      </c>
      <c r="D23" s="8">
        <f>3464/D42</f>
        <v>0.14605557195260782</v>
      </c>
      <c r="E23" s="8">
        <f>3468/E42</f>
        <v>0.15388711395101171</v>
      </c>
    </row>
    <row r="24" spans="1:5">
      <c r="A24" s="2" t="s">
        <v>24</v>
      </c>
      <c r="B24" s="8">
        <f>2931/B42</f>
        <v>7.7662957074721775E-2</v>
      </c>
      <c r="C24" s="8">
        <f>2913/C42</f>
        <v>9.294237764022717E-2</v>
      </c>
      <c r="D24" s="8">
        <f>0/D42</f>
        <v>0</v>
      </c>
      <c r="E24" s="12"/>
    </row>
    <row r="25" spans="1:5">
      <c r="A25" s="2" t="s">
        <v>25</v>
      </c>
      <c r="B25" s="8">
        <f>2955/B42</f>
        <v>7.8298887122416533E-2</v>
      </c>
      <c r="C25" s="8">
        <f>2684/C42</f>
        <v>8.5635887945887307E-2</v>
      </c>
      <c r="D25" s="8">
        <f>3347/D42</f>
        <v>0.14112240165282286</v>
      </c>
      <c r="E25" s="8">
        <f>3216/E42</f>
        <v>0.14270500532481364</v>
      </c>
    </row>
    <row r="26" spans="1:5">
      <c r="A26" s="2" t="s">
        <v>26</v>
      </c>
      <c r="B26" s="13" t="s">
        <v>27</v>
      </c>
      <c r="C26" s="13" t="s">
        <v>27</v>
      </c>
      <c r="D26" s="13" t="s">
        <v>27</v>
      </c>
      <c r="E26" s="13" t="s">
        <v>27</v>
      </c>
    </row>
    <row r="27" spans="1:5">
      <c r="A27" s="2" t="s">
        <v>28</v>
      </c>
      <c r="B27" s="8">
        <f>0/B42</f>
        <v>0</v>
      </c>
      <c r="C27" s="8">
        <f>0/C42</f>
        <v>0</v>
      </c>
      <c r="D27" s="8">
        <f>0/D42</f>
        <v>0</v>
      </c>
      <c r="E27" s="8">
        <f>0/E42</f>
        <v>0</v>
      </c>
    </row>
    <row r="28" spans="1:5">
      <c r="A28" s="1" t="s">
        <v>29</v>
      </c>
      <c r="B28" s="11"/>
      <c r="C28" s="11"/>
      <c r="D28" s="11"/>
      <c r="E28" s="12"/>
    </row>
    <row r="29" spans="1:5">
      <c r="A29" s="2" t="s">
        <v>30</v>
      </c>
      <c r="B29" s="8">
        <f>9965/B42</f>
        <v>0.26404345521992578</v>
      </c>
      <c r="C29" s="8">
        <f>8299/C42</f>
        <v>0.26478846276561802</v>
      </c>
      <c r="D29" s="8">
        <f>7163/D42</f>
        <v>0.3020196483535017</v>
      </c>
      <c r="E29" s="8">
        <f>6384/E42</f>
        <v>0.28328008519701808</v>
      </c>
    </row>
    <row r="30" spans="1:5">
      <c r="A30" s="2" t="s">
        <v>31</v>
      </c>
      <c r="B30" s="8">
        <f>-380/B42</f>
        <v>-1.0068892421833599E-2</v>
      </c>
      <c r="C30" s="8">
        <f>-56/C42</f>
        <v>-1.7867398379171719E-3</v>
      </c>
      <c r="D30" s="8">
        <f>231/D42</f>
        <v>9.7398490534215971E-3</v>
      </c>
      <c r="E30" s="8">
        <f>-92/E42</f>
        <v>-4.0823571175008875E-3</v>
      </c>
    </row>
    <row r="31" spans="1:5">
      <c r="A31" s="2" t="s">
        <v>32</v>
      </c>
      <c r="B31" s="8">
        <f>3179/B42</f>
        <v>8.4234234234234234E-2</v>
      </c>
      <c r="C31" s="8">
        <f>-191/C42</f>
        <v>-6.0940590900389257E-3</v>
      </c>
      <c r="D31" s="8">
        <f>1643/D42</f>
        <v>6.927520344057006E-2</v>
      </c>
      <c r="E31" s="8">
        <f>3517/E42</f>
        <v>0.15606141285055022</v>
      </c>
    </row>
    <row r="32" spans="1:5">
      <c r="A32" s="2" t="s">
        <v>33</v>
      </c>
      <c r="B32" s="8">
        <f>12767/B42</f>
        <v>0.33828828828828827</v>
      </c>
      <c r="C32" s="8">
        <f>8055/C42</f>
        <v>0.25700338204326462</v>
      </c>
      <c r="D32" s="8">
        <f>9040/D42</f>
        <v>0.38116119239364171</v>
      </c>
      <c r="E32" s="8">
        <f>9812/E42</f>
        <v>0.43539226127085551</v>
      </c>
    </row>
    <row r="33" spans="1:5">
      <c r="A33" s="2" t="s">
        <v>34</v>
      </c>
      <c r="B33" s="8">
        <f>37740/B42</f>
        <v>1</v>
      </c>
      <c r="C33" s="8">
        <f>31342/C42</f>
        <v>1</v>
      </c>
      <c r="D33" s="8">
        <f>23717/D42</f>
        <v>1</v>
      </c>
      <c r="E33" s="8">
        <f>22536/E42</f>
        <v>1</v>
      </c>
    </row>
    <row r="34" spans="1:5">
      <c r="A34" s="2" t="s">
        <v>35</v>
      </c>
      <c r="B34" s="11"/>
      <c r="C34" s="11"/>
      <c r="D34" s="11"/>
      <c r="E34" s="11"/>
    </row>
    <row r="35" spans="1:5">
      <c r="A35" s="1" t="s">
        <v>29</v>
      </c>
      <c r="B35" s="11"/>
      <c r="C35" s="11"/>
      <c r="D35" s="11"/>
      <c r="E35" s="11"/>
    </row>
    <row r="36" spans="1:5">
      <c r="A36" s="2" t="s">
        <v>36</v>
      </c>
      <c r="B36" s="8">
        <f>0/B42</f>
        <v>0</v>
      </c>
      <c r="C36" s="8">
        <f>0/C42</f>
        <v>0</v>
      </c>
      <c r="D36" s="8">
        <f>0/D42</f>
        <v>0</v>
      </c>
      <c r="E36" s="8">
        <f>0/E42</f>
        <v>0</v>
      </c>
    </row>
    <row r="37" spans="1:5">
      <c r="A37" s="2" t="s">
        <v>37</v>
      </c>
      <c r="B37" s="11"/>
      <c r="C37" s="11"/>
      <c r="D37" s="11"/>
      <c r="E37" s="11"/>
    </row>
    <row r="38" spans="1:5">
      <c r="A38" s="1" t="s">
        <v>29</v>
      </c>
      <c r="B38" s="11"/>
      <c r="C38" s="11"/>
      <c r="D38" s="11"/>
      <c r="E38" s="11"/>
    </row>
    <row r="39" spans="1:5">
      <c r="A39" s="2" t="s">
        <v>36</v>
      </c>
      <c r="B39" s="8">
        <f>3/B42</f>
        <v>7.9491255961844197E-5</v>
      </c>
      <c r="C39" s="8">
        <f>3/C42</f>
        <v>9.5718205602705631E-5</v>
      </c>
      <c r="D39" s="8">
        <f>3/D42</f>
        <v>1.2649154614833243E-4</v>
      </c>
      <c r="E39" s="8">
        <f>3/E42</f>
        <v>1.3312034078807243E-4</v>
      </c>
    </row>
    <row r="42" spans="1:5">
      <c r="A42" t="s">
        <v>102</v>
      </c>
      <c r="B42" s="7">
        <v>37740</v>
      </c>
      <c r="C42">
        <v>31342</v>
      </c>
      <c r="D42">
        <v>23717</v>
      </c>
      <c r="E42">
        <v>22536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173B-8E01-446E-AEDA-25171E8F0D3E}">
  <dimension ref="A1:E11"/>
  <sheetViews>
    <sheetView workbookViewId="0">
      <selection activeCell="L27" sqref="L27"/>
    </sheetView>
  </sheetViews>
  <sheetFormatPr defaultRowHeight="15"/>
  <cols>
    <col min="1" max="1" width="60" customWidth="1"/>
    <col min="2" max="5" width="10.5703125" bestFit="1" customWidth="1"/>
  </cols>
  <sheetData>
    <row r="1" spans="1:5">
      <c r="A1" s="32" t="s">
        <v>103</v>
      </c>
      <c r="B1" s="31" t="s">
        <v>104</v>
      </c>
      <c r="C1" s="31"/>
      <c r="D1" s="31"/>
      <c r="E1" s="31"/>
    </row>
    <row r="2" spans="1:5">
      <c r="A2" s="32"/>
      <c r="B2" s="22">
        <v>44347</v>
      </c>
      <c r="C2" s="22">
        <v>43982</v>
      </c>
      <c r="D2" s="22">
        <v>43616</v>
      </c>
      <c r="E2" s="22">
        <v>43251</v>
      </c>
    </row>
    <row r="3" spans="1:5">
      <c r="A3" s="14" t="s">
        <v>105</v>
      </c>
      <c r="B3" s="19">
        <f>'IncomeStatement&amp;HorizontalAnaly'!B4/(('BalanceSheet&amp;HorizontalAnalysis'!B14+'BalanceSheet&amp;HorizontalAnalysis'!C14)/2)</f>
        <v>1.2894241625893865</v>
      </c>
      <c r="C3" s="19">
        <f>'IncomeStatement&amp;HorizontalAnaly'!C4/(('BalanceSheet&amp;HorizontalAnalysis'!C14+'BalanceSheet&amp;HorizontalAnalysis'!D14)/2)</f>
        <v>1.3586516282533283</v>
      </c>
      <c r="D3" s="19">
        <f>'IncomeStatement&amp;HorizontalAnaly'!D4/(('BalanceSheet&amp;HorizontalAnalysis'!D14+'BalanceSheet&amp;HorizontalAnalysis'!E14)/2)</f>
        <v>1.6914362311633839</v>
      </c>
      <c r="E3" s="19">
        <f>'IncomeStatement&amp;HorizontalAnaly'!E4/(('BalanceSheet&amp;HorizontalAnalysis'!E14+'BalanceSheet&amp;HorizontalAnalysis'!F14)/2)</f>
        <v>3.2301206957756476</v>
      </c>
    </row>
    <row r="5" spans="1:5">
      <c r="A5" t="s">
        <v>106</v>
      </c>
      <c r="B5" s="15">
        <f>'IncomeStatement&amp;HorizontalAnaly'!B14/(('BalanceSheet&amp;HorizontalAnalysis'!B32+'BalanceSheet&amp;HorizontalAnalysis'!C32)/2)</f>
        <v>0.55009124963980405</v>
      </c>
      <c r="C5" s="15">
        <f>'IncomeStatement&amp;HorizontalAnaly'!C14/(('BalanceSheet&amp;HorizontalAnalysis'!C32+'BalanceSheet&amp;HorizontalAnalysis'!D32)/2)</f>
        <v>0.2970459198596081</v>
      </c>
      <c r="D5" s="15">
        <f>'IncomeStatement&amp;HorizontalAnaly'!D14/(('BalanceSheet&amp;HorizontalAnalysis'!D32+'BalanceSheet&amp;HorizontalAnalysis'!E32)/2)</f>
        <v>0.42743475493316357</v>
      </c>
      <c r="E5" s="15">
        <f>'IncomeStatement&amp;HorizontalAnaly'!E14/(('BalanceSheet&amp;HorizontalAnalysis'!E32+'BalanceSheet&amp;HorizontalAnalysis'!F32)/2)</f>
        <v>0.39400733795352627</v>
      </c>
    </row>
    <row r="7" spans="1:5">
      <c r="A7" s="14" t="s">
        <v>107</v>
      </c>
      <c r="B7" s="15">
        <f>('IncomeStatement&amp;HorizontalAnaly'!B12 + 'IncomeStatement&amp;HorizontalAnaly'!B10)/'IncomeStatement&amp;HorizontalAnaly'!B4</f>
        <v>0.1554402981723472</v>
      </c>
      <c r="C7" s="15">
        <f>('IncomeStatement&amp;HorizontalAnaly'!C12 + 'IncomeStatement&amp;HorizontalAnaly'!C10)/'IncomeStatement&amp;HorizontalAnaly'!C4</f>
        <v>7.9565810229126011E-2</v>
      </c>
      <c r="D7" s="15">
        <f>('IncomeStatement&amp;HorizontalAnaly'!D12 + 'IncomeStatement&amp;HorizontalAnaly'!D10)/'IncomeStatement&amp;HorizontalAnaly'!D4</f>
        <v>0.12398701331901731</v>
      </c>
      <c r="E7" s="18">
        <f>('IncomeStatement&amp;HorizontalAnaly'!E12 + 'IncomeStatement&amp;HorizontalAnaly'!E10)/'IncomeStatement&amp;HorizontalAnaly'!E4</f>
        <v>0.12031211363573921</v>
      </c>
    </row>
    <row r="8" spans="1:5">
      <c r="A8" s="14"/>
      <c r="B8" s="15"/>
      <c r="C8" s="15"/>
      <c r="D8" s="15"/>
      <c r="E8" s="16"/>
    </row>
    <row r="9" spans="1:5">
      <c r="A9" s="14" t="s">
        <v>108</v>
      </c>
      <c r="B9" s="15">
        <f>'IncomeStatement&amp;HorizontalAnaly'!B14/(('BalanceSheet&amp;HorizontalAnalysis'!B14+'BalanceSheet&amp;HorizontalAnalysis'!C14)/2)</f>
        <v>0.16580295880258245</v>
      </c>
      <c r="C9" s="15">
        <f>'IncomeStatement&amp;HorizontalAnaly'!C14/(('BalanceSheet&amp;HorizontalAnalysis'!C14+'BalanceSheet&amp;HorizontalAnalysis'!D14)/2)</f>
        <v>9.2228336874988645E-2</v>
      </c>
      <c r="D9" s="15">
        <f>'IncomeStatement&amp;HorizontalAnaly'!D14/(('BalanceSheet&amp;HorizontalAnalysis'!D14+'BalanceSheet&amp;HorizontalAnalysis'!E14)/2)</f>
        <v>0.1742157265474672</v>
      </c>
      <c r="E9" s="15">
        <f>'IncomeStatement&amp;HorizontalAnaly'!E14/(('BalanceSheet&amp;HorizontalAnalysis'!E14+'BalanceSheet&amp;HorizontalAnalysis'!F14)/2)</f>
        <v>0.17154774582889598</v>
      </c>
    </row>
    <row r="11" spans="1:5">
      <c r="A11" t="s">
        <v>109</v>
      </c>
      <c r="B11" s="17">
        <f>'IncomeStatement&amp;HorizontalAnaly'!B14/'IncomeStatement&amp;HorizontalAnaly'!B19</f>
        <v>3.6408137317228224</v>
      </c>
      <c r="C11" s="17">
        <f>'IncomeStatement&amp;HorizontalAnaly'!C14/'IncomeStatement&amp;HorizontalAnaly'!C19</f>
        <v>1.6288170387477547</v>
      </c>
      <c r="D11" s="17">
        <f>'IncomeStatement&amp;HorizontalAnaly'!D14/'IncomeStatement&amp;HorizontalAnaly'!D19</f>
        <v>2.5504842691650311</v>
      </c>
      <c r="E11" s="17">
        <f>'IncomeStatement&amp;HorizontalAnaly'!E14/'IncomeStatement&amp;HorizontalAnaly'!E19</f>
        <v>1.1904175391058012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A2E8-70D8-4AB9-815C-6E2198AB919E}">
  <dimension ref="A1:E9"/>
  <sheetViews>
    <sheetView tabSelected="1" workbookViewId="0">
      <selection activeCell="B3" sqref="B3:E3"/>
    </sheetView>
  </sheetViews>
  <sheetFormatPr defaultRowHeight="15"/>
  <cols>
    <col min="1" max="1" width="58.7109375" customWidth="1"/>
    <col min="2" max="2" width="18.7109375" customWidth="1"/>
    <col min="3" max="3" width="16.140625" customWidth="1"/>
    <col min="4" max="4" width="14.85546875" customWidth="1"/>
    <col min="5" max="5" width="15.28515625" customWidth="1"/>
  </cols>
  <sheetData>
    <row r="1" spans="1:5">
      <c r="A1" s="32" t="s">
        <v>110</v>
      </c>
      <c r="B1" s="31" t="s">
        <v>104</v>
      </c>
      <c r="C1" s="31"/>
      <c r="D1" s="31"/>
      <c r="E1" s="31"/>
    </row>
    <row r="2" spans="1:5">
      <c r="A2" s="32"/>
      <c r="B2" s="22">
        <v>44347</v>
      </c>
      <c r="C2" s="22">
        <v>43982</v>
      </c>
      <c r="D2" s="22">
        <v>43616</v>
      </c>
      <c r="E2" s="22">
        <v>43251</v>
      </c>
    </row>
    <row r="3" spans="1:5">
      <c r="A3" s="14" t="s">
        <v>111</v>
      </c>
      <c r="B3" s="19">
        <f>'BalanceSheet&amp;HorizontalAnalysis'!B8/'BalanceSheet&amp;HorizontalAnalysis'!B22</f>
        <v>2.717696919578251</v>
      </c>
      <c r="C3" s="19">
        <f>'BalanceSheet&amp;HorizontalAnalysis'!C8/'BalanceSheet&amp;HorizontalAnalysis'!C22</f>
        <v>2.4814099468855626</v>
      </c>
      <c r="D3" s="19">
        <f>'BalanceSheet&amp;HorizontalAnalysis'!D8/'BalanceSheet&amp;HorizontalAnalysis'!D22</f>
        <v>2.1008136282735825</v>
      </c>
      <c r="E3" s="19">
        <f>'BalanceSheet&amp;HorizontalAnalysis'!E8/'BalanceSheet&amp;HorizontalAnalysis'!E22</f>
        <v>2.5056291390728478</v>
      </c>
    </row>
    <row r="5" spans="1:5">
      <c r="A5" s="14" t="s">
        <v>112</v>
      </c>
      <c r="B5" s="20">
        <f>'IncomeStatement&amp;HorizontalAnaly'!B12/('IncomeStatement&amp;HorizontalAnaly'!B10)</f>
        <v>25.423664122137403</v>
      </c>
      <c r="C5" s="20">
        <f>'IncomeStatement&amp;HorizontalAnaly'!C12/('IncomeStatement&amp;HorizontalAnaly'!C10)</f>
        <v>32.438202247191015</v>
      </c>
      <c r="D5" s="20">
        <f>'IncomeStatement&amp;HorizontalAnaly'!D12/('IncomeStatement&amp;HorizontalAnaly'!D10)</f>
        <v>97.979591836734699</v>
      </c>
      <c r="E5" s="20">
        <f>'IncomeStatement&amp;HorizontalAnaly'!E12/('IncomeStatement&amp;HorizontalAnaly'!E10)</f>
        <v>80.092592592592595</v>
      </c>
    </row>
    <row r="6" spans="1:5">
      <c r="A6" s="14"/>
      <c r="B6" s="15"/>
      <c r="C6" s="15"/>
      <c r="D6" s="15"/>
      <c r="E6" s="16"/>
    </row>
    <row r="7" spans="1:5">
      <c r="A7" s="14" t="s">
        <v>113</v>
      </c>
      <c r="B7" s="20">
        <f>('BalanceSheet&amp;HorizontalAnalysis'!B3+'BalanceSheet&amp;HorizontalAnalysis'!B4+'BalanceSheet&amp;HorizontalAnalysis'!B5)/'BalanceSheet&amp;HorizontalAnalysis'!B22</f>
        <v>1.854351870994418</v>
      </c>
      <c r="C7" s="20">
        <f>('BalanceSheet&amp;HorizontalAnalysis'!C3+'BalanceSheet&amp;HorizontalAnalysis'!C4+'BalanceSheet&amp;HorizontalAnalysis'!C5)/'BalanceSheet&amp;HorizontalAnalysis'!C22</f>
        <v>1.392563978754225</v>
      </c>
      <c r="D7" s="20">
        <f>('BalanceSheet&amp;HorizontalAnalysis'!D3+'BalanceSheet&amp;HorizontalAnalysis'!D4+'BalanceSheet&amp;HorizontalAnalysis'!D5)/'BalanceSheet&amp;HorizontalAnalysis'!D22</f>
        <v>1.135901347571828</v>
      </c>
      <c r="E7" s="20">
        <f>('BalanceSheet&amp;HorizontalAnalysis'!E3+'BalanceSheet&amp;HorizontalAnalysis'!E4+'BalanceSheet&amp;HorizontalAnalysis'!E5)/'BalanceSheet&amp;HorizontalAnalysis'!E22</f>
        <v>1.4475165562913908</v>
      </c>
    </row>
    <row r="9" spans="1:5">
      <c r="A9" t="s">
        <v>114</v>
      </c>
      <c r="B9" s="20">
        <f>('BalanceSheet&amp;HorizontalAnalysis'!B22+'BalanceSheet&amp;HorizontalAnalysis'!B23)/'BalanceSheet&amp;HorizontalAnalysis'!B32</f>
        <v>1.4950262395237721</v>
      </c>
      <c r="C9" s="20">
        <f>('BalanceSheet&amp;HorizontalAnalysis'!C22+'BalanceSheet&amp;HorizontalAnalysis'!C23)/'BalanceSheet&amp;HorizontalAnalysis'!C32</f>
        <v>2.1961514587212911</v>
      </c>
      <c r="D9" s="20">
        <f>('BalanceSheet&amp;HorizontalAnalysis'!D22+'BalanceSheet&amp;HorizontalAnalysis'!D23)/'BalanceSheet&amp;HorizontalAnalysis'!D32</f>
        <v>1.2533185840707965</v>
      </c>
      <c r="E9" s="20">
        <f>('BalanceSheet&amp;HorizontalAnalysis'!E22+'BalanceSheet&amp;HorizontalAnalysis'!E23)/'BalanceSheet&amp;HorizontalAnalysis'!E32</f>
        <v>0.96901752955564613</v>
      </c>
    </row>
  </sheetData>
  <mergeCells count="2">
    <mergeCell ref="A1:A2"/>
    <mergeCell ref="B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FE01-F854-471B-A41A-C1ECA3BE615C}">
  <dimension ref="A1:E15"/>
  <sheetViews>
    <sheetView workbookViewId="0">
      <selection activeCell="E9" sqref="E9"/>
    </sheetView>
  </sheetViews>
  <sheetFormatPr defaultRowHeight="15"/>
  <cols>
    <col min="1" max="1" width="60.85546875" customWidth="1"/>
    <col min="2" max="2" width="11.5703125" customWidth="1"/>
    <col min="3" max="3" width="10.140625" customWidth="1"/>
    <col min="4" max="4" width="10.7109375" customWidth="1"/>
    <col min="5" max="5" width="10" customWidth="1"/>
  </cols>
  <sheetData>
    <row r="1" spans="1:5">
      <c r="A1" s="27" t="s">
        <v>110</v>
      </c>
      <c r="B1" s="31" t="s">
        <v>104</v>
      </c>
      <c r="C1" s="31"/>
      <c r="D1" s="31"/>
      <c r="E1" s="31"/>
    </row>
    <row r="2" spans="1:5">
      <c r="A2" s="27"/>
      <c r="B2" s="22">
        <v>44347</v>
      </c>
      <c r="C2" s="22">
        <v>43982</v>
      </c>
      <c r="D2" s="22">
        <v>43616</v>
      </c>
      <c r="E2" s="22">
        <v>43251</v>
      </c>
    </row>
    <row r="3" spans="1:5">
      <c r="A3" s="14" t="s">
        <v>115</v>
      </c>
      <c r="B3" s="20">
        <f>'IncomeStatement&amp;HorizontalAnaly'!B4/(('BalanceSheet&amp;HorizontalAnalysis'!B5+'BalanceSheet&amp;HorizontalAnalysis'!C5)/2)</f>
        <v>12.351081530782031</v>
      </c>
      <c r="C3" s="20">
        <f>'IncomeStatement&amp;HorizontalAnaly'!C4/(('BalanceSheet&amp;HorizontalAnalysis'!C5+'BalanceSheet&amp;HorizontalAnalysis'!D5)/2)</f>
        <v>10.654607605754165</v>
      </c>
      <c r="D3" s="20">
        <f>'IncomeStatement&amp;HorizontalAnaly'!D4/(('BalanceSheet&amp;HorizontalAnalysis'!D5+'BalanceSheet&amp;HorizontalAnalysis'!E5)/2)</f>
        <v>10.068725868725869</v>
      </c>
      <c r="E3" s="20">
        <f>'IncomeStatement&amp;HorizontalAnaly'!E4/'BalanceSheet&amp;HorizontalAnalysis'!E5</f>
        <v>10.405088622069755</v>
      </c>
    </row>
    <row r="4" spans="1:5">
      <c r="A4" s="14"/>
      <c r="B4" s="15"/>
      <c r="C4" s="15"/>
      <c r="D4" s="15"/>
      <c r="E4" s="16"/>
    </row>
    <row r="5" spans="1:5">
      <c r="A5" s="21" t="s">
        <v>116</v>
      </c>
      <c r="B5" s="20">
        <f>365/B9</f>
        <v>105.60434977213542</v>
      </c>
      <c r="C5" s="20">
        <f>365/C9</f>
        <v>112.01646819771288</v>
      </c>
      <c r="D5" s="20">
        <f>365/D9</f>
        <v>91.768585685903062</v>
      </c>
      <c r="E5" s="20">
        <f>365/E9</f>
        <v>93.941832591360495</v>
      </c>
    </row>
    <row r="7" spans="1:5">
      <c r="A7" s="14" t="s">
        <v>117</v>
      </c>
      <c r="B7" s="19">
        <f>365/B3</f>
        <v>29.552067897076654</v>
      </c>
      <c r="C7" s="19">
        <f>365/C3</f>
        <v>34.257479346576481</v>
      </c>
      <c r="D7" s="19">
        <f>365/D3</f>
        <v>36.250862796226706</v>
      </c>
      <c r="E7" s="19">
        <f>365/E3</f>
        <v>35.078990026650544</v>
      </c>
    </row>
    <row r="8" spans="1:5">
      <c r="A8" s="14"/>
      <c r="B8" s="15"/>
      <c r="C8" s="15"/>
      <c r="D8" s="15"/>
      <c r="E8" s="16"/>
    </row>
    <row r="9" spans="1:5" ht="15.75" customHeight="1">
      <c r="A9" s="14" t="s">
        <v>118</v>
      </c>
      <c r="B9" s="28">
        <f>'IncomeStatement&amp;HorizontalAnaly'!B5/(('BalanceSheet&amp;HorizontalAnalysis'!B6+'BalanceSheet&amp;HorizontalAnalysis'!C6)/2)</f>
        <v>3.4562970255256311</v>
      </c>
      <c r="C9" s="28">
        <f>'IncomeStatement&amp;HorizontalAnaly'!C5/(('BalanceSheet&amp;HorizontalAnalysis'!C6+'BalanceSheet&amp;HorizontalAnalysis'!D6)/2)</f>
        <v>3.2584494572330431</v>
      </c>
      <c r="D9" s="28">
        <f>'IncomeStatement&amp;HorizontalAnaly'!D5/(('BalanceSheet&amp;HorizontalAnalysis'!D6+'BalanceSheet&amp;HorizontalAnalysis'!E6)/2)</f>
        <v>3.9773959386198658</v>
      </c>
      <c r="E9" s="28">
        <f>'IncomeStatement&amp;HorizontalAnaly'!E5/'BalanceSheet&amp;HorizontalAnalysis'!E6</f>
        <v>3.8853830070328836</v>
      </c>
    </row>
    <row r="11" spans="1:5">
      <c r="A11" t="s">
        <v>119</v>
      </c>
      <c r="B11" s="28">
        <f>'IncomeStatement&amp;HorizontalAnaly'!B5/(('BalanceSheet&amp;HorizontalAnalysis'!B18+'BalanceSheet&amp;HorizontalAnalysis'!C18)/2)</f>
        <v>9.6679779701022817</v>
      </c>
      <c r="C11" s="28">
        <f>'IncomeStatement&amp;HorizontalAnaly'!C5/(('BalanceSheet&amp;HorizontalAnalysis'!C18+'BalanceSheet&amp;HorizontalAnalysis'!D18)/2)</f>
        <v>8.7086419753086428</v>
      </c>
      <c r="D11" s="28">
        <f>'IncomeStatement&amp;HorizontalAnaly'!D5/(('BalanceSheet&amp;HorizontalAnalysis'!D18+'BalanceSheet&amp;HorizontalAnalysis'!E18)/2)</f>
        <v>8.850132897158046</v>
      </c>
      <c r="E11" s="28">
        <f>'IncomeStatement&amp;HorizontalAnaly'!E5/(('BalanceSheet&amp;HorizontalAnalysis'!E18+'BalanceSheet&amp;HorizontalAnalysis'!F18)/2)</f>
        <v>17.93856954804739</v>
      </c>
    </row>
    <row r="13" spans="1:5">
      <c r="A13" s="21" t="s">
        <v>120</v>
      </c>
      <c r="B13" s="19">
        <f>365/B11</f>
        <v>37.753499348958336</v>
      </c>
      <c r="C13" s="19">
        <f t="shared" ref="C13:E13" si="0">365/C11</f>
        <v>41.912390133257723</v>
      </c>
      <c r="D13" s="19">
        <f t="shared" si="0"/>
        <v>41.242318532550939</v>
      </c>
      <c r="E13" s="19">
        <f t="shared" si="0"/>
        <v>20.347218824910719</v>
      </c>
    </row>
    <row r="15" spans="1:5" ht="30">
      <c r="A15" s="21" t="s">
        <v>121</v>
      </c>
      <c r="B15" s="20">
        <f xml:space="preserve"> B5 + B7 - B13</f>
        <v>97.402918320253747</v>
      </c>
      <c r="C15" s="20">
        <f xml:space="preserve"> C5 + C7 - C13</f>
        <v>104.36155741103164</v>
      </c>
      <c r="D15" s="20">
        <f xml:space="preserve"> D5 + D7 - D13</f>
        <v>86.777129949578836</v>
      </c>
      <c r="E15" s="20">
        <f xml:space="preserve"> E5 + E7 - E13</f>
        <v>108.67360379310031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2021-12-09T20:58:12Z</dcterms:created>
  <dcterms:modified xsi:type="dcterms:W3CDTF">2021-12-13T22:17:33Z</dcterms:modified>
  <cp:category/>
  <cp:contentStatus/>
</cp:coreProperties>
</file>