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projektowanie instalacji elektrycznych/"/>
    </mc:Choice>
  </mc:AlternateContent>
  <xr:revisionPtr revIDLastSave="385" documentId="11_AD4DADEC636C813AC809E417285D6FF05ADEDD8A" xr6:coauthVersionLast="45" xr6:coauthVersionMax="45" xr10:uidLastSave="{6318D239-7C1F-4AAE-BF0B-5A5BBC1E6AB0}"/>
  <bookViews>
    <workbookView xWindow="-25470" yWindow="7455" windowWidth="25815" windowHeight="14370" activeTab="2" xr2:uid="{00000000-000D-0000-FFFF-FFFF00000000}"/>
  </bookViews>
  <sheets>
    <sheet name="zestawienie mocy szczytowej" sheetId="3" r:id="rId1"/>
    <sheet name="obliczenia mocy szczytowych" sheetId="1" r:id="rId2"/>
    <sheet name="zestawienie-odbiorniko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3" i="3"/>
  <c r="B4" i="3"/>
  <c r="B2" i="3"/>
  <c r="C29" i="2"/>
  <c r="C28" i="2"/>
  <c r="C25" i="2"/>
  <c r="C34" i="2"/>
  <c r="C26" i="2"/>
  <c r="C22" i="2"/>
  <c r="D9" i="2"/>
  <c r="D8" i="2"/>
  <c r="B20" i="1" l="1"/>
  <c r="B22" i="1"/>
  <c r="G10" i="1"/>
  <c r="G12" i="1"/>
  <c r="H12" i="1"/>
  <c r="G11" i="1"/>
  <c r="H11" i="1"/>
  <c r="I12" i="1" l="1"/>
  <c r="I11" i="1"/>
  <c r="G2" i="1"/>
  <c r="H3" i="1" l="1"/>
  <c r="H4" i="1"/>
  <c r="H5" i="1"/>
  <c r="H6" i="1"/>
  <c r="H7" i="1"/>
  <c r="H8" i="1"/>
  <c r="H9" i="1"/>
  <c r="H10" i="1"/>
  <c r="H2" i="1"/>
  <c r="I2" i="1" s="1"/>
  <c r="G3" i="1"/>
  <c r="G4" i="1"/>
  <c r="G5" i="1"/>
  <c r="G6" i="1"/>
  <c r="G7" i="1"/>
  <c r="C9" i="1"/>
  <c r="G9" i="1" s="1"/>
  <c r="C8" i="1"/>
  <c r="I10" i="1" l="1"/>
  <c r="J12" i="1"/>
  <c r="J11" i="1"/>
  <c r="G8" i="1"/>
  <c r="G13" i="1" s="1"/>
  <c r="J2" i="1"/>
  <c r="I5" i="1"/>
  <c r="I9" i="1"/>
  <c r="I6" i="1"/>
  <c r="I8" i="1"/>
  <c r="I4" i="1"/>
  <c r="I7" i="1"/>
  <c r="I3" i="1"/>
  <c r="I13" i="1" l="1"/>
  <c r="B16" i="1" l="1"/>
  <c r="B17" i="1" s="1"/>
  <c r="B18" i="1"/>
  <c r="B23" i="1" l="1"/>
  <c r="B24" i="1" s="1"/>
  <c r="B25" i="1" l="1"/>
</calcChain>
</file>

<file path=xl/sharedStrings.xml><?xml version="1.0" encoding="utf-8"?>
<sst xmlns="http://schemas.openxmlformats.org/spreadsheetml/2006/main" count="155" uniqueCount="125">
  <si>
    <t>Urządzenie</t>
  </si>
  <si>
    <t>cosfi</t>
  </si>
  <si>
    <t>ilość</t>
  </si>
  <si>
    <t>Jednostka wentylacyjna</t>
  </si>
  <si>
    <t>Lp</t>
  </si>
  <si>
    <t>Moc znamionowa [kW]</t>
  </si>
  <si>
    <t>Piec saunowy</t>
  </si>
  <si>
    <t>Bojler</t>
  </si>
  <si>
    <t>Suszarki do włosów</t>
  </si>
  <si>
    <t>Klimatyzator - jedn. Zewn.</t>
  </si>
  <si>
    <t>kj</t>
  </si>
  <si>
    <t>Grzejniki elektryczne</t>
  </si>
  <si>
    <t>Gniazda 1-fazowe</t>
  </si>
  <si>
    <t>Gniazda 3-fazowe</t>
  </si>
  <si>
    <t>P</t>
  </si>
  <si>
    <t>Q</t>
  </si>
  <si>
    <t>tg fi</t>
  </si>
  <si>
    <t>Suma</t>
  </si>
  <si>
    <t>Kompensacja mocy biernej</t>
  </si>
  <si>
    <t>Qk</t>
  </si>
  <si>
    <t>Moc bierna do skompensowania</t>
  </si>
  <si>
    <t>Aktualne tg fi</t>
  </si>
  <si>
    <t>aktualne cos fi</t>
  </si>
  <si>
    <t>Pozorna moc szczytowa</t>
  </si>
  <si>
    <t>Olmex BK-55 30/5</t>
  </si>
  <si>
    <t>kvar</t>
  </si>
  <si>
    <t>-</t>
  </si>
  <si>
    <t>kVA</t>
  </si>
  <si>
    <t>po kompensacji</t>
  </si>
  <si>
    <t>Dopuszczalne max tg fi</t>
  </si>
  <si>
    <t>Kolumna1</t>
  </si>
  <si>
    <t>Oprawy ESSYSTEM</t>
  </si>
  <si>
    <t>Oprawy Luxiona</t>
  </si>
  <si>
    <t>Oprawy SOLAR</t>
  </si>
  <si>
    <t>Typ urządzenia</t>
  </si>
  <si>
    <t>Model</t>
  </si>
  <si>
    <t>Ilość</t>
  </si>
  <si>
    <t>Kryterium doboru</t>
  </si>
  <si>
    <t>Karta katalogowa</t>
  </si>
  <si>
    <t>Daikin D-AHU Modular R 5</t>
  </si>
  <si>
    <t>Obliczenia na podstawie https://wentylacja.com.pl/news/wentylacja-w-silowni-i-klubie-fitness-64652.html</t>
  </si>
  <si>
    <t>https://www.daikin.pl/content/dam/internet-denv/catalogues_brochures/industrial/810_Air%20handling%20units_Product%20catalogue.pdf</t>
  </si>
  <si>
    <t>Harvia Profi L30 + Harvia C260-34</t>
  </si>
  <si>
    <t>Kubatura 5x5x2=50m^2</t>
  </si>
  <si>
    <t>https://www.saunahome.pl/harvia-profi-l30-p-157.html</t>
  </si>
  <si>
    <t>Atlantic Cortherm 1000L</t>
  </si>
  <si>
    <t>Duża liczba pryszniców</t>
  </si>
  <si>
    <t>https://www.atlantic-polska.pl/ogrzewacz-wody/cortherm/</t>
  </si>
  <si>
    <t>Bieżnia</t>
  </si>
  <si>
    <t>inSPORTline Gardian G12 2020</t>
  </si>
  <si>
    <t>Rower treningowy</t>
  </si>
  <si>
    <t>inSPORTline Gemini B200</t>
  </si>
  <si>
    <t>Zerowy pobór mocy, rower magnetyczny</t>
  </si>
  <si>
    <t>https://www.e-insportline.pl/23768/profesjonalny-rower-treningowy-insportline-gemini-b200-z-generatorem-energii-do-klubu</t>
  </si>
  <si>
    <t>Gniazda 1-fazowe 16A</t>
  </si>
  <si>
    <t>Ospel GP-1UZ/m + GPH-1UZ/m</t>
  </si>
  <si>
    <t>https://www.ospel.pl/gniazdo-bryzgoszczelne-z-uziemieniem-ip-44-wieczko-przezroczyste-6</t>
  </si>
  <si>
    <t>Gniazda 3-fazowe 32A</t>
  </si>
  <si>
    <t>PCE 525-6</t>
  </si>
  <si>
    <t>N/D</t>
  </si>
  <si>
    <t>https://www.pce.pl/images/karty%20pdf/525-6PL.pdf</t>
  </si>
  <si>
    <t>faneco JUGA</t>
  </si>
  <si>
    <t>https://faneco.com/suszarka-do-wlosow-1000-w-juga.html</t>
  </si>
  <si>
    <t>Klima - jednostka zewnętrzna</t>
  </si>
  <si>
    <t>Samsung AC250KXAPNH/EU</t>
  </si>
  <si>
    <t>Przepływ powietrza, jak w siłce + po 1 klimie na szatnię</t>
  </si>
  <si>
    <t>Klima - jednostki wewnętrzne</t>
  </si>
  <si>
    <t>Samsung AM060NNNDEH/EU</t>
  </si>
  <si>
    <t>Grzejniki elektryczne do łazienek</t>
  </si>
  <si>
    <t>Zehnder ZN-170-075</t>
  </si>
  <si>
    <t>https://muratordom.pl/instalacje/ogrzewanie-elektryczne/moc-grzejnika-elektrycznego-jak-dobrac-do-pomieszczenia-aa-SzJF-xUCC-kEsd.html</t>
  </si>
  <si>
    <t>Dobór wentylacji</t>
  </si>
  <si>
    <t>Parametr</t>
  </si>
  <si>
    <t>Wartość</t>
  </si>
  <si>
    <t>Jednostka</t>
  </si>
  <si>
    <t>Komentarz</t>
  </si>
  <si>
    <t>Liczba osób na siłce</t>
  </si>
  <si>
    <t>os.</t>
  </si>
  <si>
    <t>Ilość powietrza</t>
  </si>
  <si>
    <t>m^3/(h*os.)</t>
  </si>
  <si>
    <t>Min. Strumień</t>
  </si>
  <si>
    <t>m^3/h</t>
  </si>
  <si>
    <t>Dobór klimatyzacji</t>
  </si>
  <si>
    <t>Moc  chłodzenia klimy: 28,5kW</t>
  </si>
  <si>
    <t>Dobór grzejników do łazienek</t>
  </si>
  <si>
    <t>Pow. Łazienki</t>
  </si>
  <si>
    <t>m^2</t>
  </si>
  <si>
    <t>Moc na mkw</t>
  </si>
  <si>
    <t>W/m^2</t>
  </si>
  <si>
    <t>W</t>
  </si>
  <si>
    <t>Oświetlenie typ 1</t>
  </si>
  <si>
    <t>Oświetlenie typ 2</t>
  </si>
  <si>
    <t>Oświetlenie typ 3</t>
  </si>
  <si>
    <t>ESSYSTEM Bracket 2</t>
  </si>
  <si>
    <t>Luxiona RUBIN LOOK LED</t>
  </si>
  <si>
    <t>SOLAR WALLF. SAUNA HEATWALL BS 927</t>
  </si>
  <si>
    <t>DIALUX</t>
  </si>
  <si>
    <t>10 bieżni, 10 innych maszyn, 5 pracowników, 5 osób w saunie, 20 osób w szatniach i łazienkach łącznie</t>
  </si>
  <si>
    <t>Zapotrzebowanie w przypadku siłowni</t>
  </si>
  <si>
    <t>Lista urządzeń</t>
  </si>
  <si>
    <t>Kubatura siłki</t>
  </si>
  <si>
    <t xml:space="preserve">Kubatura szatni: </t>
  </si>
  <si>
    <t>Minimalna moc chłodzenia</t>
  </si>
  <si>
    <t>m^3</t>
  </si>
  <si>
    <t>P klimy w siłce</t>
  </si>
  <si>
    <t>P klimy w szatni</t>
  </si>
  <si>
    <t>W/m^3</t>
  </si>
  <si>
    <t>Dobór jednostki dla szatni, z zapasem</t>
  </si>
  <si>
    <t>Dobrana klimatyzacja:</t>
  </si>
  <si>
    <t>Samsung, 28,5kW</t>
  </si>
  <si>
    <t>Moce szczytowe zakładu</t>
  </si>
  <si>
    <t>Moc czynna</t>
  </si>
  <si>
    <t>Moc bierna</t>
  </si>
  <si>
    <t>Moc pozorna</t>
  </si>
  <si>
    <t>cos fi</t>
  </si>
  <si>
    <t>kW</t>
  </si>
  <si>
    <t>Qsk</t>
  </si>
  <si>
    <t>Ssk</t>
  </si>
  <si>
    <t>Ss</t>
  </si>
  <si>
    <t>cos fi s</t>
  </si>
  <si>
    <t>tg fi s</t>
  </si>
  <si>
    <t>tg fi dop</t>
  </si>
  <si>
    <t>Kompensator</t>
  </si>
  <si>
    <t>cos fi sk</t>
  </si>
  <si>
    <t>tg fi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</si>
</sst>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NumberFormat="1"/>
    <xf numFmtId="165" fontId="0" fillId="0" borderId="0" xfId="0" applyNumberFormat="1"/>
    <xf numFmtId="0" fontId="3" fillId="0" borderId="0" xfId="2" applyFont="1"/>
    <xf numFmtId="0" fontId="2" fillId="0" borderId="0" xfId="2"/>
    <xf numFmtId="0" fontId="5" fillId="0" borderId="0" xfId="3"/>
    <xf numFmtId="0" fontId="4" fillId="0" borderId="0" xfId="1"/>
    <xf numFmtId="164" fontId="2" fillId="0" borderId="0" xfId="0" applyNumberFormat="1" applyFont="1"/>
    <xf numFmtId="0" fontId="1" fillId="0" borderId="0" xfId="2" applyFont="1"/>
  </cellXfs>
  <cellStyles count="4">
    <cellStyle name="Hiperłącze 2" xfId="3" xr:uid="{CF44E785-F2F7-4715-A9AD-D0A591F6DB07}"/>
    <cellStyle name="Normalny" xfId="0" builtinId="0"/>
    <cellStyle name="Normalny 2" xfId="2" xr:uid="{5896351A-6F42-4657-A96D-B96940EFEA22}"/>
    <cellStyle name="Tytuł" xfId="1" builtinId="15"/>
  </cellStyles>
  <dxfs count="7">
    <dxf>
      <numFmt numFmtId="0" formatCode="General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13</xdr:col>
      <xdr:colOff>229874</xdr:colOff>
      <xdr:row>68</xdr:row>
      <xdr:rowOff>181931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BB7F965-569C-4F29-9512-28EB55CB1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0"/>
          <a:ext cx="9126224" cy="68494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0D185-B79E-43DC-912B-FB9372786729}" name="Tabela1" displayName="Tabela1" ref="A1:J13" totalsRowCount="1" headerRowDxfId="6">
  <autoFilter ref="A1:J12" xr:uid="{5CAF98D0-687D-47B3-A4B3-7413596978A9}"/>
  <tableColumns count="10">
    <tableColumn id="1" xr3:uid="{C676DBAA-369B-4779-B48B-DAED9238CA11}" name="Lp" totalsRowLabel="Suma"/>
    <tableColumn id="2" xr3:uid="{F9DB9EB7-09ED-46AF-82A9-F047DB404D71}" name="Urządzenie"/>
    <tableColumn id="3" xr3:uid="{13D4980E-72E7-47FA-9973-4F8F5862D0AD}" name="Moc znamionowa [kW]"/>
    <tableColumn id="4" xr3:uid="{3E7E7E6B-A9D2-4106-93DF-E196383EFEBE}" name="cosfi"/>
    <tableColumn id="5" xr3:uid="{7C09E2EE-EACD-4652-AAE7-D5F2444E22CA}" name="ilość"/>
    <tableColumn id="6" xr3:uid="{B1FEBA27-F642-407C-8F1E-E8229F9AB5B8}" name="kj"/>
    <tableColumn id="7" xr3:uid="{7163FB0A-7DD6-45BA-830D-567FDD9CCBC1}" name="P" totalsRowFunction="sum" dataDxfId="5" totalsRowDxfId="4">
      <calculatedColumnFormula>F2*E2*C2</calculatedColumnFormula>
    </tableColumn>
    <tableColumn id="8" xr3:uid="{E32FE0E6-2B62-443B-B6A7-206A03F48D61}" name="tg fi" dataDxfId="3">
      <calculatedColumnFormula>SIN(ACOS(D2))/D2</calculatedColumnFormula>
    </tableColumn>
    <tableColumn id="9" xr3:uid="{E2E2D885-56BD-4B74-A6E8-8FFF8BFBFB15}" name="Q" totalsRowFunction="sum" dataDxfId="2" totalsRowDxfId="1">
      <calculatedColumnFormula>H2*G2</calculatedColumnFormula>
    </tableColumn>
    <tableColumn id="10" xr3:uid="{BE13B560-3889-413E-B0C5-324A3562C191}" name="Kolumna1" dataDxfId="0">
      <calculatedColumnFormula>SUMPRODUCT(Tabela1[Moc znamionowa '[kW']],Tabela1[ilość])*0.7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tlantic-polska.pl/ogrzewacz-wody/cortherm/" TargetMode="External"/><Relationship Id="rId7" Type="http://schemas.openxmlformats.org/officeDocument/2006/relationships/hyperlink" Target="https://muratordom.pl/instalacje/ogrzewanie-elektryczne/moc-grzejnika-elektrycznego-jak-dobrac-do-pomieszczenia-aa-SzJF-xUCC-kEsd.html" TargetMode="External"/><Relationship Id="rId2" Type="http://schemas.openxmlformats.org/officeDocument/2006/relationships/hyperlink" Target="https://www.saunahome.pl/harvia-profi-l30-p-157.html" TargetMode="External"/><Relationship Id="rId1" Type="http://schemas.openxmlformats.org/officeDocument/2006/relationships/hyperlink" Target="https://www.e-insportline.pl/23768/profesjonalny-rower-treningowy-insportline-gemini-b200-z-generatorem-energii-do-klubu" TargetMode="External"/><Relationship Id="rId6" Type="http://schemas.openxmlformats.org/officeDocument/2006/relationships/hyperlink" Target="https://www.daikin.pl/content/dam/internet-denv/catalogues_brochures/industrial/810_Air%20handling%20units_Product%20catalogue.pdf" TargetMode="External"/><Relationship Id="rId5" Type="http://schemas.openxmlformats.org/officeDocument/2006/relationships/hyperlink" Target="https://www.pce.pl/images/karty%20pdf/525-6PL.pdf" TargetMode="External"/><Relationship Id="rId4" Type="http://schemas.openxmlformats.org/officeDocument/2006/relationships/hyperlink" Target="https://www.ospel.pl/gniazdo-bryzgoszczelne-z-uziemieniem-ip-44-wieczko-przezroczyste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0CDD-93F1-4C36-80A3-32A1873E973F}">
  <dimension ref="A1:C6"/>
  <sheetViews>
    <sheetView workbookViewId="0">
      <selection activeCell="A3" sqref="A3"/>
    </sheetView>
  </sheetViews>
  <sheetFormatPr defaultRowHeight="15" x14ac:dyDescent="0.25"/>
  <cols>
    <col min="1" max="1" width="35.7109375" bestFit="1" customWidth="1"/>
  </cols>
  <sheetData>
    <row r="1" spans="1:3" ht="23.25" x14ac:dyDescent="0.35">
      <c r="A1" s="10" t="s">
        <v>110</v>
      </c>
    </row>
    <row r="2" spans="1:3" x14ac:dyDescent="0.25">
      <c r="A2" s="4" t="s">
        <v>111</v>
      </c>
      <c r="B2" s="2">
        <f>Tabela1[[#Totals],[P]]</f>
        <v>87.970975101064482</v>
      </c>
      <c r="C2" t="s">
        <v>115</v>
      </c>
    </row>
    <row r="3" spans="1:3" x14ac:dyDescent="0.25">
      <c r="A3" s="4" t="s">
        <v>112</v>
      </c>
      <c r="B3" s="2">
        <f>'obliczenia mocy szczytowych'!B22</f>
        <v>31.515638179346716</v>
      </c>
      <c r="C3" t="s">
        <v>25</v>
      </c>
    </row>
    <row r="4" spans="1:3" x14ac:dyDescent="0.25">
      <c r="A4" s="4" t="s">
        <v>113</v>
      </c>
      <c r="B4" s="2">
        <f>'obliczenia mocy szczytowych'!B23</f>
        <v>93.445855499768442</v>
      </c>
      <c r="C4" t="s">
        <v>27</v>
      </c>
    </row>
    <row r="5" spans="1:3" x14ac:dyDescent="0.25">
      <c r="A5" s="4" t="s">
        <v>114</v>
      </c>
      <c r="B5" s="6">
        <f>'obliczenia mocy szczytowych'!B24</f>
        <v>0.94141120149820312</v>
      </c>
      <c r="C5" t="s">
        <v>26</v>
      </c>
    </row>
    <row r="6" spans="1:3" x14ac:dyDescent="0.25">
      <c r="A6" s="4" t="s">
        <v>16</v>
      </c>
      <c r="B6" s="6">
        <f>'obliczenia mocy szczytowych'!B25</f>
        <v>0.33726095192552241</v>
      </c>
      <c r="C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D26" sqref="D26"/>
    </sheetView>
  </sheetViews>
  <sheetFormatPr defaultRowHeight="15" x14ac:dyDescent="0.25"/>
  <cols>
    <col min="2" max="2" width="24.7109375" customWidth="1"/>
    <col min="3" max="3" width="23.5703125" customWidth="1"/>
    <col min="4" max="4" width="7.28515625" customWidth="1"/>
    <col min="5" max="5" width="8.7109375" customWidth="1"/>
    <col min="6" max="6" width="5.140625" customWidth="1"/>
  </cols>
  <sheetData>
    <row r="1" spans="1:10" x14ac:dyDescent="0.25">
      <c r="A1" s="4" t="s">
        <v>4</v>
      </c>
      <c r="B1" s="4" t="s">
        <v>0</v>
      </c>
      <c r="C1" s="4" t="s">
        <v>5</v>
      </c>
      <c r="D1" s="4" t="s">
        <v>1</v>
      </c>
      <c r="E1" s="4" t="s">
        <v>2</v>
      </c>
      <c r="F1" s="4" t="s">
        <v>10</v>
      </c>
      <c r="G1" s="4" t="s">
        <v>14</v>
      </c>
      <c r="H1" s="4" t="s">
        <v>16</v>
      </c>
      <c r="I1" s="4" t="s">
        <v>15</v>
      </c>
      <c r="J1" s="4" t="s">
        <v>30</v>
      </c>
    </row>
    <row r="2" spans="1:10" x14ac:dyDescent="0.25">
      <c r="A2">
        <v>1</v>
      </c>
      <c r="B2" t="s">
        <v>3</v>
      </c>
      <c r="C2">
        <v>2.6</v>
      </c>
      <c r="D2">
        <v>0.8</v>
      </c>
      <c r="E2">
        <v>1</v>
      </c>
      <c r="F2">
        <v>1</v>
      </c>
      <c r="G2" s="2">
        <f>F2*E2*C2</f>
        <v>2.6</v>
      </c>
      <c r="H2" s="1">
        <f>SIN(ACOS(D2))/D2</f>
        <v>0.74999999999999978</v>
      </c>
      <c r="I2" s="2">
        <f>H2*G2</f>
        <v>1.9499999999999995</v>
      </c>
      <c r="J2">
        <f>SUMPRODUCT(Tabela1[Moc znamionowa '[kW']],Tabela1[ilość])*0.7</f>
        <v>144.45646285372572</v>
      </c>
    </row>
    <row r="3" spans="1:10" x14ac:dyDescent="0.25">
      <c r="A3">
        <v>2</v>
      </c>
      <c r="B3" t="s">
        <v>6</v>
      </c>
      <c r="C3">
        <v>30</v>
      </c>
      <c r="D3">
        <v>1</v>
      </c>
      <c r="E3">
        <v>1</v>
      </c>
      <c r="F3">
        <v>1</v>
      </c>
      <c r="G3" s="2">
        <f t="shared" ref="G3:G9" si="0">F3*E3*C3</f>
        <v>30</v>
      </c>
      <c r="H3" s="1">
        <f t="shared" ref="H3:H10" si="1">SIN(ACOS(D3))/D3</f>
        <v>0</v>
      </c>
      <c r="I3" s="2">
        <f t="shared" ref="I3:I9" si="2">H3*G3</f>
        <v>0</v>
      </c>
    </row>
    <row r="4" spans="1:10" x14ac:dyDescent="0.25">
      <c r="A4">
        <v>3</v>
      </c>
      <c r="B4" t="s">
        <v>7</v>
      </c>
      <c r="C4">
        <v>9</v>
      </c>
      <c r="D4">
        <v>1</v>
      </c>
      <c r="E4">
        <v>1</v>
      </c>
      <c r="F4">
        <v>1</v>
      </c>
      <c r="G4" s="2">
        <f t="shared" si="0"/>
        <v>9</v>
      </c>
      <c r="H4" s="1">
        <f t="shared" si="1"/>
        <v>0</v>
      </c>
      <c r="I4" s="2">
        <f t="shared" si="2"/>
        <v>0</v>
      </c>
    </row>
    <row r="5" spans="1:10" x14ac:dyDescent="0.25">
      <c r="A5">
        <v>4</v>
      </c>
      <c r="B5" t="s">
        <v>8</v>
      </c>
      <c r="C5">
        <v>1</v>
      </c>
      <c r="D5">
        <v>1</v>
      </c>
      <c r="E5">
        <v>4</v>
      </c>
      <c r="F5">
        <v>0.2</v>
      </c>
      <c r="G5" s="2">
        <f t="shared" si="0"/>
        <v>0.8</v>
      </c>
      <c r="H5" s="1">
        <f t="shared" si="1"/>
        <v>0</v>
      </c>
      <c r="I5" s="2">
        <f t="shared" si="2"/>
        <v>0</v>
      </c>
    </row>
    <row r="6" spans="1:10" x14ac:dyDescent="0.25">
      <c r="A6">
        <v>5</v>
      </c>
      <c r="B6" t="s">
        <v>9</v>
      </c>
      <c r="C6">
        <v>12</v>
      </c>
      <c r="D6">
        <v>0.8</v>
      </c>
      <c r="E6">
        <v>1</v>
      </c>
      <c r="F6">
        <v>1</v>
      </c>
      <c r="G6" s="2">
        <f t="shared" si="0"/>
        <v>12</v>
      </c>
      <c r="H6" s="1">
        <f t="shared" si="1"/>
        <v>0.74999999999999978</v>
      </c>
      <c r="I6" s="2">
        <f t="shared" si="2"/>
        <v>8.9999999999999964</v>
      </c>
    </row>
    <row r="7" spans="1:10" x14ac:dyDescent="0.25">
      <c r="A7">
        <v>6</v>
      </c>
      <c r="B7" t="s">
        <v>11</v>
      </c>
      <c r="C7">
        <v>1.2</v>
      </c>
      <c r="D7">
        <v>1</v>
      </c>
      <c r="E7">
        <v>2</v>
      </c>
      <c r="F7">
        <v>1</v>
      </c>
      <c r="G7" s="2">
        <f t="shared" si="0"/>
        <v>2.4</v>
      </c>
      <c r="H7" s="1">
        <f t="shared" si="1"/>
        <v>0</v>
      </c>
      <c r="I7" s="2">
        <f t="shared" si="2"/>
        <v>0</v>
      </c>
    </row>
    <row r="8" spans="1:10" x14ac:dyDescent="0.25">
      <c r="A8">
        <v>7</v>
      </c>
      <c r="B8" t="s">
        <v>12</v>
      </c>
      <c r="C8">
        <f>230*16/1000</f>
        <v>3.68</v>
      </c>
      <c r="D8">
        <v>0.5</v>
      </c>
      <c r="E8">
        <v>30</v>
      </c>
      <c r="F8">
        <v>0.2</v>
      </c>
      <c r="G8" s="2">
        <f t="shared" si="0"/>
        <v>22.080000000000002</v>
      </c>
      <c r="H8" s="1">
        <f t="shared" si="1"/>
        <v>1.7320508075688772</v>
      </c>
      <c r="I8" s="2">
        <f t="shared" si="2"/>
        <v>38.24368183112081</v>
      </c>
    </row>
    <row r="9" spans="1:10" x14ac:dyDescent="0.25">
      <c r="A9">
        <v>8</v>
      </c>
      <c r="B9" t="s">
        <v>13</v>
      </c>
      <c r="C9" s="3">
        <f>400*16*SQRT(3)/1000</f>
        <v>11.085125168440815</v>
      </c>
      <c r="D9">
        <v>0.5</v>
      </c>
      <c r="E9">
        <v>3</v>
      </c>
      <c r="F9">
        <v>0.2</v>
      </c>
      <c r="G9" s="2">
        <f t="shared" si="0"/>
        <v>6.6510751010644897</v>
      </c>
      <c r="H9" s="1">
        <f t="shared" si="1"/>
        <v>1.7320508075688772</v>
      </c>
      <c r="I9" s="2">
        <f t="shared" si="2"/>
        <v>11.520000000000001</v>
      </c>
    </row>
    <row r="10" spans="1:10" x14ac:dyDescent="0.25">
      <c r="A10">
        <v>9</v>
      </c>
      <c r="B10" t="s">
        <v>31</v>
      </c>
      <c r="C10">
        <v>3.5999999999999997E-2</v>
      </c>
      <c r="D10">
        <v>0.95</v>
      </c>
      <c r="E10">
        <v>52</v>
      </c>
      <c r="F10">
        <v>0.9</v>
      </c>
      <c r="G10" s="2">
        <f>F10*E10*C10</f>
        <v>1.6848000000000001</v>
      </c>
      <c r="H10" s="1">
        <f t="shared" si="1"/>
        <v>0.32868410517886321</v>
      </c>
      <c r="I10" s="2">
        <f>H10*G10</f>
        <v>0.55376698040534877</v>
      </c>
    </row>
    <row r="11" spans="1:10" x14ac:dyDescent="0.25">
      <c r="A11">
        <v>10</v>
      </c>
      <c r="B11" t="s">
        <v>32</v>
      </c>
      <c r="C11">
        <v>7.6999999999999999E-2</v>
      </c>
      <c r="D11">
        <v>0.95</v>
      </c>
      <c r="E11">
        <v>7</v>
      </c>
      <c r="F11">
        <v>0.9</v>
      </c>
      <c r="G11" s="2">
        <f>F11*E11*C11</f>
        <v>0.48509999999999998</v>
      </c>
      <c r="H11" s="1">
        <f>SIN(ACOS(D11))/D11</f>
        <v>0.32868410517886321</v>
      </c>
      <c r="I11" s="2">
        <f>H11*G11</f>
        <v>0.15944465942226654</v>
      </c>
      <c r="J11" s="5">
        <f>SUMPRODUCT(Tabela1[Moc znamionowa '[kW']],Tabela1[ilość])*0.7</f>
        <v>144.45646285372572</v>
      </c>
    </row>
    <row r="12" spans="1:10" x14ac:dyDescent="0.25">
      <c r="A12">
        <v>11</v>
      </c>
      <c r="B12" t="s">
        <v>33</v>
      </c>
      <c r="C12">
        <v>7.4999999999999997E-2</v>
      </c>
      <c r="D12">
        <v>0.95</v>
      </c>
      <c r="E12">
        <v>4</v>
      </c>
      <c r="F12">
        <v>0.9</v>
      </c>
      <c r="G12" s="2">
        <f>F12*E12*C12</f>
        <v>0.27</v>
      </c>
      <c r="H12" s="1">
        <f>SIN(ACOS(D12))/D12</f>
        <v>0.32868410517886321</v>
      </c>
      <c r="I12" s="2">
        <f>H12*G12</f>
        <v>8.8744708398293071E-2</v>
      </c>
      <c r="J12" s="5">
        <f>SUMPRODUCT(Tabela1[Moc znamionowa '[kW']],Tabela1[ilość])*0.7</f>
        <v>144.45646285372572</v>
      </c>
    </row>
    <row r="13" spans="1:10" x14ac:dyDescent="0.25">
      <c r="A13" t="s">
        <v>17</v>
      </c>
      <c r="G13" s="2">
        <f>SUBTOTAL(109,Tabela1[P])</f>
        <v>87.970975101064482</v>
      </c>
      <c r="I13" s="2">
        <f>SUBTOTAL(109,Tabela1[Q])</f>
        <v>61.515638179346716</v>
      </c>
    </row>
    <row r="15" spans="1:10" x14ac:dyDescent="0.25">
      <c r="A15" s="4" t="s">
        <v>18</v>
      </c>
      <c r="B15" s="4"/>
    </row>
    <row r="16" spans="1:10" x14ac:dyDescent="0.25">
      <c r="A16" s="4" t="s">
        <v>118</v>
      </c>
      <c r="B16" s="11">
        <f>SQRT(Tabela1[[#Totals],[P]]^2+Tabela1[[#Totals],[Q]]^2)</f>
        <v>107.34554578949424</v>
      </c>
      <c r="C16" t="s">
        <v>27</v>
      </c>
      <c r="D16" t="s">
        <v>23</v>
      </c>
    </row>
    <row r="17" spans="1:4" x14ac:dyDescent="0.25">
      <c r="A17" s="4" t="s">
        <v>119</v>
      </c>
      <c r="B17" s="6">
        <f>Tabela1[[#Totals],[P]]/B16</f>
        <v>0.81951211346557873</v>
      </c>
      <c r="C17" t="s">
        <v>26</v>
      </c>
      <c r="D17" t="s">
        <v>22</v>
      </c>
    </row>
    <row r="18" spans="1:4" x14ac:dyDescent="0.25">
      <c r="A18" s="4" t="s">
        <v>120</v>
      </c>
      <c r="B18" s="1">
        <f>Tabela1[[#Totals],[Q]]/Tabela1[[#Totals],[P]]</f>
        <v>0.69927198270424029</v>
      </c>
      <c r="C18" t="s">
        <v>26</v>
      </c>
      <c r="D18" t="s">
        <v>21</v>
      </c>
    </row>
    <row r="19" spans="1:4" x14ac:dyDescent="0.25">
      <c r="A19" s="4" t="s">
        <v>121</v>
      </c>
      <c r="B19" s="1">
        <v>0.4</v>
      </c>
      <c r="C19" t="s">
        <v>26</v>
      </c>
      <c r="D19" t="s">
        <v>29</v>
      </c>
    </row>
    <row r="20" spans="1:4" x14ac:dyDescent="0.25">
      <c r="A20" s="4" t="s">
        <v>19</v>
      </c>
      <c r="B20">
        <f>Tabela1[[#Totals],[P]]*(B18-B19)</f>
        <v>26.327248138920922</v>
      </c>
      <c r="C20" t="s">
        <v>25</v>
      </c>
      <c r="D20" t="s">
        <v>20</v>
      </c>
    </row>
    <row r="21" spans="1:4" x14ac:dyDescent="0.25">
      <c r="A21" s="4" t="s">
        <v>122</v>
      </c>
      <c r="B21">
        <v>30</v>
      </c>
      <c r="C21" t="s">
        <v>25</v>
      </c>
      <c r="D21" t="s">
        <v>24</v>
      </c>
    </row>
    <row r="22" spans="1:4" x14ac:dyDescent="0.25">
      <c r="A22" s="4" t="s">
        <v>116</v>
      </c>
      <c r="B22" s="2">
        <f>Tabela1[[#Totals],[Q]]-B21</f>
        <v>31.515638179346716</v>
      </c>
      <c r="C22" t="s">
        <v>25</v>
      </c>
      <c r="D22" t="s">
        <v>28</v>
      </c>
    </row>
    <row r="23" spans="1:4" x14ac:dyDescent="0.25">
      <c r="A23" s="4" t="s">
        <v>117</v>
      </c>
      <c r="B23" s="2">
        <f>SQRT(Tabela1[[#Totals],[P]]^2+B22^2)</f>
        <v>93.445855499768442</v>
      </c>
      <c r="C23" t="s">
        <v>27</v>
      </c>
      <c r="D23" t="s">
        <v>28</v>
      </c>
    </row>
    <row r="24" spans="1:4" x14ac:dyDescent="0.25">
      <c r="A24" s="4" t="s">
        <v>123</v>
      </c>
      <c r="B24" s="6">
        <f>Tabela1[[#Totals],[P]]/B23</f>
        <v>0.94141120149820312</v>
      </c>
      <c r="C24" t="s">
        <v>26</v>
      </c>
      <c r="D24" t="s">
        <v>28</v>
      </c>
    </row>
    <row r="25" spans="1:4" x14ac:dyDescent="0.25">
      <c r="A25" s="4" t="s">
        <v>124</v>
      </c>
      <c r="B25" s="1">
        <f>B22/B23</f>
        <v>0.33726095192552241</v>
      </c>
      <c r="C25" t="s">
        <v>26</v>
      </c>
      <c r="D25" t="s">
        <v>28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B108-4A54-4879-8B00-BF8077F6F938}">
  <dimension ref="A1:G34"/>
  <sheetViews>
    <sheetView tabSelected="1" workbookViewId="0">
      <selection activeCell="C12" sqref="C12"/>
    </sheetView>
  </sheetViews>
  <sheetFormatPr defaultRowHeight="15" x14ac:dyDescent="0.25"/>
  <cols>
    <col min="1" max="1" width="5.5703125" style="8" customWidth="1"/>
    <col min="2" max="2" width="22.42578125" style="8" bestFit="1" customWidth="1"/>
    <col min="3" max="3" width="30.28515625" style="8" customWidth="1"/>
    <col min="4" max="4" width="20.5703125" style="8" customWidth="1"/>
    <col min="5" max="5" width="7.140625" style="8" customWidth="1"/>
    <col min="6" max="6" width="16.85546875" style="8" bestFit="1" customWidth="1"/>
    <col min="7" max="7" width="16.28515625" style="8" bestFit="1" customWidth="1"/>
    <col min="8" max="16384" width="9.140625" style="8"/>
  </cols>
  <sheetData>
    <row r="1" spans="1:7" ht="23.25" x14ac:dyDescent="0.35">
      <c r="B1" s="10" t="s">
        <v>99</v>
      </c>
    </row>
    <row r="2" spans="1:7" x14ac:dyDescent="0.25">
      <c r="A2" s="7" t="s">
        <v>4</v>
      </c>
      <c r="B2" s="7" t="s">
        <v>34</v>
      </c>
      <c r="C2" s="7" t="s">
        <v>35</v>
      </c>
      <c r="D2" s="7" t="s">
        <v>5</v>
      </c>
      <c r="E2" s="7" t="s">
        <v>36</v>
      </c>
      <c r="F2" s="7" t="s">
        <v>37</v>
      </c>
      <c r="G2" s="7" t="s">
        <v>38</v>
      </c>
    </row>
    <row r="3" spans="1:7" x14ac:dyDescent="0.25">
      <c r="A3" s="8">
        <v>1</v>
      </c>
      <c r="B3" s="8" t="s">
        <v>3</v>
      </c>
      <c r="C3" s="8" t="s">
        <v>39</v>
      </c>
      <c r="D3" s="8">
        <v>2.6</v>
      </c>
      <c r="E3" s="8">
        <v>1</v>
      </c>
      <c r="F3" s="8" t="s">
        <v>40</v>
      </c>
      <c r="G3" s="9" t="s">
        <v>41</v>
      </c>
    </row>
    <row r="4" spans="1:7" x14ac:dyDescent="0.25">
      <c r="A4" s="8">
        <v>2</v>
      </c>
      <c r="B4" s="8" t="s">
        <v>6</v>
      </c>
      <c r="C4" s="8" t="s">
        <v>42</v>
      </c>
      <c r="D4" s="8">
        <v>30</v>
      </c>
      <c r="E4" s="8">
        <v>1</v>
      </c>
      <c r="F4" s="8" t="s">
        <v>43</v>
      </c>
      <c r="G4" s="9" t="s">
        <v>44</v>
      </c>
    </row>
    <row r="5" spans="1:7" x14ac:dyDescent="0.25">
      <c r="A5" s="8">
        <v>3</v>
      </c>
      <c r="B5" s="8" t="s">
        <v>7</v>
      </c>
      <c r="C5" s="8" t="s">
        <v>45</v>
      </c>
      <c r="D5" s="8">
        <v>9</v>
      </c>
      <c r="E5" s="8">
        <v>1</v>
      </c>
      <c r="F5" s="8" t="s">
        <v>46</v>
      </c>
      <c r="G5" s="9" t="s">
        <v>47</v>
      </c>
    </row>
    <row r="6" spans="1:7" x14ac:dyDescent="0.25">
      <c r="A6" s="8">
        <v>4</v>
      </c>
      <c r="B6" s="8" t="s">
        <v>48</v>
      </c>
      <c r="C6" s="8" t="s">
        <v>49</v>
      </c>
      <c r="E6" s="8">
        <v>10</v>
      </c>
    </row>
    <row r="7" spans="1:7" x14ac:dyDescent="0.25">
      <c r="A7" s="8">
        <v>5</v>
      </c>
      <c r="B7" s="8" t="s">
        <v>50</v>
      </c>
      <c r="C7" s="8" t="s">
        <v>51</v>
      </c>
      <c r="D7" s="8">
        <v>0</v>
      </c>
      <c r="E7" s="8">
        <v>3</v>
      </c>
      <c r="F7" s="8" t="s">
        <v>52</v>
      </c>
      <c r="G7" s="9" t="s">
        <v>53</v>
      </c>
    </row>
    <row r="8" spans="1:7" x14ac:dyDescent="0.25">
      <c r="A8" s="8">
        <v>6</v>
      </c>
      <c r="B8" s="8" t="s">
        <v>54</v>
      </c>
      <c r="C8" s="8" t="s">
        <v>55</v>
      </c>
      <c r="D8" s="8">
        <f>16*230/1000</f>
        <v>3.68</v>
      </c>
      <c r="E8" s="8">
        <v>30</v>
      </c>
      <c r="G8" s="9" t="s">
        <v>56</v>
      </c>
    </row>
    <row r="9" spans="1:7" x14ac:dyDescent="0.25">
      <c r="A9" s="8">
        <v>7</v>
      </c>
      <c r="B9" s="8" t="s">
        <v>57</v>
      </c>
      <c r="C9" s="8" t="s">
        <v>58</v>
      </c>
      <c r="D9" s="8">
        <f>16*400/1000</f>
        <v>6.4</v>
      </c>
      <c r="E9" s="8">
        <v>3</v>
      </c>
      <c r="F9" s="8" t="s">
        <v>59</v>
      </c>
      <c r="G9" s="9" t="s">
        <v>60</v>
      </c>
    </row>
    <row r="10" spans="1:7" x14ac:dyDescent="0.25">
      <c r="A10" s="8">
        <v>8</v>
      </c>
      <c r="B10" s="8" t="s">
        <v>8</v>
      </c>
      <c r="C10" s="8" t="s">
        <v>61</v>
      </c>
      <c r="D10" s="8">
        <v>1</v>
      </c>
      <c r="E10" s="8">
        <v>4</v>
      </c>
      <c r="G10" s="9" t="s">
        <v>62</v>
      </c>
    </row>
    <row r="11" spans="1:7" x14ac:dyDescent="0.25">
      <c r="A11" s="8">
        <v>9</v>
      </c>
      <c r="B11" s="8" t="s">
        <v>63</v>
      </c>
      <c r="C11" s="12" t="s">
        <v>64</v>
      </c>
      <c r="D11" s="8">
        <v>12</v>
      </c>
      <c r="E11" s="8">
        <v>1</v>
      </c>
      <c r="F11" s="8" t="s">
        <v>65</v>
      </c>
      <c r="G11" s="9"/>
    </row>
    <row r="12" spans="1:7" x14ac:dyDescent="0.25">
      <c r="A12" s="8">
        <v>10</v>
      </c>
      <c r="B12" s="8" t="s">
        <v>66</v>
      </c>
      <c r="C12" s="8" t="s">
        <v>67</v>
      </c>
      <c r="D12" s="8">
        <v>0.03</v>
      </c>
      <c r="E12" s="8">
        <v>6</v>
      </c>
    </row>
    <row r="13" spans="1:7" x14ac:dyDescent="0.25">
      <c r="A13" s="8">
        <v>11</v>
      </c>
      <c r="B13" s="8" t="s">
        <v>68</v>
      </c>
      <c r="C13" s="8" t="s">
        <v>69</v>
      </c>
      <c r="D13" s="8">
        <v>1.2</v>
      </c>
      <c r="E13" s="8">
        <v>2</v>
      </c>
      <c r="F13" s="9" t="s">
        <v>70</v>
      </c>
    </row>
    <row r="14" spans="1:7" x14ac:dyDescent="0.25">
      <c r="A14" s="8">
        <v>12</v>
      </c>
      <c r="B14" s="8" t="s">
        <v>90</v>
      </c>
      <c r="C14" s="8" t="s">
        <v>93</v>
      </c>
      <c r="D14" s="8">
        <v>3.5999999999999997E-2</v>
      </c>
      <c r="E14" s="8">
        <v>52</v>
      </c>
      <c r="F14" s="8" t="s">
        <v>96</v>
      </c>
      <c r="G14" s="8" t="s">
        <v>26</v>
      </c>
    </row>
    <row r="15" spans="1:7" x14ac:dyDescent="0.25">
      <c r="A15" s="8">
        <v>13</v>
      </c>
      <c r="B15" s="8" t="s">
        <v>91</v>
      </c>
      <c r="C15" s="8" t="s">
        <v>94</v>
      </c>
      <c r="D15" s="8">
        <v>7.6999999999999999E-2</v>
      </c>
      <c r="E15" s="8">
        <v>7</v>
      </c>
      <c r="F15" s="8" t="s">
        <v>96</v>
      </c>
      <c r="G15" s="8" t="s">
        <v>26</v>
      </c>
    </row>
    <row r="16" spans="1:7" x14ac:dyDescent="0.25">
      <c r="A16" s="8">
        <v>14</v>
      </c>
      <c r="B16" s="8" t="s">
        <v>92</v>
      </c>
      <c r="C16" s="8" t="s">
        <v>95</v>
      </c>
      <c r="D16" s="8">
        <v>7.4999999999999997E-2</v>
      </c>
      <c r="E16" s="8">
        <v>4</v>
      </c>
      <c r="F16" s="8" t="s">
        <v>96</v>
      </c>
      <c r="G16" s="8" t="s">
        <v>26</v>
      </c>
    </row>
    <row r="18" spans="2:5" ht="23.25" x14ac:dyDescent="0.35">
      <c r="B18" s="10" t="s">
        <v>71</v>
      </c>
    </row>
    <row r="19" spans="2:5" x14ac:dyDescent="0.25">
      <c r="B19" s="7" t="s">
        <v>72</v>
      </c>
      <c r="C19" s="7" t="s">
        <v>73</v>
      </c>
      <c r="D19" s="7" t="s">
        <v>74</v>
      </c>
      <c r="E19" s="7" t="s">
        <v>75</v>
      </c>
    </row>
    <row r="20" spans="2:5" x14ac:dyDescent="0.25">
      <c r="B20" s="7" t="s">
        <v>76</v>
      </c>
      <c r="C20" s="8">
        <v>50</v>
      </c>
      <c r="D20" s="8" t="s">
        <v>77</v>
      </c>
      <c r="E20" s="8" t="s">
        <v>97</v>
      </c>
    </row>
    <row r="21" spans="2:5" x14ac:dyDescent="0.25">
      <c r="B21" s="7" t="s">
        <v>78</v>
      </c>
      <c r="C21" s="8">
        <v>100</v>
      </c>
      <c r="D21" s="8" t="s">
        <v>79</v>
      </c>
      <c r="E21" s="8" t="s">
        <v>98</v>
      </c>
    </row>
    <row r="22" spans="2:5" x14ac:dyDescent="0.25">
      <c r="B22" s="7" t="s">
        <v>80</v>
      </c>
      <c r="C22" s="8">
        <f>C21*C20</f>
        <v>5000</v>
      </c>
      <c r="D22" s="8" t="s">
        <v>81</v>
      </c>
    </row>
    <row r="24" spans="2:5" ht="23.25" x14ac:dyDescent="0.35">
      <c r="B24" s="10" t="s">
        <v>82</v>
      </c>
      <c r="E24" s="8" t="s">
        <v>83</v>
      </c>
    </row>
    <row r="25" spans="2:5" x14ac:dyDescent="0.25">
      <c r="B25" s="7" t="s">
        <v>100</v>
      </c>
      <c r="C25" s="8">
        <f>25*20*4</f>
        <v>2000</v>
      </c>
      <c r="D25" s="8" t="s">
        <v>103</v>
      </c>
    </row>
    <row r="26" spans="2:5" x14ac:dyDescent="0.25">
      <c r="B26" s="7" t="s">
        <v>101</v>
      </c>
      <c r="C26" s="8">
        <f>7*8*4</f>
        <v>224</v>
      </c>
      <c r="D26" s="8" t="s">
        <v>103</v>
      </c>
    </row>
    <row r="27" spans="2:5" x14ac:dyDescent="0.25">
      <c r="B27" s="7" t="s">
        <v>102</v>
      </c>
      <c r="C27" s="8">
        <v>40</v>
      </c>
      <c r="D27" s="8" t="s">
        <v>106</v>
      </c>
    </row>
    <row r="28" spans="2:5" x14ac:dyDescent="0.25">
      <c r="B28" s="7" t="s">
        <v>104</v>
      </c>
      <c r="C28" s="8">
        <f>C27*C25</f>
        <v>80000</v>
      </c>
      <c r="D28" s="8" t="s">
        <v>89</v>
      </c>
    </row>
    <row r="29" spans="2:5" x14ac:dyDescent="0.25">
      <c r="B29" s="7" t="s">
        <v>105</v>
      </c>
      <c r="C29" s="8">
        <f>C27*C26</f>
        <v>8960</v>
      </c>
      <c r="D29" s="8" t="s">
        <v>89</v>
      </c>
    </row>
    <row r="30" spans="2:5" x14ac:dyDescent="0.25">
      <c r="B30" s="7" t="s">
        <v>108</v>
      </c>
      <c r="C30" s="8" t="s">
        <v>109</v>
      </c>
      <c r="D30" s="8" t="s">
        <v>107</v>
      </c>
    </row>
    <row r="31" spans="2:5" ht="23.25" x14ac:dyDescent="0.35">
      <c r="B31" s="10" t="s">
        <v>84</v>
      </c>
    </row>
    <row r="32" spans="2:5" x14ac:dyDescent="0.25">
      <c r="B32" s="7" t="s">
        <v>85</v>
      </c>
      <c r="C32" s="8">
        <v>12</v>
      </c>
      <c r="D32" s="8" t="s">
        <v>86</v>
      </c>
    </row>
    <row r="33" spans="2:4" x14ac:dyDescent="0.25">
      <c r="B33" s="7" t="s">
        <v>87</v>
      </c>
      <c r="C33" s="8">
        <v>100</v>
      </c>
      <c r="D33" s="8" t="s">
        <v>88</v>
      </c>
    </row>
    <row r="34" spans="2:4" x14ac:dyDescent="0.25">
      <c r="B34" s="7" t="s">
        <v>87</v>
      </c>
      <c r="C34" s="8">
        <f>C33*C32</f>
        <v>1200</v>
      </c>
      <c r="D34" s="8" t="s">
        <v>89</v>
      </c>
    </row>
  </sheetData>
  <hyperlinks>
    <hyperlink ref="G7" r:id="rId1" xr:uid="{5DEC756B-89F5-48D6-8CE0-4C0FDE3BF3F5}"/>
    <hyperlink ref="G4" r:id="rId2" xr:uid="{C4BE2A1E-9496-4212-837C-9D8154143222}"/>
    <hyperlink ref="G5" r:id="rId3" xr:uid="{099740E9-FD30-439C-BF54-81880FF8DF27}"/>
    <hyperlink ref="G8" r:id="rId4" xr:uid="{68990AB9-4E44-4B96-A73D-47180E64A8D0}"/>
    <hyperlink ref="G9" r:id="rId5" xr:uid="{3C9C8B4F-B007-4172-9808-3247B3B9F603}"/>
    <hyperlink ref="G3" r:id="rId6" xr:uid="{0BFD35F3-A839-49A6-9E88-E5B48EE5C769}"/>
    <hyperlink ref="F13" r:id="rId7" xr:uid="{78F6E884-238A-43DB-B29F-BF4A88B809C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zestawienie mocy szczytowej</vt:lpstr>
      <vt:lpstr>obliczenia mocy szczytowych</vt:lpstr>
      <vt:lpstr>zestawienie-odbiornikow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2015-06-05T18:19:34Z</dcterms:created>
  <dcterms:modified xsi:type="dcterms:W3CDTF">2020-10-26T08:32:19Z</dcterms:modified>
</cp:coreProperties>
</file>