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Politechnika Wroclawska\Studia\Semestr IV\Maszyny elektryczne 2\Ćwiczenie 31\"/>
    </mc:Choice>
  </mc:AlternateContent>
  <xr:revisionPtr revIDLastSave="522" documentId="8_{A7AFC2E2-E4F6-489A-B03F-A8F90838316A}" xr6:coauthVersionLast="41" xr6:coauthVersionMax="41" xr10:uidLastSave="{F997026B-4B88-4A2C-9455-5216D82F4124}"/>
  <bookViews>
    <workbookView xWindow="11295" yWindow="2205" windowWidth="21600" windowHeight="11385" tabRatio="811" activeTab="3" xr2:uid="{1A4F5472-53A2-4C17-9DB3-39BA06FAFB3C}"/>
  </bookViews>
  <sheets>
    <sheet name="Pomiar przekładni" sheetId="1" r:id="rId1"/>
    <sheet name="Stan jałowy" sheetId="2" r:id="rId2"/>
    <sheet name="Stan zwarcia" sheetId="3" r:id="rId3"/>
    <sheet name="Zmiennośc napięcia" sheetId="5" r:id="rId4"/>
    <sheet name="Sprawność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3" l="1"/>
  <c r="L15" i="3"/>
  <c r="L16" i="3" s="1"/>
  <c r="G23" i="1" l="1"/>
  <c r="G21" i="1"/>
  <c r="L14" i="1"/>
  <c r="L12" i="1"/>
  <c r="M16" i="3"/>
  <c r="O12" i="5"/>
  <c r="H20" i="3"/>
  <c r="H21" i="6"/>
  <c r="H19" i="6"/>
  <c r="H5" i="6"/>
  <c r="H6" i="6"/>
  <c r="H7" i="6"/>
  <c r="H8" i="6"/>
  <c r="I8" i="6" s="1"/>
  <c r="L8" i="6" s="1"/>
  <c r="H9" i="6"/>
  <c r="I9" i="6" s="1"/>
  <c r="L9" i="6" s="1"/>
  <c r="H10" i="6"/>
  <c r="H11" i="6"/>
  <c r="H12" i="6"/>
  <c r="I12" i="6" s="1"/>
  <c r="L12" i="6" s="1"/>
  <c r="H13" i="6"/>
  <c r="I13" i="6" s="1"/>
  <c r="L13" i="6" s="1"/>
  <c r="H4" i="6"/>
  <c r="L7" i="6"/>
  <c r="L11" i="6"/>
  <c r="I5" i="6"/>
  <c r="L5" i="6" s="1"/>
  <c r="I6" i="6"/>
  <c r="L6" i="6" s="1"/>
  <c r="I7" i="6"/>
  <c r="I10" i="6"/>
  <c r="L10" i="6" s="1"/>
  <c r="I11" i="6"/>
  <c r="I4" i="6"/>
  <c r="L4" i="6" s="1"/>
  <c r="J10" i="6"/>
  <c r="J11" i="6"/>
  <c r="J12" i="6"/>
  <c r="J13" i="6"/>
  <c r="J9" i="6"/>
  <c r="J5" i="6"/>
  <c r="J6" i="6"/>
  <c r="J7" i="6"/>
  <c r="J8" i="6"/>
  <c r="J4" i="6"/>
  <c r="D5" i="6"/>
  <c r="D6" i="6"/>
  <c r="D7" i="6"/>
  <c r="D8" i="6"/>
  <c r="D9" i="6"/>
  <c r="D10" i="6"/>
  <c r="D11" i="6"/>
  <c r="D12" i="6"/>
  <c r="D13" i="6"/>
  <c r="D4" i="6"/>
  <c r="B20" i="6"/>
  <c r="L5" i="2"/>
  <c r="L6" i="2"/>
  <c r="L7" i="2"/>
  <c r="L8" i="2"/>
  <c r="L9" i="2"/>
  <c r="L10" i="2"/>
  <c r="L11" i="2"/>
  <c r="L12" i="2"/>
  <c r="L13" i="2"/>
  <c r="L4" i="2"/>
  <c r="E19" i="2"/>
  <c r="E18" i="2"/>
  <c r="H16" i="3" l="1"/>
  <c r="C17" i="5"/>
  <c r="D10" i="5"/>
  <c r="D11" i="5"/>
  <c r="D12" i="5"/>
  <c r="D13" i="5"/>
  <c r="D9" i="5"/>
  <c r="D5" i="5"/>
  <c r="D6" i="5"/>
  <c r="D7" i="5"/>
  <c r="D8" i="5"/>
  <c r="D4" i="5"/>
  <c r="M5" i="3"/>
  <c r="M6" i="3"/>
  <c r="M9" i="3"/>
  <c r="M10" i="3"/>
  <c r="M13" i="3"/>
  <c r="M4" i="3"/>
  <c r="T5" i="2"/>
  <c r="T6" i="2"/>
  <c r="T7" i="2"/>
  <c r="T8" i="2"/>
  <c r="T9" i="2"/>
  <c r="T10" i="2"/>
  <c r="T11" i="2"/>
  <c r="T12" i="2"/>
  <c r="T13" i="2"/>
  <c r="T4" i="2"/>
  <c r="Q4" i="2"/>
  <c r="S4" i="2" s="1"/>
  <c r="R4" i="2"/>
  <c r="Q5" i="2"/>
  <c r="R5" i="2"/>
  <c r="S5" i="2"/>
  <c r="Q6" i="2"/>
  <c r="R6" i="2"/>
  <c r="S6" i="2" s="1"/>
  <c r="Q7" i="2"/>
  <c r="S7" i="2" s="1"/>
  <c r="R7" i="2"/>
  <c r="Q8" i="2"/>
  <c r="S8" i="2" s="1"/>
  <c r="R8" i="2"/>
  <c r="Q9" i="2"/>
  <c r="R9" i="2"/>
  <c r="S9" i="2"/>
  <c r="Q10" i="2"/>
  <c r="R10" i="2"/>
  <c r="S10" i="2" s="1"/>
  <c r="Q11" i="2"/>
  <c r="S11" i="2" s="1"/>
  <c r="R11" i="2"/>
  <c r="Q12" i="2"/>
  <c r="S12" i="2" s="1"/>
  <c r="R12" i="2"/>
  <c r="Q13" i="2"/>
  <c r="R13" i="2"/>
  <c r="S13" i="2"/>
  <c r="M20" i="2"/>
  <c r="M18" i="2"/>
  <c r="M17" i="2"/>
  <c r="O4" i="2"/>
  <c r="E18" i="3"/>
  <c r="J5" i="3"/>
  <c r="I22" i="3" s="1"/>
  <c r="J6" i="3"/>
  <c r="I23" i="3" s="1"/>
  <c r="J7" i="3"/>
  <c r="I24" i="3" s="1"/>
  <c r="J8" i="3"/>
  <c r="I25" i="3" s="1"/>
  <c r="J9" i="3"/>
  <c r="I26" i="3" s="1"/>
  <c r="J10" i="3"/>
  <c r="I27" i="3" s="1"/>
  <c r="J11" i="3"/>
  <c r="I28" i="3" s="1"/>
  <c r="J12" i="3"/>
  <c r="I29" i="3" s="1"/>
  <c r="J13" i="3"/>
  <c r="I30" i="3" s="1"/>
  <c r="J4" i="3"/>
  <c r="I21" i="3" s="1"/>
  <c r="I5" i="3"/>
  <c r="L5" i="3" s="1"/>
  <c r="I6" i="3"/>
  <c r="L6" i="3" s="1"/>
  <c r="I7" i="3"/>
  <c r="I8" i="3"/>
  <c r="I9" i="3"/>
  <c r="N9" i="3" s="1"/>
  <c r="I10" i="3"/>
  <c r="L10" i="3" s="1"/>
  <c r="I11" i="3"/>
  <c r="I12" i="3"/>
  <c r="I13" i="3"/>
  <c r="N13" i="3" s="1"/>
  <c r="I4" i="3"/>
  <c r="L4" i="3" s="1"/>
  <c r="O5" i="2"/>
  <c r="O6" i="2"/>
  <c r="O7" i="2"/>
  <c r="O8" i="2"/>
  <c r="O9" i="2"/>
  <c r="O10" i="2"/>
  <c r="O11" i="2"/>
  <c r="O12" i="2"/>
  <c r="O13" i="2"/>
  <c r="N5" i="2"/>
  <c r="N6" i="2"/>
  <c r="N7" i="2"/>
  <c r="N8" i="2"/>
  <c r="N9" i="2"/>
  <c r="N10" i="2"/>
  <c r="N11" i="2"/>
  <c r="N12" i="2"/>
  <c r="N13" i="2"/>
  <c r="N4" i="2"/>
  <c r="M5" i="2"/>
  <c r="M6" i="2"/>
  <c r="M7" i="2"/>
  <c r="M8" i="2"/>
  <c r="M9" i="2"/>
  <c r="M10" i="2"/>
  <c r="M11" i="2"/>
  <c r="M12" i="2"/>
  <c r="M13" i="2"/>
  <c r="M4" i="2"/>
  <c r="J5" i="2"/>
  <c r="J6" i="2"/>
  <c r="J7" i="2"/>
  <c r="J8" i="2"/>
  <c r="J9" i="2"/>
  <c r="J10" i="2"/>
  <c r="J11" i="2"/>
  <c r="J12" i="2"/>
  <c r="J13" i="2"/>
  <c r="J4" i="2"/>
  <c r="F5" i="2"/>
  <c r="F6" i="2"/>
  <c r="F7" i="2"/>
  <c r="F8" i="2"/>
  <c r="F9" i="2"/>
  <c r="F10" i="2"/>
  <c r="F11" i="2"/>
  <c r="F12" i="2"/>
  <c r="F13" i="2"/>
  <c r="F4" i="2"/>
  <c r="L6" i="1"/>
  <c r="B18" i="1"/>
  <c r="B15" i="1"/>
  <c r="C15" i="1"/>
  <c r="C13" i="1"/>
  <c r="D13" i="1"/>
  <c r="E13" i="1"/>
  <c r="F13" i="1"/>
  <c r="B13" i="1"/>
  <c r="E12" i="1"/>
  <c r="F12" i="1"/>
  <c r="B12" i="1"/>
  <c r="D11" i="1"/>
  <c r="C12" i="1" s="1"/>
  <c r="E11" i="1"/>
  <c r="D12" i="1" s="1"/>
  <c r="F11" i="1"/>
  <c r="G11" i="1"/>
  <c r="H11" i="1"/>
  <c r="C11" i="1"/>
  <c r="J17" i="1"/>
  <c r="L9" i="1"/>
  <c r="J9" i="1"/>
  <c r="K9" i="1"/>
  <c r="I9" i="1"/>
  <c r="G9" i="1"/>
  <c r="H9" i="1"/>
  <c r="F9" i="1"/>
  <c r="D9" i="1"/>
  <c r="E9" i="1"/>
  <c r="C9" i="1"/>
  <c r="L13" i="3" l="1"/>
  <c r="L9" i="3"/>
  <c r="L12" i="3"/>
  <c r="L8" i="3"/>
  <c r="N10" i="3"/>
  <c r="N5" i="3"/>
  <c r="M12" i="3"/>
  <c r="N12" i="3" s="1"/>
  <c r="M8" i="3"/>
  <c r="N8" i="3" s="1"/>
  <c r="N4" i="3"/>
  <c r="N6" i="3"/>
  <c r="L11" i="3"/>
  <c r="L7" i="3"/>
  <c r="M11" i="3"/>
  <c r="N11" i="3" s="1"/>
  <c r="M7" i="3"/>
  <c r="N7" i="3" s="1"/>
  <c r="M18" i="3"/>
  <c r="L17" i="3" l="1"/>
  <c r="I9" i="5" l="1"/>
  <c r="I4" i="5"/>
  <c r="J4" i="5"/>
  <c r="J9" i="5"/>
  <c r="E10" i="5" l="1"/>
  <c r="F10" i="5" s="1"/>
  <c r="E9" i="5"/>
  <c r="E11" i="5"/>
  <c r="F11" i="5" s="1"/>
  <c r="E12" i="5"/>
  <c r="F12" i="5" s="1"/>
  <c r="E13" i="5"/>
  <c r="E7" i="5"/>
  <c r="F7" i="5" s="1"/>
  <c r="F9" i="5"/>
  <c r="E8" i="5"/>
  <c r="F8" i="5" s="1"/>
  <c r="F16" i="5" s="1"/>
  <c r="F13" i="5"/>
  <c r="G16" i="5" s="1"/>
  <c r="E6" i="5"/>
  <c r="F6" i="5" s="1"/>
  <c r="E5" i="5"/>
  <c r="F5" i="5" s="1"/>
  <c r="E4" i="5"/>
  <c r="F4" i="5" s="1"/>
</calcChain>
</file>

<file path=xl/sharedStrings.xml><?xml version="1.0" encoding="utf-8"?>
<sst xmlns="http://schemas.openxmlformats.org/spreadsheetml/2006/main" count="107" uniqueCount="43">
  <si>
    <t>Tabela 1</t>
  </si>
  <si>
    <t>Lp.</t>
  </si>
  <si>
    <r>
      <t>U</t>
    </r>
    <r>
      <rPr>
        <vertAlign val="subscript"/>
        <sz val="12"/>
        <color theme="1"/>
        <rFont val="Times New Roman"/>
        <family val="1"/>
        <charset val="238"/>
      </rPr>
      <t>AB</t>
    </r>
  </si>
  <si>
    <r>
      <t>U</t>
    </r>
    <r>
      <rPr>
        <vertAlign val="subscript"/>
        <sz val="12"/>
        <color theme="1"/>
        <rFont val="Times New Roman"/>
        <family val="1"/>
        <charset val="238"/>
      </rPr>
      <t>BC</t>
    </r>
  </si>
  <si>
    <r>
      <t>U</t>
    </r>
    <r>
      <rPr>
        <vertAlign val="subscript"/>
        <sz val="12"/>
        <color theme="1"/>
        <rFont val="Times New Roman"/>
        <family val="1"/>
        <charset val="238"/>
      </rPr>
      <t>CA</t>
    </r>
  </si>
  <si>
    <r>
      <t>U</t>
    </r>
    <r>
      <rPr>
        <vertAlign val="subscript"/>
        <sz val="12"/>
        <color theme="1"/>
        <rFont val="Times New Roman"/>
        <family val="1"/>
        <charset val="238"/>
      </rPr>
      <t>ab</t>
    </r>
  </si>
  <si>
    <r>
      <t>U</t>
    </r>
    <r>
      <rPr>
        <vertAlign val="subscript"/>
        <sz val="12"/>
        <color theme="1"/>
        <rFont val="Times New Roman"/>
        <family val="1"/>
        <charset val="238"/>
      </rPr>
      <t>bc</t>
    </r>
  </si>
  <si>
    <r>
      <t>U­</t>
    </r>
    <r>
      <rPr>
        <vertAlign val="subscript"/>
        <sz val="12"/>
        <color theme="1"/>
        <rFont val="Times New Roman"/>
        <family val="1"/>
        <charset val="238"/>
      </rPr>
      <t>ca</t>
    </r>
  </si>
  <si>
    <t>Uwagi</t>
  </si>
  <si>
    <t>V</t>
  </si>
  <si>
    <t>-</t>
  </si>
  <si>
    <r>
      <t>U</t>
    </r>
    <r>
      <rPr>
        <vertAlign val="subscript"/>
        <sz val="12"/>
        <color theme="1"/>
        <rFont val="Times New Roman"/>
        <family val="1"/>
        <charset val="238"/>
      </rPr>
      <t>ca</t>
    </r>
  </si>
  <si>
    <t>A</t>
  </si>
  <si>
    <t>W</t>
  </si>
  <si>
    <t>u</t>
  </si>
  <si>
    <t>obciążenie indukcyjne</t>
  </si>
  <si>
    <t>obciążenie pojemnościowe</t>
  </si>
  <si>
    <t>U</t>
  </si>
  <si>
    <t>obciążenie czynne</t>
  </si>
  <si>
    <t>klasa</t>
  </si>
  <si>
    <t>UFF</t>
  </si>
  <si>
    <t>Niepewności względne</t>
  </si>
  <si>
    <t xml:space="preserve">I_n </t>
  </si>
  <si>
    <t>sin fi</t>
  </si>
  <si>
    <t>cos fi</t>
  </si>
  <si>
    <t>u_R</t>
  </si>
  <si>
    <t>u_X</t>
  </si>
  <si>
    <t>U2n</t>
  </si>
  <si>
    <t>uz [%]</t>
  </si>
  <si>
    <t>T=21</t>
  </si>
  <si>
    <t>R 220V</t>
  </si>
  <si>
    <t>R500V</t>
  </si>
  <si>
    <t>R w tabeli</t>
  </si>
  <si>
    <t>R odniesienia</t>
  </si>
  <si>
    <t>Streona zasilana: niższe napięcie</t>
  </si>
  <si>
    <t>Moc znamionowa:</t>
  </si>
  <si>
    <t>kVa</t>
  </si>
  <si>
    <t>I2n</t>
  </si>
  <si>
    <t>I1n</t>
  </si>
  <si>
    <t>R1</t>
  </si>
  <si>
    <t>R2</t>
  </si>
  <si>
    <t>In</t>
  </si>
  <si>
    <t>Względne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</si>
</sst>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vertAlign val="subscript"/>
      <sz val="12"/>
      <color theme="1"/>
      <name val="Times New Roman"/>
      <family val="1"/>
      <charset val="238"/>
    </font>
    <font>
      <b/>
      <vertAlign val="subscript"/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Calibri"/>
      <family val="2"/>
      <charset val="238"/>
    </font>
    <font>
      <sz val="9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0" fontId="0" fillId="2" borderId="0" xfId="0" applyFill="1"/>
    <xf numFmtId="2" fontId="0" fillId="0" borderId="0" xfId="0" applyNumberFormat="1"/>
    <xf numFmtId="165" fontId="2" fillId="0" borderId="1" xfId="1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vertical="center" wrapText="1"/>
    </xf>
    <xf numFmtId="165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2" fillId="0" borderId="5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51876732924722E-2"/>
          <c:y val="9.0909090909090912E-2"/>
          <c:w val="0.80315280437754777"/>
          <c:h val="0.85756740634693396"/>
        </c:manualLayout>
      </c:layout>
      <c:scatterChart>
        <c:scatterStyle val="smoothMarker"/>
        <c:varyColors val="0"/>
        <c:ser>
          <c:idx val="0"/>
          <c:order val="0"/>
          <c:tx>
            <c:v>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 jałowy'!$F$4:$F$13</c:f>
              <c:numCache>
                <c:formatCode>0.0</c:formatCode>
                <c:ptCount val="10"/>
                <c:pt idx="0">
                  <c:v>24.100000000000005</c:v>
                </c:pt>
                <c:pt idx="1">
                  <c:v>49.9</c:v>
                </c:pt>
                <c:pt idx="2">
                  <c:v>76.433333333333337</c:v>
                </c:pt>
                <c:pt idx="3">
                  <c:v>100.76666666666665</c:v>
                </c:pt>
                <c:pt idx="4">
                  <c:v>125.5</c:v>
                </c:pt>
                <c:pt idx="5">
                  <c:v>151.83333333333334</c:v>
                </c:pt>
                <c:pt idx="6">
                  <c:v>177.70000000000002</c:v>
                </c:pt>
                <c:pt idx="7">
                  <c:v>201.13333333333333</c:v>
                </c:pt>
                <c:pt idx="8">
                  <c:v>221.29999999999998</c:v>
                </c:pt>
                <c:pt idx="9">
                  <c:v>241.83333333333334</c:v>
                </c:pt>
              </c:numCache>
            </c:numRef>
          </c:xVal>
          <c:yVal>
            <c:numRef>
              <c:f>'Stan jałowy'!$K$4:$K$13</c:f>
              <c:numCache>
                <c:formatCode>0.0</c:formatCode>
                <c:ptCount val="10"/>
                <c:pt idx="0">
                  <c:v>3.9</c:v>
                </c:pt>
                <c:pt idx="1">
                  <c:v>12.4</c:v>
                </c:pt>
                <c:pt idx="2">
                  <c:v>24.7</c:v>
                </c:pt>
                <c:pt idx="3">
                  <c:v>38.6</c:v>
                </c:pt>
                <c:pt idx="4">
                  <c:v>55.3</c:v>
                </c:pt>
                <c:pt idx="5">
                  <c:v>76.599999999999994</c:v>
                </c:pt>
                <c:pt idx="6">
                  <c:v>101</c:v>
                </c:pt>
                <c:pt idx="7">
                  <c:v>126.7</c:v>
                </c:pt>
                <c:pt idx="8">
                  <c:v>152</c:v>
                </c:pt>
                <c:pt idx="9">
                  <c:v>183.1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8-4344-804A-44F3E74F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01695"/>
        <c:axId val="1586862735"/>
      </c:scatterChart>
      <c:scatterChart>
        <c:scatterStyle val="smoothMarker"/>
        <c:varyColors val="0"/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'Stan jałowy'!$F$4:$F$13</c:f>
              <c:numCache>
                <c:formatCode>0.0</c:formatCode>
                <c:ptCount val="10"/>
                <c:pt idx="0">
                  <c:v>24.100000000000005</c:v>
                </c:pt>
                <c:pt idx="1">
                  <c:v>49.9</c:v>
                </c:pt>
                <c:pt idx="2">
                  <c:v>76.433333333333337</c:v>
                </c:pt>
                <c:pt idx="3">
                  <c:v>100.76666666666665</c:v>
                </c:pt>
                <c:pt idx="4">
                  <c:v>125.5</c:v>
                </c:pt>
                <c:pt idx="5">
                  <c:v>151.83333333333334</c:v>
                </c:pt>
                <c:pt idx="6">
                  <c:v>177.70000000000002</c:v>
                </c:pt>
                <c:pt idx="7">
                  <c:v>201.13333333333333</c:v>
                </c:pt>
                <c:pt idx="8">
                  <c:v>221.29999999999998</c:v>
                </c:pt>
                <c:pt idx="9">
                  <c:v>241.83333333333334</c:v>
                </c:pt>
              </c:numCache>
            </c:numRef>
          </c:xVal>
          <c:yVal>
            <c:numRef>
              <c:f>'Stan jałowy'!$J$4:$J$13</c:f>
              <c:numCache>
                <c:formatCode>0.00</c:formatCode>
                <c:ptCount val="10"/>
                <c:pt idx="0">
                  <c:v>0.18666666666666665</c:v>
                </c:pt>
                <c:pt idx="1">
                  <c:v>0.25</c:v>
                </c:pt>
                <c:pt idx="2">
                  <c:v>0.3066666666666667</c:v>
                </c:pt>
                <c:pt idx="3">
                  <c:v>0.36666666666666664</c:v>
                </c:pt>
                <c:pt idx="4">
                  <c:v>0.44333333333333336</c:v>
                </c:pt>
                <c:pt idx="5">
                  <c:v>0.56333333333333335</c:v>
                </c:pt>
                <c:pt idx="6">
                  <c:v>0.78333333333333333</c:v>
                </c:pt>
                <c:pt idx="7">
                  <c:v>1.1200000000000001</c:v>
                </c:pt>
                <c:pt idx="8">
                  <c:v>1.5866666666666667</c:v>
                </c:pt>
                <c:pt idx="9">
                  <c:v>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8-4344-804A-44F3E74F7ACB}"/>
            </c:ext>
          </c:extLst>
        </c:ser>
        <c:ser>
          <c:idx val="2"/>
          <c:order val="2"/>
          <c:tx>
            <c:v>cos fi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'Stan jałowy'!$F$4:$F$13</c:f>
              <c:numCache>
                <c:formatCode>0.0</c:formatCode>
                <c:ptCount val="10"/>
                <c:pt idx="0">
                  <c:v>24.100000000000005</c:v>
                </c:pt>
                <c:pt idx="1">
                  <c:v>49.9</c:v>
                </c:pt>
                <c:pt idx="2">
                  <c:v>76.433333333333337</c:v>
                </c:pt>
                <c:pt idx="3">
                  <c:v>100.76666666666665</c:v>
                </c:pt>
                <c:pt idx="4">
                  <c:v>125.5</c:v>
                </c:pt>
                <c:pt idx="5">
                  <c:v>151.83333333333334</c:v>
                </c:pt>
                <c:pt idx="6">
                  <c:v>177.70000000000002</c:v>
                </c:pt>
                <c:pt idx="7">
                  <c:v>201.13333333333333</c:v>
                </c:pt>
                <c:pt idx="8">
                  <c:v>221.29999999999998</c:v>
                </c:pt>
                <c:pt idx="9">
                  <c:v>241.83333333333334</c:v>
                </c:pt>
              </c:numCache>
            </c:numRef>
          </c:xVal>
          <c:yVal>
            <c:numRef>
              <c:f>'Stan jałowy'!$M$4:$M$13</c:f>
              <c:numCache>
                <c:formatCode>0.00</c:formatCode>
                <c:ptCount val="10"/>
                <c:pt idx="0">
                  <c:v>0.5005185350858492</c:v>
                </c:pt>
                <c:pt idx="1">
                  <c:v>0.57387922548708292</c:v>
                </c:pt>
                <c:pt idx="2">
                  <c:v>0.60839684503334246</c:v>
                </c:pt>
                <c:pt idx="3">
                  <c:v>0.60316808563581048</c:v>
                </c:pt>
                <c:pt idx="4">
                  <c:v>0.57383943718994046</c:v>
                </c:pt>
                <c:pt idx="5">
                  <c:v>0.5170535994379386</c:v>
                </c:pt>
                <c:pt idx="6">
                  <c:v>0.41891577141598102</c:v>
                </c:pt>
                <c:pt idx="7">
                  <c:v>0.32472364535337961</c:v>
                </c:pt>
                <c:pt idx="8">
                  <c:v>0.24992853796556383</c:v>
                </c:pt>
                <c:pt idx="9">
                  <c:v>0.19428042138960805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48-4344-804A-44F3E74F7ACB}"/>
            </c:ext>
          </c:extLst>
        </c:ser>
        <c:ser>
          <c:idx val="3"/>
          <c:order val="3"/>
          <c:tx>
            <c:v>Iow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'Stan jałowy'!$F$4:$F$13</c:f>
              <c:numCache>
                <c:formatCode>0.0</c:formatCode>
                <c:ptCount val="10"/>
                <c:pt idx="0">
                  <c:v>24.100000000000005</c:v>
                </c:pt>
                <c:pt idx="1">
                  <c:v>49.9</c:v>
                </c:pt>
                <c:pt idx="2">
                  <c:v>76.433333333333337</c:v>
                </c:pt>
                <c:pt idx="3">
                  <c:v>100.76666666666665</c:v>
                </c:pt>
                <c:pt idx="4">
                  <c:v>125.5</c:v>
                </c:pt>
                <c:pt idx="5">
                  <c:v>151.83333333333334</c:v>
                </c:pt>
                <c:pt idx="6">
                  <c:v>177.70000000000002</c:v>
                </c:pt>
                <c:pt idx="7">
                  <c:v>201.13333333333333</c:v>
                </c:pt>
                <c:pt idx="8">
                  <c:v>221.29999999999998</c:v>
                </c:pt>
                <c:pt idx="9">
                  <c:v>241.83333333333334</c:v>
                </c:pt>
              </c:numCache>
            </c:numRef>
          </c:xVal>
          <c:yVal>
            <c:numRef>
              <c:f>'Stan jałowy'!$N$4:$N$13</c:f>
              <c:numCache>
                <c:formatCode>0.00</c:formatCode>
                <c:ptCount val="10"/>
                <c:pt idx="0">
                  <c:v>9.3430126549358505E-2</c:v>
                </c:pt>
                <c:pt idx="1">
                  <c:v>0.14346980637177073</c:v>
                </c:pt>
                <c:pt idx="2">
                  <c:v>0.18657503247689169</c:v>
                </c:pt>
                <c:pt idx="3">
                  <c:v>0.22116163139979717</c:v>
                </c:pt>
                <c:pt idx="4">
                  <c:v>0.25440215048754028</c:v>
                </c:pt>
                <c:pt idx="5">
                  <c:v>0.29127352768337211</c:v>
                </c:pt>
                <c:pt idx="6">
                  <c:v>0.32815068760918514</c:v>
                </c:pt>
                <c:pt idx="7">
                  <c:v>0.3636904827957852</c:v>
                </c:pt>
                <c:pt idx="8">
                  <c:v>0.39655328023869463</c:v>
                </c:pt>
                <c:pt idx="9">
                  <c:v>0.43713094812661812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48-4344-804A-44F3E74F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73967"/>
        <c:axId val="1586865647"/>
      </c:scatterChart>
      <c:valAx>
        <c:axId val="13830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6862735"/>
        <c:crosses val="autoZero"/>
        <c:crossBetween val="midCat"/>
        <c:majorUnit val="20"/>
      </c:valAx>
      <c:valAx>
        <c:axId val="15868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  <a:r>
                  <a:rPr lang="pl-PL" sz="600"/>
                  <a:t>0</a:t>
                </a:r>
                <a:r>
                  <a:rPr lang="pl-PL"/>
                  <a:t>,</a:t>
                </a:r>
                <a:r>
                  <a:rPr lang="pl-PL" baseline="0"/>
                  <a:t> I</a:t>
                </a:r>
                <a:r>
                  <a:rPr lang="pl-PL" sz="600" baseline="0"/>
                  <a:t>0</a:t>
                </a:r>
                <a:r>
                  <a:rPr lang="pl-PL" baseline="0"/>
                  <a:t>, cos fi</a:t>
                </a:r>
                <a:r>
                  <a:rPr lang="pl-PL" sz="600" baseline="0"/>
                  <a:t>0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7.4917949846266957E-2"/>
              <c:y val="4.97369362920544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001695"/>
        <c:crosses val="autoZero"/>
        <c:crossBetween val="midCat"/>
      </c:valAx>
      <c:valAx>
        <c:axId val="1586865647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6873967"/>
        <c:crosses val="max"/>
        <c:crossBetween val="midCat"/>
      </c:valAx>
      <c:valAx>
        <c:axId val="15868739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</a:t>
                </a:r>
              </a:p>
            </c:rich>
          </c:tx>
          <c:layout>
            <c:manualLayout>
              <c:xMode val="edge"/>
              <c:yMode val="edge"/>
              <c:x val="0.87583280783914674"/>
              <c:y val="0.8446061958790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out"/>
        <c:minorTickMark val="none"/>
        <c:tickLblPos val="nextTo"/>
        <c:crossAx val="158686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013779527559049E-2"/>
          <c:y val="9.7222222222222224E-2"/>
          <c:w val="0.76166622922134719"/>
          <c:h val="0.78979950422863809"/>
        </c:manualLayout>
      </c:layout>
      <c:scatterChart>
        <c:scatterStyle val="smoothMarker"/>
        <c:varyColors val="0"/>
        <c:ser>
          <c:idx val="1"/>
          <c:order val="1"/>
          <c:tx>
            <c:v>Pz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'Stan zwarcia'!$I$4:$I$13</c:f>
              <c:numCache>
                <c:formatCode>0.0</c:formatCode>
                <c:ptCount val="10"/>
                <c:pt idx="0">
                  <c:v>18.333333333333332</c:v>
                </c:pt>
                <c:pt idx="1">
                  <c:v>17.533333333333331</c:v>
                </c:pt>
                <c:pt idx="2">
                  <c:v>15.6</c:v>
                </c:pt>
                <c:pt idx="3">
                  <c:v>14.233333333333333</c:v>
                </c:pt>
                <c:pt idx="4">
                  <c:v>12.666666666666666</c:v>
                </c:pt>
                <c:pt idx="5">
                  <c:v>10.699999999999998</c:v>
                </c:pt>
                <c:pt idx="6">
                  <c:v>8.3333333333333339</c:v>
                </c:pt>
                <c:pt idx="7">
                  <c:v>5.9333333333333336</c:v>
                </c:pt>
                <c:pt idx="8">
                  <c:v>2.5666666666666664</c:v>
                </c:pt>
                <c:pt idx="9">
                  <c:v>1.1333333333333335</c:v>
                </c:pt>
              </c:numCache>
            </c:numRef>
          </c:xVal>
          <c:yVal>
            <c:numRef>
              <c:f>'Stan zwarcia'!$K$4:$K$13</c:f>
              <c:numCache>
                <c:formatCode>General</c:formatCode>
                <c:ptCount val="10"/>
                <c:pt idx="0">
                  <c:v>265.10000000000002</c:v>
                </c:pt>
                <c:pt idx="1">
                  <c:v>242.2</c:v>
                </c:pt>
                <c:pt idx="2">
                  <c:v>192.2</c:v>
                </c:pt>
                <c:pt idx="3">
                  <c:v>159.9</c:v>
                </c:pt>
                <c:pt idx="4">
                  <c:v>126.1</c:v>
                </c:pt>
                <c:pt idx="5">
                  <c:v>90.7</c:v>
                </c:pt>
                <c:pt idx="6">
                  <c:v>53.2</c:v>
                </c:pt>
                <c:pt idx="7">
                  <c:v>27.4</c:v>
                </c:pt>
                <c:pt idx="8">
                  <c:v>5</c:v>
                </c:pt>
                <c:pt idx="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3-4A11-B756-863C206A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99679"/>
        <c:axId val="1586873135"/>
      </c:scatterChart>
      <c:scatterChart>
        <c:scatterStyle val="smoothMarker"/>
        <c:varyColors val="0"/>
        <c:ser>
          <c:idx val="0"/>
          <c:order val="0"/>
          <c:tx>
            <c:v>Iz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'Stan zwarcia'!$I$4:$I$13</c:f>
              <c:numCache>
                <c:formatCode>0.0</c:formatCode>
                <c:ptCount val="10"/>
                <c:pt idx="0">
                  <c:v>18.333333333333332</c:v>
                </c:pt>
                <c:pt idx="1">
                  <c:v>17.533333333333331</c:v>
                </c:pt>
                <c:pt idx="2">
                  <c:v>15.6</c:v>
                </c:pt>
                <c:pt idx="3">
                  <c:v>14.233333333333333</c:v>
                </c:pt>
                <c:pt idx="4">
                  <c:v>12.666666666666666</c:v>
                </c:pt>
                <c:pt idx="5">
                  <c:v>10.699999999999998</c:v>
                </c:pt>
                <c:pt idx="6">
                  <c:v>8.3333333333333339</c:v>
                </c:pt>
                <c:pt idx="7">
                  <c:v>5.9333333333333336</c:v>
                </c:pt>
                <c:pt idx="8">
                  <c:v>2.5666666666666664</c:v>
                </c:pt>
                <c:pt idx="9">
                  <c:v>1.1333333333333335</c:v>
                </c:pt>
              </c:numCache>
            </c:numRef>
          </c:xVal>
          <c:yVal>
            <c:numRef>
              <c:f>'Stan zwarcia'!$I$21:$I$30</c:f>
              <c:numCache>
                <c:formatCode>General</c:formatCode>
                <c:ptCount val="10"/>
                <c:pt idx="0">
                  <c:v>1.0713043478260871</c:v>
                </c:pt>
                <c:pt idx="1">
                  <c:v>1.0223188405797101</c:v>
                </c:pt>
                <c:pt idx="2">
                  <c:v>0.90579710144927528</c:v>
                </c:pt>
                <c:pt idx="3">
                  <c:v>0.82724637681159419</c:v>
                </c:pt>
                <c:pt idx="4">
                  <c:v>0.73507246376811597</c:v>
                </c:pt>
                <c:pt idx="5">
                  <c:v>0.62144927536231875</c:v>
                </c:pt>
                <c:pt idx="6">
                  <c:v>0.47826086956521741</c:v>
                </c:pt>
                <c:pt idx="7">
                  <c:v>0.34057971014492755</c:v>
                </c:pt>
                <c:pt idx="8">
                  <c:v>0.14608695652173911</c:v>
                </c:pt>
                <c:pt idx="9">
                  <c:v>6.0869565217391307E-2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3-4A11-B756-863C206AF5B6}"/>
            </c:ext>
          </c:extLst>
        </c:ser>
        <c:ser>
          <c:idx val="2"/>
          <c:order val="2"/>
          <c:tx>
            <c:v>cos fi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'Stan zwarcia'!$I$4:$I$13</c:f>
              <c:numCache>
                <c:formatCode>0.0</c:formatCode>
                <c:ptCount val="10"/>
                <c:pt idx="0">
                  <c:v>18.333333333333332</c:v>
                </c:pt>
                <c:pt idx="1">
                  <c:v>17.533333333333331</c:v>
                </c:pt>
                <c:pt idx="2">
                  <c:v>15.6</c:v>
                </c:pt>
                <c:pt idx="3">
                  <c:v>14.233333333333333</c:v>
                </c:pt>
                <c:pt idx="4">
                  <c:v>12.666666666666666</c:v>
                </c:pt>
                <c:pt idx="5">
                  <c:v>10.699999999999998</c:v>
                </c:pt>
                <c:pt idx="6">
                  <c:v>8.3333333333333339</c:v>
                </c:pt>
                <c:pt idx="7">
                  <c:v>5.9333333333333336</c:v>
                </c:pt>
                <c:pt idx="8">
                  <c:v>2.5666666666666664</c:v>
                </c:pt>
                <c:pt idx="9">
                  <c:v>1.1333333333333335</c:v>
                </c:pt>
              </c:numCache>
            </c:numRef>
          </c:xVal>
          <c:yVal>
            <c:numRef>
              <c:f>'Stan zwarcia'!$L$4:$L$13</c:f>
              <c:numCache>
                <c:formatCode>0.00</c:formatCode>
                <c:ptCount val="10"/>
                <c:pt idx="0">
                  <c:v>0.67763676075340828</c:v>
                </c:pt>
                <c:pt idx="1">
                  <c:v>0.67836716259444874</c:v>
                </c:pt>
                <c:pt idx="2">
                  <c:v>0.68287213377382205</c:v>
                </c:pt>
                <c:pt idx="3">
                  <c:v>0.68178666401138832</c:v>
                </c:pt>
                <c:pt idx="4">
                  <c:v>0.67992987350915901</c:v>
                </c:pt>
                <c:pt idx="5">
                  <c:v>0.68479306844790599</c:v>
                </c:pt>
                <c:pt idx="6">
                  <c:v>0.67014620336483099</c:v>
                </c:pt>
                <c:pt idx="7">
                  <c:v>0.68072950696706525</c:v>
                </c:pt>
                <c:pt idx="8">
                  <c:v>0.66946923607331388</c:v>
                </c:pt>
                <c:pt idx="9">
                  <c:v>0.65497719613949135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3-4A11-B756-863C206A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017039"/>
        <c:axId val="1727016623"/>
      </c:scatterChart>
      <c:valAx>
        <c:axId val="1599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sz="600"/>
                  <a:t>z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292565616797898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6873135"/>
        <c:crosses val="autoZero"/>
        <c:crossBetween val="midCat"/>
      </c:valAx>
      <c:valAx>
        <c:axId val="15868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</a:t>
                </a:r>
                <a:r>
                  <a:rPr lang="pl-PL" sz="600"/>
                  <a:t>z</a:t>
                </a:r>
                <a:r>
                  <a:rPr lang="pl-PL"/>
                  <a:t>, I</a:t>
                </a:r>
                <a:r>
                  <a:rPr lang="pl-PL" sz="600"/>
                  <a:t>z</a:t>
                </a:r>
                <a:r>
                  <a:rPr lang="pl-PL"/>
                  <a:t>, cos fi</a:t>
                </a:r>
                <a:r>
                  <a:rPr lang="pl-PL" sz="600"/>
                  <a:t>z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3333333333333333E-2"/>
              <c:y val="2.1739938757655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099679"/>
        <c:crosses val="autoZero"/>
        <c:crossBetween val="midCat"/>
      </c:valAx>
      <c:valAx>
        <c:axId val="1727016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7017039"/>
        <c:crosses val="max"/>
        <c:crossBetween val="midCat"/>
      </c:valAx>
      <c:valAx>
        <c:axId val="1727017039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72701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2112362536962"/>
          <c:y val="0.11428571428571428"/>
          <c:w val="0.56925163626698572"/>
          <c:h val="0.80036835395575556"/>
        </c:manualLayout>
      </c:layout>
      <c:scatterChart>
        <c:scatterStyle val="smoothMarker"/>
        <c:varyColors val="0"/>
        <c:ser>
          <c:idx val="0"/>
          <c:order val="0"/>
          <c:tx>
            <c:v>obciążenie indukcyjne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'Zmiennośc napięcia'!$D$4:$D$8</c:f>
              <c:numCache>
                <c:formatCode>General</c:formatCode>
                <c:ptCount val="5"/>
                <c:pt idx="0">
                  <c:v>6.75</c:v>
                </c:pt>
                <c:pt idx="1">
                  <c:v>13.5</c:v>
                </c:pt>
                <c:pt idx="2">
                  <c:v>20.25</c:v>
                </c:pt>
                <c:pt idx="3">
                  <c:v>27</c:v>
                </c:pt>
                <c:pt idx="4">
                  <c:v>33.75</c:v>
                </c:pt>
              </c:numCache>
            </c:numRef>
          </c:xVal>
          <c:yVal>
            <c:numRef>
              <c:f>'Zmiennośc napięcia'!$F$4:$F$8</c:f>
              <c:numCache>
                <c:formatCode>0.0</c:formatCode>
                <c:ptCount val="5"/>
                <c:pt idx="0">
                  <c:v>218.10780178135371</c:v>
                </c:pt>
                <c:pt idx="1">
                  <c:v>216.21559787081324</c:v>
                </c:pt>
                <c:pt idx="2">
                  <c:v>214.32338826837861</c:v>
                </c:pt>
                <c:pt idx="3">
                  <c:v>212.43117297404982</c:v>
                </c:pt>
                <c:pt idx="4">
                  <c:v>210.53895198782686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8-4EAE-BB35-C8D51BDA605C}"/>
            </c:ext>
          </c:extLst>
        </c:ser>
        <c:ser>
          <c:idx val="1"/>
          <c:order val="1"/>
          <c:tx>
            <c:v>obciążenie pojemnościowe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'Zmiennośc napięcia'!$D$9:$D$13</c:f>
              <c:numCache>
                <c:formatCode>General</c:formatCode>
                <c:ptCount val="5"/>
                <c:pt idx="0">
                  <c:v>6.75</c:v>
                </c:pt>
                <c:pt idx="1">
                  <c:v>13.5</c:v>
                </c:pt>
                <c:pt idx="2">
                  <c:v>20.25</c:v>
                </c:pt>
                <c:pt idx="3">
                  <c:v>27</c:v>
                </c:pt>
                <c:pt idx="4">
                  <c:v>33.75</c:v>
                </c:pt>
              </c:numCache>
            </c:numRef>
          </c:xVal>
          <c:yVal>
            <c:numRef>
              <c:f>'Zmiennośc napięcia'!$F$9:$F$13</c:f>
              <c:numCache>
                <c:formatCode>0.0</c:formatCode>
                <c:ptCount val="5"/>
                <c:pt idx="0">
                  <c:v>220.19018602884518</c:v>
                </c:pt>
                <c:pt idx="1">
                  <c:v>220.38053885250801</c:v>
                </c:pt>
                <c:pt idx="2">
                  <c:v>220.57105847098859</c:v>
                </c:pt>
                <c:pt idx="3">
                  <c:v>220.76174488428683</c:v>
                </c:pt>
                <c:pt idx="4">
                  <c:v>220.95259809240281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A8-4EAE-BB35-C8D51BDA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50943"/>
        <c:axId val="1586863983"/>
      </c:scatterChart>
      <c:valAx>
        <c:axId val="15075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r>
                  <a:rPr lang="pl-PL" sz="600"/>
                  <a:t>2n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0853765905844046"/>
              <c:y val="0.82017127859017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6863983"/>
        <c:crosses val="autoZero"/>
        <c:crossBetween val="midCat"/>
      </c:valAx>
      <c:valAx>
        <c:axId val="1586863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/>
                  <a:t>U</a:t>
                </a:r>
                <a:r>
                  <a:rPr lang="pl-PL" sz="600"/>
                  <a:t>2</a:t>
                </a:r>
                <a:endParaRPr lang="pl-PL" sz="1400"/>
              </a:p>
            </c:rich>
          </c:tx>
          <c:layout>
            <c:manualLayout>
              <c:xMode val="edge"/>
              <c:yMode val="edge"/>
              <c:x val="0.10126582278481013"/>
              <c:y val="3.788886389201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755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922887803581514"/>
          <c:y val="0.43952335958005251"/>
          <c:w val="0.27178378019203298"/>
          <c:h val="0.12857232845894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E-2"/>
          <c:y val="0.12638877952755909"/>
          <c:w val="0.74558889928968675"/>
          <c:h val="0.75600328083989499"/>
        </c:manualLayout>
      </c:layout>
      <c:scatterChart>
        <c:scatterStyle val="smoothMarker"/>
        <c:varyColors val="0"/>
        <c:ser>
          <c:idx val="0"/>
          <c:order val="0"/>
          <c:tx>
            <c:v>η, cos fi=1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Sprawność!$D$4:$D$8</c:f>
              <c:numCache>
                <c:formatCode>General</c:formatCode>
                <c:ptCount val="5"/>
                <c:pt idx="0">
                  <c:v>6.75</c:v>
                </c:pt>
                <c:pt idx="1">
                  <c:v>13.5</c:v>
                </c:pt>
                <c:pt idx="2">
                  <c:v>20.25</c:v>
                </c:pt>
                <c:pt idx="3">
                  <c:v>27</c:v>
                </c:pt>
                <c:pt idx="4">
                  <c:v>33.75</c:v>
                </c:pt>
              </c:numCache>
            </c:numRef>
          </c:xVal>
          <c:yVal>
            <c:numRef>
              <c:f>Sprawność!$L$4:$L$8</c:f>
              <c:numCache>
                <c:formatCode>0%</c:formatCode>
                <c:ptCount val="5"/>
                <c:pt idx="0">
                  <c:v>0.93667292415767944</c:v>
                </c:pt>
                <c:pt idx="1">
                  <c:v>0.95767364779332786</c:v>
                </c:pt>
                <c:pt idx="2">
                  <c:v>0.960603494174192</c:v>
                </c:pt>
                <c:pt idx="3">
                  <c:v>0.95887931916091862</c:v>
                </c:pt>
                <c:pt idx="4">
                  <c:v>0.95531182128823866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353-BB57-01CB9F6876EC}"/>
            </c:ext>
          </c:extLst>
        </c:ser>
        <c:ser>
          <c:idx val="1"/>
          <c:order val="1"/>
          <c:tx>
            <c:v>η, cos fi=0,8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Sprawność!$D$4:$D$8</c:f>
              <c:numCache>
                <c:formatCode>General</c:formatCode>
                <c:ptCount val="5"/>
                <c:pt idx="0">
                  <c:v>6.75</c:v>
                </c:pt>
                <c:pt idx="1">
                  <c:v>13.5</c:v>
                </c:pt>
                <c:pt idx="2">
                  <c:v>20.25</c:v>
                </c:pt>
                <c:pt idx="3">
                  <c:v>27</c:v>
                </c:pt>
                <c:pt idx="4">
                  <c:v>33.75</c:v>
                </c:pt>
              </c:numCache>
            </c:numRef>
          </c:xVal>
          <c:yVal>
            <c:numRef>
              <c:f>Sprawność!$L$9:$L$13</c:f>
              <c:numCache>
                <c:formatCode>0%</c:formatCode>
                <c:ptCount val="5"/>
                <c:pt idx="0">
                  <c:v>0.92207484819666785</c:v>
                </c:pt>
                <c:pt idx="1">
                  <c:v>0.94764604769779837</c:v>
                </c:pt>
                <c:pt idx="2">
                  <c:v>0.95123466368182907</c:v>
                </c:pt>
                <c:pt idx="3">
                  <c:v>0.9491221815843629</c:v>
                </c:pt>
                <c:pt idx="4">
                  <c:v>0.94475695438406504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353-BB57-01CB9F68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67567"/>
        <c:axId val="1764193903"/>
      </c:scatterChart>
      <c:scatterChart>
        <c:scatterStyle val="smoothMarker"/>
        <c:varyColors val="0"/>
        <c:ser>
          <c:idx val="2"/>
          <c:order val="2"/>
          <c:tx>
            <c:v>ΔPc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Sprawność!$D$4:$D$8</c:f>
              <c:numCache>
                <c:formatCode>General</c:formatCode>
                <c:ptCount val="5"/>
                <c:pt idx="0">
                  <c:v>6.75</c:v>
                </c:pt>
                <c:pt idx="1">
                  <c:v>13.5</c:v>
                </c:pt>
                <c:pt idx="2">
                  <c:v>20.25</c:v>
                </c:pt>
                <c:pt idx="3">
                  <c:v>27</c:v>
                </c:pt>
                <c:pt idx="4">
                  <c:v>33.75</c:v>
                </c:pt>
              </c:numCache>
            </c:numRef>
          </c:xVal>
          <c:yVal>
            <c:numRef>
              <c:f>Sprawność!$I$4:$I$8</c:f>
              <c:numCache>
                <c:formatCode>0.0</c:formatCode>
                <c:ptCount val="5"/>
                <c:pt idx="0">
                  <c:v>169.02131525598588</c:v>
                </c:pt>
                <c:pt idx="1">
                  <c:v>220.98526102394356</c:v>
                </c:pt>
                <c:pt idx="2">
                  <c:v>307.59183730387298</c:v>
                </c:pt>
                <c:pt idx="3">
                  <c:v>428.84104409577424</c:v>
                </c:pt>
                <c:pt idx="4">
                  <c:v>584.73288139964711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2-4353-BB57-01CB9F68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188495"/>
        <c:axId val="1764188079"/>
      </c:scatterChart>
      <c:valAx>
        <c:axId val="15856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r>
                  <a:rPr lang="pl-PL" sz="600"/>
                  <a:t>2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79278453829634932"/>
              <c:y val="0.83793963254593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4193903"/>
        <c:crosses val="autoZero"/>
        <c:crossBetween val="midCat"/>
      </c:valAx>
      <c:valAx>
        <c:axId val="17641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/>
                  <a:t>η</a:t>
                </a:r>
                <a:r>
                  <a:rPr lang="pl-PL" sz="1000" b="1" i="0" u="none" strike="noStrike" baseline="0"/>
                  <a:t>, </a:t>
                </a:r>
                <a:r>
                  <a:rPr lang="el-GR" sz="1000" b="1" i="0" u="none" strike="noStrike" baseline="0"/>
                  <a:t>Δ</a:t>
                </a:r>
                <a:r>
                  <a:rPr lang="pl-PL" sz="1000" b="1" i="0" u="none" strike="noStrike" baseline="0"/>
                  <a:t>P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1445221445221454E-2"/>
              <c:y val="3.9332677165354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5667567"/>
        <c:crosses val="autoZero"/>
        <c:crossBetween val="midCat"/>
      </c:valAx>
      <c:valAx>
        <c:axId val="1764188079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4188495"/>
        <c:crosses val="max"/>
        <c:crossBetween val="midCat"/>
      </c:valAx>
      <c:valAx>
        <c:axId val="1764188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18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chart" Target="../charts/chart1.xml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chart" Target="../charts/chart2.xml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Relationship Id="rId9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10" Type="http://schemas.openxmlformats.org/officeDocument/2006/relationships/chart" Target="../charts/chart4.xml"/><Relationship Id="rId4" Type="http://schemas.openxmlformats.org/officeDocument/2006/relationships/image" Target="../media/image34.png"/><Relationship Id="rId9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8</xdr:col>
      <xdr:colOff>152400</xdr:colOff>
      <xdr:row>2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BB5182D-8C16-4F24-9813-37A9B1B6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905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161925</xdr:colOff>
      <xdr:row>2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71C87C5-CD4C-4420-B5CF-8DBF0FC13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05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142875</xdr:colOff>
      <xdr:row>2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F7B86609-45E1-45F6-A750-3EF0268D7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05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200025</xdr:colOff>
      <xdr:row>2</xdr:row>
      <xdr:rowOff>180975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9064901-CC86-43F3-867F-B83C5709C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9052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266700</xdr:colOff>
      <xdr:row>1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6AB982A-5F03-4A9F-A238-199CB370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123825</xdr:colOff>
      <xdr:row>1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0DB106D-DFFA-49C9-B008-D3937EE6A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123825</xdr:colOff>
      <xdr:row>1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DD03835-8A51-4A0D-BE86-2A5618F68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114300</xdr:colOff>
      <xdr:row>1</xdr:row>
      <xdr:rowOff>180975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314081E-13DF-4C36-AC51-1C0E86838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9</xdr:col>
      <xdr:colOff>228600</xdr:colOff>
      <xdr:row>1</xdr:row>
      <xdr:rowOff>180975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DFCEE60A-3BE0-4A49-AED5-55BE61FBF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161925</xdr:colOff>
      <xdr:row>1</xdr:row>
      <xdr:rowOff>180975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4ED20078-6F81-4EBB-A76C-18542812E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00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304800</xdr:colOff>
      <xdr:row>1</xdr:row>
      <xdr:rowOff>180975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E825446C-4D84-4079-97A4-BA4243D8E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0025"/>
          <a:ext cx="304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295275</xdr:colOff>
      <xdr:row>1</xdr:row>
      <xdr:rowOff>133350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8F9F76BE-9633-41E4-A33F-EC0956CD0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0025"/>
          <a:ext cx="2952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209550</xdr:colOff>
      <xdr:row>1</xdr:row>
      <xdr:rowOff>180975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1199F79F-C514-4C05-BE5D-973A045F2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000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190500</xdr:colOff>
      <xdr:row>1</xdr:row>
      <xdr:rowOff>200025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E09F926D-0E75-434E-8BFD-2C4463628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0002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605117</xdr:colOff>
      <xdr:row>23</xdr:row>
      <xdr:rowOff>114300</xdr:rowOff>
    </xdr:from>
    <xdr:to>
      <xdr:col>14</xdr:col>
      <xdr:colOff>0</xdr:colOff>
      <xdr:row>50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9F99479-32FE-4449-A412-671F2A9EB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123825</xdr:colOff>
      <xdr:row>1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DA9A2CD-A973-4F49-ACDF-F41CFB6F4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133350</xdr:colOff>
      <xdr:row>1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8F7730C-B1CC-46CC-A1F4-E9D4DF803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123825</xdr:colOff>
      <xdr:row>1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41D8C8D9-5C65-4E32-A1C2-B498F1303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266700</xdr:colOff>
      <xdr:row>1</xdr:row>
      <xdr:rowOff>180975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1E3D1BE0-FE84-4F49-83E9-390471343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9</xdr:col>
      <xdr:colOff>219075</xdr:colOff>
      <xdr:row>1</xdr:row>
      <xdr:rowOff>180975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CF29CD9A-E369-4909-8A71-F032CCC0B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152400</xdr:colOff>
      <xdr:row>1</xdr:row>
      <xdr:rowOff>180975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2F2AFBB8-6786-4EE3-B599-2CDEBC3CE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390525</xdr:colOff>
      <xdr:row>1</xdr:row>
      <xdr:rowOff>180975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B90C2250-36DC-4DF6-B4C1-1B0B69D5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0025"/>
          <a:ext cx="3905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161925</xdr:colOff>
      <xdr:row>1</xdr:row>
      <xdr:rowOff>180975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D582A9EB-B9A2-4300-98BC-35E24A01B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00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161925</xdr:colOff>
      <xdr:row>1</xdr:row>
      <xdr:rowOff>180975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2F24C8A8-ED6F-4537-BA60-D6409573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000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104775</xdr:colOff>
      <xdr:row>2</xdr:row>
      <xdr:rowOff>180975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31E28E7-7D28-404D-B8D4-0763E6DBD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47675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104775</xdr:colOff>
      <xdr:row>2</xdr:row>
      <xdr:rowOff>180975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60DFB574-D36E-44AF-A8C1-291B3E3F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47675"/>
          <a:ext cx="1047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10</xdr:row>
      <xdr:rowOff>152400</xdr:rowOff>
    </xdr:from>
    <xdr:to>
      <xdr:col>22</xdr:col>
      <xdr:colOff>304800</xdr:colOff>
      <xdr:row>24</xdr:row>
      <xdr:rowOff>171450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371494F-2A14-4370-832B-E06F3999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419100</xdr:colOff>
      <xdr:row>1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57EF140-E7A0-44A4-825D-3966C48C2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419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133350</xdr:colOff>
      <xdr:row>1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824304A-BCA6-49EB-AA60-D35C97DC3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180975</xdr:colOff>
      <xdr:row>1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127ECD4-00E2-4E4B-8680-98B9ABBAB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428625</xdr:colOff>
      <xdr:row>1</xdr:row>
      <xdr:rowOff>180975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88AD03B-650F-442D-AD92-870AC9604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419100</xdr:colOff>
      <xdr:row>1</xdr:row>
      <xdr:rowOff>180975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47C7BBB-5BD1-4098-AAEA-79A48E187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180975</xdr:colOff>
      <xdr:row>1</xdr:row>
      <xdr:rowOff>180975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8D7EF7A5-19A0-4990-9CDD-4852577BA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9</xdr:col>
      <xdr:colOff>180975</xdr:colOff>
      <xdr:row>1</xdr:row>
      <xdr:rowOff>180975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786F30FA-27F2-45DC-AAB4-EA90138EB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247650</xdr:colOff>
      <xdr:row>1</xdr:row>
      <xdr:rowOff>180975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06E8985-1D41-4282-8B9F-CC497510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025"/>
          <a:ext cx="247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10</xdr:col>
      <xdr:colOff>0</xdr:colOff>
      <xdr:row>35</xdr:row>
      <xdr:rowOff>95250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E8120EE-A835-4BBE-BF5C-347A58194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419100</xdr:colOff>
      <xdr:row>1</xdr:row>
      <xdr:rowOff>180975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2B4B135-05F9-4D8A-BDE8-4402E0D60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00425"/>
          <a:ext cx="419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133350</xdr:colOff>
      <xdr:row>1</xdr:row>
      <xdr:rowOff>180975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663C40-F014-4022-86F1-5D032546A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04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333375</xdr:colOff>
      <xdr:row>1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2590715-4F3C-48B1-881C-661BA0564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0425"/>
          <a:ext cx="3333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333375</xdr:colOff>
      <xdr:row>1</xdr:row>
      <xdr:rowOff>180975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ADA4E853-DCA0-4EA0-8C41-4DEFE06F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400425"/>
          <a:ext cx="3333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371475</xdr:colOff>
      <xdr:row>1</xdr:row>
      <xdr:rowOff>180975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3896BDFC-9A40-43B8-B0F0-7583DF853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00425"/>
          <a:ext cx="371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266700</xdr:colOff>
      <xdr:row>1</xdr:row>
      <xdr:rowOff>180975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0A9CC62-C334-4A93-BEBF-C22385E92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0042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9</xdr:col>
      <xdr:colOff>171450</xdr:colOff>
      <xdr:row>1</xdr:row>
      <xdr:rowOff>180975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90235EC9-AC63-4A0B-87C7-7E99E70B7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4004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428625</xdr:colOff>
      <xdr:row>1</xdr:row>
      <xdr:rowOff>180975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888D66B9-78D8-4280-83FD-B7E2362CC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00425"/>
          <a:ext cx="428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95250</xdr:colOff>
      <xdr:row>1</xdr:row>
      <xdr:rowOff>180975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6978A56-C774-41B0-834E-D64B4099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00425"/>
          <a:ext cx="95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28575</xdr:colOff>
      <xdr:row>15</xdr:row>
      <xdr:rowOff>19050</xdr:rowOff>
    </xdr:from>
    <xdr:to>
      <xdr:col>17</xdr:col>
      <xdr:colOff>333375</xdr:colOff>
      <xdr:row>31</xdr:row>
      <xdr:rowOff>19050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FAFDB05-D8DD-42C4-A8E0-1CC054AA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124E-A3EB-4924-A281-AF7925983D2B}">
  <dimension ref="A2:M23"/>
  <sheetViews>
    <sheetView workbookViewId="0">
      <selection activeCell="G24" sqref="G24"/>
    </sheetView>
  </sheetViews>
  <sheetFormatPr defaultRowHeight="15" x14ac:dyDescent="0.25"/>
  <cols>
    <col min="8" max="8" width="9.5703125" customWidth="1"/>
  </cols>
  <sheetData>
    <row r="2" spans="1:13" ht="15.75" thickBot="1" x14ac:dyDescent="0.3">
      <c r="B2" t="s">
        <v>0</v>
      </c>
    </row>
    <row r="3" spans="1:13" ht="19.5" thickBot="1" x14ac:dyDescent="0.3">
      <c r="B3" s="30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/>
      <c r="J3" s="4"/>
      <c r="K3" s="4"/>
      <c r="L3" s="4"/>
      <c r="M3" s="30" t="s">
        <v>8</v>
      </c>
    </row>
    <row r="4" spans="1:13" ht="16.5" thickBot="1" x14ac:dyDescent="0.3">
      <c r="B4" s="31"/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10</v>
      </c>
      <c r="J4" s="5" t="s">
        <v>10</v>
      </c>
      <c r="K4" s="5" t="s">
        <v>10</v>
      </c>
      <c r="L4" s="5" t="s">
        <v>10</v>
      </c>
      <c r="M4" s="31"/>
    </row>
    <row r="5" spans="1:13" ht="16.5" thickBot="1" x14ac:dyDescent="0.3">
      <c r="B5" s="6">
        <v>1</v>
      </c>
      <c r="C5" s="5">
        <v>208.4</v>
      </c>
      <c r="D5" s="5">
        <v>208.4</v>
      </c>
      <c r="E5" s="5">
        <v>208</v>
      </c>
      <c r="F5" s="5">
        <v>91.5</v>
      </c>
      <c r="G5" s="5">
        <v>91.5</v>
      </c>
      <c r="H5" s="5">
        <v>91.5</v>
      </c>
      <c r="I5" s="5">
        <v>2.2776000000000001</v>
      </c>
      <c r="J5" s="5">
        <v>2.2776000000000001</v>
      </c>
      <c r="K5" s="5">
        <v>2.2732000000000001</v>
      </c>
      <c r="L5" s="5">
        <v>2.2761</v>
      </c>
      <c r="M5" s="5">
        <v>2.2799999999999998</v>
      </c>
    </row>
    <row r="6" spans="1:13" x14ac:dyDescent="0.25">
      <c r="I6">
        <v>2.2799999999999998</v>
      </c>
      <c r="J6">
        <v>2.2799999999999998</v>
      </c>
      <c r="K6">
        <v>2.27</v>
      </c>
      <c r="L6">
        <f>AVERAGE(I6:K6)</f>
        <v>2.2766666666666668</v>
      </c>
    </row>
    <row r="7" spans="1:13" x14ac:dyDescent="0.25">
      <c r="B7" t="s">
        <v>19</v>
      </c>
      <c r="C7">
        <v>0.2</v>
      </c>
      <c r="L7">
        <v>2.2799999999999998</v>
      </c>
    </row>
    <row r="9" spans="1:13" x14ac:dyDescent="0.25">
      <c r="B9" t="s">
        <v>20</v>
      </c>
      <c r="C9">
        <f>0.2*(300/C5)</f>
        <v>0.28790786948176583</v>
      </c>
      <c r="D9">
        <f t="shared" ref="D9:E9" si="0">0.2*(300/D5)</f>
        <v>0.28790786948176583</v>
      </c>
      <c r="E9">
        <f t="shared" si="0"/>
        <v>0.28846153846153849</v>
      </c>
      <c r="F9">
        <f>0.2*(150/F5)</f>
        <v>0.32786885245901642</v>
      </c>
      <c r="G9">
        <f t="shared" ref="G9:H9" si="1">0.2*(150/G5)</f>
        <v>0.32786885245901642</v>
      </c>
      <c r="H9">
        <f t="shared" si="1"/>
        <v>0.32786885245901642</v>
      </c>
      <c r="I9">
        <f>C5/F5</f>
        <v>2.2775956284153005</v>
      </c>
      <c r="J9">
        <f t="shared" ref="J9:K9" si="2">D5/G5</f>
        <v>2.2775956284153005</v>
      </c>
      <c r="K9">
        <f t="shared" si="2"/>
        <v>2.2732240437158469</v>
      </c>
      <c r="L9">
        <f>AVERAGE(I9:K9)</f>
        <v>2.2761384335154826</v>
      </c>
    </row>
    <row r="10" spans="1:13" x14ac:dyDescent="0.25">
      <c r="C10">
        <v>0.3</v>
      </c>
      <c r="D10">
        <v>0.3</v>
      </c>
      <c r="E10">
        <v>0.3</v>
      </c>
      <c r="F10">
        <v>0.4</v>
      </c>
      <c r="G10">
        <v>0.4</v>
      </c>
      <c r="H10">
        <v>0.4</v>
      </c>
    </row>
    <row r="11" spans="1:13" x14ac:dyDescent="0.25">
      <c r="C11">
        <f>C10/C5</f>
        <v>1.439539347408829E-3</v>
      </c>
      <c r="D11">
        <f t="shared" ref="D11:H11" si="3">D10/D5</f>
        <v>1.439539347408829E-3</v>
      </c>
      <c r="E11">
        <f t="shared" si="3"/>
        <v>1.4423076923076922E-3</v>
      </c>
      <c r="F11">
        <f t="shared" si="3"/>
        <v>4.3715846994535519E-3</v>
      </c>
      <c r="G11">
        <f t="shared" si="3"/>
        <v>4.3715846994535519E-3</v>
      </c>
      <c r="H11">
        <f t="shared" si="3"/>
        <v>4.3715846994535519E-3</v>
      </c>
    </row>
    <row r="12" spans="1:13" x14ac:dyDescent="0.25">
      <c r="A12" t="s">
        <v>21</v>
      </c>
      <c r="B12">
        <f>SQRT(C11^2+F11^2)/SQRT(3)*100</f>
        <v>0.26572558725895307</v>
      </c>
      <c r="C12">
        <f t="shared" ref="C12:F12" si="4">SQRT(D11^2+G11^2)/SQRT(3)*100</f>
        <v>0.26572558725895307</v>
      </c>
      <c r="D12">
        <f t="shared" si="4"/>
        <v>0.26577562130354959</v>
      </c>
      <c r="E12">
        <f t="shared" si="4"/>
        <v>0.25239356030147575</v>
      </c>
      <c r="F12">
        <f t="shared" si="4"/>
        <v>0.25239356030147575</v>
      </c>
      <c r="L12">
        <f>0.4225*L5/100</f>
        <v>9.6165225000000003E-3</v>
      </c>
    </row>
    <row r="13" spans="1:13" x14ac:dyDescent="0.25">
      <c r="A13" t="s">
        <v>21</v>
      </c>
      <c r="B13">
        <f>B12*I5/100</f>
        <v>6.0521659754099151E-3</v>
      </c>
      <c r="C13">
        <f t="shared" ref="C13:F13" si="5">C12*J5/100</f>
        <v>6.0521659754099151E-3</v>
      </c>
      <c r="D13">
        <f t="shared" si="5"/>
        <v>6.0416114234722899E-3</v>
      </c>
      <c r="E13">
        <f t="shared" si="5"/>
        <v>5.7447298260218894E-3</v>
      </c>
      <c r="F13">
        <f t="shared" si="5"/>
        <v>5.7545731748736458E-3</v>
      </c>
    </row>
    <row r="14" spans="1:13" x14ac:dyDescent="0.25">
      <c r="L14">
        <f>0.01/L5*100</f>
        <v>0.43934800755678577</v>
      </c>
    </row>
    <row r="15" spans="1:13" x14ac:dyDescent="0.25">
      <c r="B15">
        <f>0.01/L5*100</f>
        <v>0.43934800755678577</v>
      </c>
      <c r="C15">
        <f>0.001*100/L5</f>
        <v>4.3934800755678578E-2</v>
      </c>
    </row>
    <row r="17" spans="2:10" x14ac:dyDescent="0.25">
      <c r="J17">
        <f>0.005*L9</f>
        <v>1.1380692167577413E-2</v>
      </c>
    </row>
    <row r="18" spans="2:10" x14ac:dyDescent="0.25">
      <c r="B18">
        <f>2.28/L5</f>
        <v>1.0017134572294715</v>
      </c>
    </row>
    <row r="21" spans="2:10" x14ac:dyDescent="0.25">
      <c r="G21">
        <f>500/220</f>
        <v>2.2727272727272729</v>
      </c>
    </row>
    <row r="23" spans="2:10" x14ac:dyDescent="0.25">
      <c r="G23">
        <f>2.28/G21</f>
        <v>1.0031999999999999</v>
      </c>
    </row>
  </sheetData>
  <mergeCells count="2">
    <mergeCell ref="B3:B4"/>
    <mergeCell ref="M3:M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A91F-AE84-4964-9AA7-CB2B0070DB39}">
  <dimension ref="B1:T23"/>
  <sheetViews>
    <sheetView topLeftCell="A7" zoomScale="85" zoomScaleNormal="85" workbookViewId="0">
      <selection activeCell="L12" sqref="L12"/>
    </sheetView>
  </sheetViews>
  <sheetFormatPr defaultRowHeight="15" x14ac:dyDescent="0.25"/>
  <cols>
    <col min="10" max="10" width="13.140625" bestFit="1" customWidth="1"/>
    <col min="12" max="12" width="16.5703125" bestFit="1" customWidth="1"/>
    <col min="13" max="15" width="13.140625" bestFit="1" customWidth="1"/>
  </cols>
  <sheetData>
    <row r="1" spans="2:20" ht="15.75" thickBot="1" x14ac:dyDescent="0.3"/>
    <row r="2" spans="2:20" ht="19.5" thickBot="1" x14ac:dyDescent="0.3">
      <c r="B2" s="30" t="s">
        <v>1</v>
      </c>
      <c r="C2" s="3" t="s">
        <v>5</v>
      </c>
      <c r="D2" s="3" t="s">
        <v>6</v>
      </c>
      <c r="E2" s="3" t="s">
        <v>11</v>
      </c>
      <c r="F2" s="7"/>
      <c r="G2" s="8"/>
      <c r="H2" s="7"/>
      <c r="I2" s="4"/>
      <c r="J2" s="4"/>
      <c r="K2" s="4"/>
      <c r="L2" s="4"/>
      <c r="M2" s="10"/>
      <c r="N2" s="4"/>
      <c r="O2" s="4"/>
      <c r="P2" s="30" t="s">
        <v>8</v>
      </c>
    </row>
    <row r="3" spans="2:20" ht="16.5" thickBot="1" x14ac:dyDescent="0.3">
      <c r="B3" s="31"/>
      <c r="C3" s="5" t="s">
        <v>9</v>
      </c>
      <c r="D3" s="5" t="s">
        <v>9</v>
      </c>
      <c r="E3" s="5" t="s">
        <v>9</v>
      </c>
      <c r="F3" s="5" t="s">
        <v>9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13</v>
      </c>
      <c r="L3" s="5" t="s">
        <v>13</v>
      </c>
      <c r="M3" s="5" t="s">
        <v>10</v>
      </c>
      <c r="N3" s="5" t="s">
        <v>12</v>
      </c>
      <c r="O3" s="5" t="s">
        <v>12</v>
      </c>
      <c r="P3" s="31"/>
    </row>
    <row r="4" spans="2:20" ht="16.5" thickBot="1" x14ac:dyDescent="0.3">
      <c r="B4" s="6">
        <v>1</v>
      </c>
      <c r="C4" s="5">
        <v>24.2</v>
      </c>
      <c r="D4" s="5">
        <v>24</v>
      </c>
      <c r="E4" s="5">
        <v>24.1</v>
      </c>
      <c r="F4" s="18">
        <f>AVERAGE(C4:E4)</f>
        <v>24.100000000000005</v>
      </c>
      <c r="G4" s="5">
        <v>0.21</v>
      </c>
      <c r="H4" s="5">
        <v>0.14000000000000001</v>
      </c>
      <c r="I4" s="5">
        <v>0.21</v>
      </c>
      <c r="J4" s="19">
        <f>AVERAGE(G4:I4)</f>
        <v>0.18666666666666665</v>
      </c>
      <c r="K4" s="18">
        <v>3.9</v>
      </c>
      <c r="L4" s="18">
        <f>K4-3*(J4^2)*$E$18</f>
        <v>3.8952772931742614</v>
      </c>
      <c r="M4" s="19">
        <f>K4/(SQRT(3)*J4*F4)</f>
        <v>0.5005185350858492</v>
      </c>
      <c r="N4" s="19">
        <f>J4*M4</f>
        <v>9.3430126549358505E-2</v>
      </c>
      <c r="O4" s="19">
        <f>J4*SQRT(1-M4^2)</f>
        <v>0.16160215313359935</v>
      </c>
      <c r="P4" s="5"/>
      <c r="Q4">
        <f>N4*F4</f>
        <v>2.2516660498395407</v>
      </c>
      <c r="R4">
        <f>O4*F4</f>
        <v>3.8946118905197453</v>
      </c>
      <c r="S4">
        <f>SQRT(Q4^2+R4^2)</f>
        <v>4.4986666666666677</v>
      </c>
      <c r="T4">
        <f>J4*F4</f>
        <v>4.4986666666666668</v>
      </c>
    </row>
    <row r="5" spans="2:20" ht="16.5" thickBot="1" x14ac:dyDescent="0.3">
      <c r="B5" s="6">
        <v>2</v>
      </c>
      <c r="C5" s="5">
        <v>50</v>
      </c>
      <c r="D5" s="5">
        <v>49.8</v>
      </c>
      <c r="E5" s="5">
        <v>49.9</v>
      </c>
      <c r="F5" s="18">
        <f t="shared" ref="F5:F13" si="0">AVERAGE(C5:E5)</f>
        <v>49.9</v>
      </c>
      <c r="G5" s="5">
        <v>0.28000000000000003</v>
      </c>
      <c r="H5" s="5">
        <v>0.19</v>
      </c>
      <c r="I5" s="5">
        <v>0.28000000000000003</v>
      </c>
      <c r="J5" s="19">
        <f t="shared" ref="J5:J13" si="1">AVERAGE(G5:I5)</f>
        <v>0.25</v>
      </c>
      <c r="K5" s="18">
        <v>12.4</v>
      </c>
      <c r="L5" s="18">
        <f t="shared" ref="L5:L13" si="2">K5-3*(J5^2)*$E$18</f>
        <v>12.391528945824369</v>
      </c>
      <c r="M5" s="19">
        <f t="shared" ref="M5:M13" si="3">K5/(SQRT(3)*J5*F5)</f>
        <v>0.57387922548708292</v>
      </c>
      <c r="N5" s="19">
        <f t="shared" ref="N5:N13" si="4">J5*M5</f>
        <v>0.14346980637177073</v>
      </c>
      <c r="O5" s="19">
        <f t="shared" ref="O5:O13" si="5">J5*SQRT(1-M5^2)</f>
        <v>0.20473498640839727</v>
      </c>
      <c r="P5" s="5"/>
      <c r="Q5">
        <f t="shared" ref="Q5:Q13" si="6">N5*F5</f>
        <v>7.1591433379513596</v>
      </c>
      <c r="R5">
        <f t="shared" ref="R5:R12" si="7">O5*F5</f>
        <v>10.216275821779023</v>
      </c>
      <c r="S5">
        <f t="shared" ref="S5:S12" si="8">SQRT(Q5^2+R5^2)</f>
        <v>12.475</v>
      </c>
      <c r="T5">
        <f t="shared" ref="T5:T13" si="9">J5*F5</f>
        <v>12.475</v>
      </c>
    </row>
    <row r="6" spans="2:20" ht="16.5" thickBot="1" x14ac:dyDescent="0.3">
      <c r="B6" s="6">
        <v>3</v>
      </c>
      <c r="C6" s="5">
        <v>76.5</v>
      </c>
      <c r="D6" s="5">
        <v>76.3</v>
      </c>
      <c r="E6" s="5">
        <v>76.5</v>
      </c>
      <c r="F6" s="18">
        <f t="shared" si="0"/>
        <v>76.433333333333337</v>
      </c>
      <c r="G6" s="5">
        <v>0.34</v>
      </c>
      <c r="H6" s="5">
        <v>0.23</v>
      </c>
      <c r="I6" s="5">
        <v>0.35</v>
      </c>
      <c r="J6" s="19">
        <f t="shared" si="1"/>
        <v>0.3066666666666667</v>
      </c>
      <c r="K6" s="18">
        <v>24.7</v>
      </c>
      <c r="L6" s="18">
        <f t="shared" si="2"/>
        <v>24.687253510659104</v>
      </c>
      <c r="M6" s="19">
        <f t="shared" si="3"/>
        <v>0.60839684503334246</v>
      </c>
      <c r="N6" s="19">
        <f t="shared" si="4"/>
        <v>0.18657503247689169</v>
      </c>
      <c r="O6" s="19">
        <f t="shared" si="5"/>
        <v>0.24338077512550424</v>
      </c>
      <c r="P6" s="5"/>
      <c r="Q6">
        <f t="shared" si="6"/>
        <v>14.260551648983755</v>
      </c>
      <c r="R6">
        <f t="shared" si="7"/>
        <v>18.602403912092708</v>
      </c>
      <c r="S6">
        <f t="shared" si="8"/>
        <v>23.439555555555557</v>
      </c>
      <c r="T6">
        <f t="shared" si="9"/>
        <v>23.439555555555557</v>
      </c>
    </row>
    <row r="7" spans="2:20" ht="16.5" thickBot="1" x14ac:dyDescent="0.3">
      <c r="B7" s="6">
        <v>4</v>
      </c>
      <c r="C7" s="5">
        <v>100.8</v>
      </c>
      <c r="D7" s="5">
        <v>100.6</v>
      </c>
      <c r="E7" s="5">
        <v>100.9</v>
      </c>
      <c r="F7" s="18">
        <f t="shared" si="0"/>
        <v>100.76666666666665</v>
      </c>
      <c r="G7" s="5">
        <v>0.41</v>
      </c>
      <c r="H7" s="5">
        <v>0.28000000000000003</v>
      </c>
      <c r="I7" s="5">
        <v>0.41</v>
      </c>
      <c r="J7" s="19">
        <f t="shared" si="1"/>
        <v>0.36666666666666664</v>
      </c>
      <c r="K7" s="18">
        <v>38.6</v>
      </c>
      <c r="L7" s="18">
        <f t="shared" si="2"/>
        <v>38.581777821239974</v>
      </c>
      <c r="M7" s="19">
        <f t="shared" si="3"/>
        <v>0.60316808563581048</v>
      </c>
      <c r="N7" s="19">
        <f t="shared" si="4"/>
        <v>0.22116163139979717</v>
      </c>
      <c r="O7" s="19">
        <f t="shared" si="5"/>
        <v>0.29245850516103084</v>
      </c>
      <c r="P7" s="5"/>
      <c r="Q7">
        <f t="shared" si="6"/>
        <v>22.285720390719558</v>
      </c>
      <c r="R7">
        <f t="shared" si="7"/>
        <v>29.470068703393203</v>
      </c>
      <c r="S7">
        <f t="shared" si="8"/>
        <v>36.947777777777773</v>
      </c>
      <c r="T7">
        <f t="shared" si="9"/>
        <v>36.947777777777766</v>
      </c>
    </row>
    <row r="8" spans="2:20" ht="16.5" thickBot="1" x14ac:dyDescent="0.3">
      <c r="B8" s="6">
        <v>5</v>
      </c>
      <c r="C8" s="5">
        <v>125.7</v>
      </c>
      <c r="D8" s="5">
        <v>125.2</v>
      </c>
      <c r="E8" s="5">
        <v>125.6</v>
      </c>
      <c r="F8" s="18">
        <f t="shared" si="0"/>
        <v>125.5</v>
      </c>
      <c r="G8" s="5">
        <v>0.5</v>
      </c>
      <c r="H8" s="5">
        <v>0.34</v>
      </c>
      <c r="I8" s="5">
        <v>0.49</v>
      </c>
      <c r="J8" s="19">
        <f t="shared" si="1"/>
        <v>0.44333333333333336</v>
      </c>
      <c r="K8" s="18">
        <v>55.3</v>
      </c>
      <c r="L8" s="18">
        <f t="shared" si="2"/>
        <v>55.273360981811066</v>
      </c>
      <c r="M8" s="19">
        <f t="shared" si="3"/>
        <v>0.57383943718994046</v>
      </c>
      <c r="N8" s="19">
        <f t="shared" si="4"/>
        <v>0.25440215048754028</v>
      </c>
      <c r="O8" s="19">
        <f t="shared" si="5"/>
        <v>0.36307573627517348</v>
      </c>
      <c r="P8" s="5"/>
      <c r="Q8">
        <f t="shared" si="6"/>
        <v>31.927469886186305</v>
      </c>
      <c r="R8">
        <f t="shared" si="7"/>
        <v>45.566004902534274</v>
      </c>
      <c r="S8">
        <f t="shared" si="8"/>
        <v>55.638333333333328</v>
      </c>
      <c r="T8">
        <f t="shared" si="9"/>
        <v>55.638333333333335</v>
      </c>
    </row>
    <row r="9" spans="2:20" ht="16.5" thickBot="1" x14ac:dyDescent="0.3">
      <c r="B9" s="6">
        <v>6</v>
      </c>
      <c r="C9" s="5">
        <v>152.1</v>
      </c>
      <c r="D9" s="5">
        <v>151.5</v>
      </c>
      <c r="E9" s="5">
        <v>151.9</v>
      </c>
      <c r="F9" s="18">
        <f t="shared" si="0"/>
        <v>151.83333333333334</v>
      </c>
      <c r="G9" s="5">
        <v>0.63</v>
      </c>
      <c r="H9" s="5">
        <v>0.44</v>
      </c>
      <c r="I9" s="5">
        <v>0.62</v>
      </c>
      <c r="J9" s="19">
        <f t="shared" si="1"/>
        <v>0.56333333333333335</v>
      </c>
      <c r="K9" s="18">
        <v>76.599999999999994</v>
      </c>
      <c r="L9" s="18">
        <f t="shared" si="2"/>
        <v>76.556988128300404</v>
      </c>
      <c r="M9" s="19">
        <f t="shared" si="3"/>
        <v>0.5170535994379386</v>
      </c>
      <c r="N9" s="19">
        <f t="shared" si="4"/>
        <v>0.29127352768337211</v>
      </c>
      <c r="O9" s="19">
        <f t="shared" si="5"/>
        <v>0.48218686887484646</v>
      </c>
      <c r="P9" s="5"/>
      <c r="Q9">
        <f t="shared" si="6"/>
        <v>44.225030619925334</v>
      </c>
      <c r="R9">
        <f t="shared" si="7"/>
        <v>73.212039590830855</v>
      </c>
      <c r="S9">
        <f t="shared" si="8"/>
        <v>85.532777777777795</v>
      </c>
      <c r="T9">
        <f t="shared" si="9"/>
        <v>85.532777777777781</v>
      </c>
    </row>
    <row r="10" spans="2:20" ht="16.5" thickBot="1" x14ac:dyDescent="0.3">
      <c r="B10" s="6">
        <v>7</v>
      </c>
      <c r="C10" s="5">
        <v>177.9</v>
      </c>
      <c r="D10" s="5">
        <v>177.3</v>
      </c>
      <c r="E10" s="5">
        <v>177.9</v>
      </c>
      <c r="F10" s="18">
        <f t="shared" si="0"/>
        <v>177.70000000000002</v>
      </c>
      <c r="G10" s="5">
        <v>0.86</v>
      </c>
      <c r="H10" s="5">
        <v>0.63</v>
      </c>
      <c r="I10" s="5">
        <v>0.86</v>
      </c>
      <c r="J10" s="19">
        <f t="shared" si="1"/>
        <v>0.78333333333333333</v>
      </c>
      <c r="K10" s="18">
        <v>101</v>
      </c>
      <c r="L10" s="18">
        <f t="shared" si="2"/>
        <v>100.91683307256014</v>
      </c>
      <c r="M10" s="19">
        <f t="shared" si="3"/>
        <v>0.41891577141598102</v>
      </c>
      <c r="N10" s="19">
        <f t="shared" si="4"/>
        <v>0.32815068760918514</v>
      </c>
      <c r="O10" s="19">
        <f t="shared" si="5"/>
        <v>0.71128632584405149</v>
      </c>
      <c r="P10" s="5"/>
      <c r="Q10">
        <f t="shared" si="6"/>
        <v>58.312377188152205</v>
      </c>
      <c r="R10">
        <f t="shared" si="7"/>
        <v>126.39558010248797</v>
      </c>
      <c r="S10">
        <f t="shared" si="8"/>
        <v>139.19833333333335</v>
      </c>
      <c r="T10">
        <f t="shared" si="9"/>
        <v>139.19833333333335</v>
      </c>
    </row>
    <row r="11" spans="2:20" ht="16.5" thickBot="1" x14ac:dyDescent="0.3">
      <c r="B11" s="6">
        <v>8</v>
      </c>
      <c r="C11" s="5">
        <v>201.2</v>
      </c>
      <c r="D11" s="5">
        <v>200.7</v>
      </c>
      <c r="E11" s="5">
        <v>201.5</v>
      </c>
      <c r="F11" s="18">
        <f t="shared" si="0"/>
        <v>201.13333333333333</v>
      </c>
      <c r="G11" s="5">
        <v>1.21</v>
      </c>
      <c r="H11" s="5">
        <v>0.93</v>
      </c>
      <c r="I11" s="5">
        <v>1.22</v>
      </c>
      <c r="J11" s="19">
        <f t="shared" si="1"/>
        <v>1.1200000000000001</v>
      </c>
      <c r="K11" s="18">
        <v>126.7</v>
      </c>
      <c r="L11" s="18">
        <f t="shared" si="2"/>
        <v>126.52998255427342</v>
      </c>
      <c r="M11" s="19">
        <f t="shared" si="3"/>
        <v>0.32472364535337961</v>
      </c>
      <c r="N11" s="19">
        <f t="shared" si="4"/>
        <v>0.3636904827957852</v>
      </c>
      <c r="O11" s="19">
        <f t="shared" si="5"/>
        <v>1.059306014673649</v>
      </c>
      <c r="P11" s="5"/>
      <c r="Q11">
        <f t="shared" si="6"/>
        <v>73.150279106325598</v>
      </c>
      <c r="R11">
        <f t="shared" si="7"/>
        <v>213.06174975135994</v>
      </c>
      <c r="S11">
        <f t="shared" si="8"/>
        <v>225.26933333333335</v>
      </c>
      <c r="T11">
        <f t="shared" si="9"/>
        <v>225.26933333333335</v>
      </c>
    </row>
    <row r="12" spans="2:20" ht="16.5" thickBot="1" x14ac:dyDescent="0.3">
      <c r="B12" s="6">
        <v>9</v>
      </c>
      <c r="C12" s="5">
        <v>221.5</v>
      </c>
      <c r="D12" s="5">
        <v>220.9</v>
      </c>
      <c r="E12" s="5">
        <v>221.5</v>
      </c>
      <c r="F12" s="18">
        <f t="shared" si="0"/>
        <v>221.29999999999998</v>
      </c>
      <c r="G12" s="5">
        <v>1.68</v>
      </c>
      <c r="H12" s="5">
        <v>1.35</v>
      </c>
      <c r="I12" s="5">
        <v>1.73</v>
      </c>
      <c r="J12" s="19">
        <f t="shared" si="1"/>
        <v>1.5866666666666667</v>
      </c>
      <c r="K12" s="18">
        <v>152</v>
      </c>
      <c r="L12" s="22">
        <f t="shared" si="2"/>
        <v>151.65878443184042</v>
      </c>
      <c r="M12" s="19">
        <f t="shared" si="3"/>
        <v>0.24992853796556383</v>
      </c>
      <c r="N12" s="19">
        <f t="shared" si="4"/>
        <v>0.39655328023869463</v>
      </c>
      <c r="O12" s="19">
        <f t="shared" si="5"/>
        <v>1.5363126657822757</v>
      </c>
      <c r="P12" s="5"/>
      <c r="Q12">
        <f t="shared" si="6"/>
        <v>87.757240916823108</v>
      </c>
      <c r="R12">
        <f t="shared" si="7"/>
        <v>339.9859929376176</v>
      </c>
      <c r="S12">
        <f t="shared" si="8"/>
        <v>351.12933333333331</v>
      </c>
      <c r="T12">
        <f t="shared" si="9"/>
        <v>351.12933333333331</v>
      </c>
    </row>
    <row r="13" spans="2:20" ht="16.5" thickBot="1" x14ac:dyDescent="0.3">
      <c r="B13" s="6">
        <v>10</v>
      </c>
      <c r="C13" s="5">
        <v>241.7</v>
      </c>
      <c r="D13" s="5">
        <v>241.4</v>
      </c>
      <c r="E13" s="5">
        <v>242.4</v>
      </c>
      <c r="F13" s="18">
        <f t="shared" si="0"/>
        <v>241.83333333333334</v>
      </c>
      <c r="G13" s="5">
        <v>2.35</v>
      </c>
      <c r="H13" s="5">
        <v>1.95</v>
      </c>
      <c r="I13" s="5">
        <v>2.4500000000000002</v>
      </c>
      <c r="J13" s="19">
        <f t="shared" si="1"/>
        <v>2.25</v>
      </c>
      <c r="K13" s="18">
        <v>183.1</v>
      </c>
      <c r="L13" s="18">
        <f t="shared" si="2"/>
        <v>182.4138446117739</v>
      </c>
      <c r="M13" s="19">
        <f t="shared" si="3"/>
        <v>0.19428042138960805</v>
      </c>
      <c r="N13" s="19">
        <f t="shared" si="4"/>
        <v>0.43713094812661812</v>
      </c>
      <c r="O13" s="19">
        <f t="shared" si="5"/>
        <v>2.2071285721928215</v>
      </c>
      <c r="P13" s="5"/>
      <c r="Q13">
        <f t="shared" si="6"/>
        <v>105.71283428862048</v>
      </c>
      <c r="R13">
        <f>O13*F13</f>
        <v>533.75725970863073</v>
      </c>
      <c r="S13">
        <f>SQRT(Q13^2+R13^2)</f>
        <v>544.125</v>
      </c>
      <c r="T13">
        <f t="shared" si="9"/>
        <v>544.125</v>
      </c>
    </row>
    <row r="17" spans="2:13" x14ac:dyDescent="0.25">
      <c r="D17" t="s">
        <v>32</v>
      </c>
      <c r="E17" t="s">
        <v>33</v>
      </c>
      <c r="M17">
        <f>ACOS(M4)</f>
        <v>1.0465986948907688</v>
      </c>
    </row>
    <row r="18" spans="2:13" x14ac:dyDescent="0.25">
      <c r="C18" t="s">
        <v>30</v>
      </c>
      <c r="D18">
        <v>3.5000000000000003E-2</v>
      </c>
      <c r="E18">
        <f>D18*(348+20-38)/(273.65+20-38)</f>
        <v>4.5178955603363984E-2</v>
      </c>
      <c r="H18" t="s">
        <v>41</v>
      </c>
      <c r="I18">
        <v>27</v>
      </c>
      <c r="M18">
        <f>SIN(M17)</f>
        <v>0.86572582035856793</v>
      </c>
    </row>
    <row r="19" spans="2:13" x14ac:dyDescent="0.25">
      <c r="B19" t="s">
        <v>29</v>
      </c>
      <c r="C19" t="s">
        <v>31</v>
      </c>
      <c r="D19">
        <v>0.31</v>
      </c>
      <c r="E19">
        <f>D19*(348+20-38)/(273.65+20-38)</f>
        <v>0.40015646391550952</v>
      </c>
    </row>
    <row r="20" spans="2:13" x14ac:dyDescent="0.25">
      <c r="M20">
        <f>SQRT(1-M4^2)</f>
        <v>0.86572582035856804</v>
      </c>
    </row>
    <row r="23" spans="2:13" x14ac:dyDescent="0.25">
      <c r="C23" t="s">
        <v>34</v>
      </c>
    </row>
  </sheetData>
  <mergeCells count="2">
    <mergeCell ref="B2:B3"/>
    <mergeCell ref="P2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599A-7F19-4D7F-A70D-B32031569B01}">
  <dimension ref="B1:O30"/>
  <sheetViews>
    <sheetView topLeftCell="B1" workbookViewId="0">
      <selection activeCell="L18" sqref="L18"/>
    </sheetView>
  </sheetViews>
  <sheetFormatPr defaultRowHeight="15" x14ac:dyDescent="0.25"/>
  <cols>
    <col min="9" max="9" width="9.7109375" customWidth="1"/>
    <col min="12" max="12" width="7.7109375" customWidth="1"/>
    <col min="13" max="14" width="13.140625" bestFit="1" customWidth="1"/>
  </cols>
  <sheetData>
    <row r="1" spans="2:15" ht="15.75" thickBot="1" x14ac:dyDescent="0.3"/>
    <row r="2" spans="2:15" ht="19.5" thickBot="1" x14ac:dyDescent="0.3">
      <c r="B2" s="30" t="s">
        <v>1</v>
      </c>
      <c r="C2" s="3" t="s">
        <v>2</v>
      </c>
      <c r="D2" s="3" t="s">
        <v>3</v>
      </c>
      <c r="E2" s="3" t="s">
        <v>4</v>
      </c>
      <c r="F2" s="8"/>
      <c r="G2" s="7"/>
      <c r="H2" s="4"/>
      <c r="I2" s="4"/>
      <c r="J2" s="9"/>
      <c r="K2" s="4"/>
      <c r="L2" s="4"/>
      <c r="M2" s="4"/>
      <c r="N2" s="4"/>
      <c r="O2" s="30" t="s">
        <v>8</v>
      </c>
    </row>
    <row r="3" spans="2:15" ht="16.5" thickBot="1" x14ac:dyDescent="0.3">
      <c r="B3" s="31"/>
      <c r="C3" s="5" t="s">
        <v>9</v>
      </c>
      <c r="D3" s="5" t="s">
        <v>9</v>
      </c>
      <c r="E3" s="5" t="s">
        <v>9</v>
      </c>
      <c r="F3" s="5" t="s">
        <v>12</v>
      </c>
      <c r="G3" s="5" t="s">
        <v>12</v>
      </c>
      <c r="H3" s="5" t="s">
        <v>12</v>
      </c>
      <c r="I3" s="5" t="s">
        <v>9</v>
      </c>
      <c r="J3" s="5" t="s">
        <v>12</v>
      </c>
      <c r="K3" s="5" t="s">
        <v>13</v>
      </c>
      <c r="L3" s="5" t="s">
        <v>10</v>
      </c>
      <c r="M3" s="11"/>
      <c r="N3" s="11"/>
      <c r="O3" s="31"/>
    </row>
    <row r="4" spans="2:15" ht="16.5" thickBot="1" x14ac:dyDescent="0.3">
      <c r="B4" s="6">
        <v>1</v>
      </c>
      <c r="C4" s="5">
        <v>18.2</v>
      </c>
      <c r="D4" s="5">
        <v>18.3</v>
      </c>
      <c r="E4" s="5">
        <v>18.5</v>
      </c>
      <c r="F4" s="5">
        <v>12.43</v>
      </c>
      <c r="G4" s="5">
        <v>12.7</v>
      </c>
      <c r="H4" s="5">
        <v>11.83</v>
      </c>
      <c r="I4" s="18">
        <f>AVERAGE(C4:E4)</f>
        <v>18.333333333333332</v>
      </c>
      <c r="J4" s="19">
        <f>AVERAGE(F4:H4)</f>
        <v>12.32</v>
      </c>
      <c r="K4" s="5">
        <v>265.10000000000002</v>
      </c>
      <c r="L4" s="19">
        <f>K4/(SQRT(3)*J4*I4)</f>
        <v>0.67763676075340828</v>
      </c>
      <c r="M4" s="19">
        <f>K4/(3*J4^2)</f>
        <v>0.5821931045145331</v>
      </c>
      <c r="N4" s="19">
        <f>SQRT(((I4/(SQRT(3)*J4))^2-(M4^2)))</f>
        <v>0.63181774925182155</v>
      </c>
      <c r="O4" s="5"/>
    </row>
    <row r="5" spans="2:15" s="24" customFormat="1" ht="16.5" thickBot="1" x14ac:dyDescent="0.3">
      <c r="B5" s="20">
        <v>2</v>
      </c>
      <c r="C5" s="21">
        <v>17.399999999999999</v>
      </c>
      <c r="D5" s="21">
        <v>17.5</v>
      </c>
      <c r="E5" s="21">
        <v>17.7</v>
      </c>
      <c r="F5" s="21">
        <v>11.84</v>
      </c>
      <c r="G5" s="21">
        <v>12.13</v>
      </c>
      <c r="H5" s="21">
        <v>11.3</v>
      </c>
      <c r="I5" s="22">
        <f t="shared" ref="I5:I13" si="0">AVERAGE(C5:E5)</f>
        <v>17.533333333333331</v>
      </c>
      <c r="J5" s="23">
        <f t="shared" ref="J5:J13" si="1">AVERAGE(F5:H5)</f>
        <v>11.756666666666666</v>
      </c>
      <c r="K5" s="21">
        <v>242.2</v>
      </c>
      <c r="L5" s="23">
        <f t="shared" ref="L5:L13" si="2">K5/(SQRT(3)*J5*I5)</f>
        <v>0.67836716259444874</v>
      </c>
      <c r="M5" s="23">
        <f t="shared" ref="M5:M13" si="3">K5/(3*J5^2)</f>
        <v>0.5840963255710796</v>
      </c>
      <c r="N5" s="23">
        <f t="shared" ref="N5:N13" si="4">SQRT(ABS((I5/(SQRT(3)*J5))^2-(M5^2)))</f>
        <v>0.63262060784237817</v>
      </c>
      <c r="O5" s="21"/>
    </row>
    <row r="6" spans="2:15" ht="16.5" thickBot="1" x14ac:dyDescent="0.3">
      <c r="B6" s="6">
        <v>3</v>
      </c>
      <c r="C6" s="5">
        <v>15.5</v>
      </c>
      <c r="D6" s="5">
        <v>15.5</v>
      </c>
      <c r="E6" s="5">
        <v>15.8</v>
      </c>
      <c r="F6" s="5">
        <v>10.44</v>
      </c>
      <c r="G6" s="5">
        <v>10.77</v>
      </c>
      <c r="H6" s="5">
        <v>10.039999999999999</v>
      </c>
      <c r="I6" s="18">
        <f t="shared" si="0"/>
        <v>15.6</v>
      </c>
      <c r="J6" s="19">
        <f t="shared" si="1"/>
        <v>10.416666666666666</v>
      </c>
      <c r="K6" s="5">
        <v>192.2</v>
      </c>
      <c r="L6" s="19">
        <f t="shared" si="2"/>
        <v>0.68287213377382205</v>
      </c>
      <c r="M6" s="19">
        <f t="shared" si="3"/>
        <v>0.59043840000000014</v>
      </c>
      <c r="N6" s="19">
        <f t="shared" si="4"/>
        <v>0.63165213195669656</v>
      </c>
      <c r="O6" s="5"/>
    </row>
    <row r="7" spans="2:15" ht="16.5" thickBot="1" x14ac:dyDescent="0.3">
      <c r="B7" s="6">
        <v>4</v>
      </c>
      <c r="C7" s="5">
        <v>14.1</v>
      </c>
      <c r="D7" s="5">
        <v>14.2</v>
      </c>
      <c r="E7" s="5">
        <v>14.4</v>
      </c>
      <c r="F7" s="5">
        <v>9.5500000000000007</v>
      </c>
      <c r="G7" s="5">
        <v>9.83</v>
      </c>
      <c r="H7" s="5">
        <v>9.16</v>
      </c>
      <c r="I7" s="18">
        <f t="shared" si="0"/>
        <v>14.233333333333333</v>
      </c>
      <c r="J7" s="19">
        <f t="shared" si="1"/>
        <v>9.5133333333333336</v>
      </c>
      <c r="K7" s="5">
        <v>159.9</v>
      </c>
      <c r="L7" s="19">
        <f t="shared" si="2"/>
        <v>0.68178666401138832</v>
      </c>
      <c r="M7" s="19">
        <f t="shared" si="3"/>
        <v>0.58892742773883788</v>
      </c>
      <c r="N7" s="19">
        <f t="shared" si="4"/>
        <v>0.63191391574676847</v>
      </c>
      <c r="O7" s="5"/>
    </row>
    <row r="8" spans="2:15" ht="16.5" thickBot="1" x14ac:dyDescent="0.3">
      <c r="B8" s="6">
        <v>5</v>
      </c>
      <c r="C8" s="5">
        <v>12.6</v>
      </c>
      <c r="D8" s="5">
        <v>12.6</v>
      </c>
      <c r="E8" s="5">
        <v>12.8</v>
      </c>
      <c r="F8" s="5">
        <v>8.48</v>
      </c>
      <c r="G8" s="5">
        <v>8.75</v>
      </c>
      <c r="H8" s="5">
        <v>8.1300000000000008</v>
      </c>
      <c r="I8" s="18">
        <f t="shared" si="0"/>
        <v>12.666666666666666</v>
      </c>
      <c r="J8" s="19">
        <f t="shared" si="1"/>
        <v>8.4533333333333331</v>
      </c>
      <c r="K8" s="5">
        <v>126.1</v>
      </c>
      <c r="L8" s="19">
        <f t="shared" si="2"/>
        <v>0.67992987350915901</v>
      </c>
      <c r="M8" s="19">
        <f t="shared" si="3"/>
        <v>0.58821736707500327</v>
      </c>
      <c r="N8" s="19">
        <f t="shared" si="4"/>
        <v>0.63436887635134498</v>
      </c>
      <c r="O8" s="5"/>
    </row>
    <row r="9" spans="2:15" ht="16.5" thickBot="1" x14ac:dyDescent="0.3">
      <c r="B9" s="6">
        <v>6</v>
      </c>
      <c r="C9" s="5">
        <v>10.6</v>
      </c>
      <c r="D9" s="5">
        <v>10.7</v>
      </c>
      <c r="E9" s="5">
        <v>10.8</v>
      </c>
      <c r="F9" s="5">
        <v>7.15</v>
      </c>
      <c r="G9" s="5">
        <v>7.44</v>
      </c>
      <c r="H9" s="5">
        <v>6.85</v>
      </c>
      <c r="I9" s="18">
        <f t="shared" si="0"/>
        <v>10.699999999999998</v>
      </c>
      <c r="J9" s="19">
        <f t="shared" si="1"/>
        <v>7.1466666666666656</v>
      </c>
      <c r="K9" s="5">
        <v>90.7</v>
      </c>
      <c r="L9" s="19">
        <f t="shared" si="2"/>
        <v>0.68479306844790599</v>
      </c>
      <c r="M9" s="19">
        <f t="shared" si="3"/>
        <v>0.59194176041434643</v>
      </c>
      <c r="N9" s="19">
        <f t="shared" si="4"/>
        <v>0.6299278175814147</v>
      </c>
      <c r="O9" s="5"/>
    </row>
    <row r="10" spans="2:15" ht="16.5" thickBot="1" x14ac:dyDescent="0.3">
      <c r="B10" s="6">
        <v>7</v>
      </c>
      <c r="C10" s="5">
        <v>8.3000000000000007</v>
      </c>
      <c r="D10" s="5">
        <v>8.3000000000000007</v>
      </c>
      <c r="E10" s="5">
        <v>8.4</v>
      </c>
      <c r="F10" s="5">
        <v>5.5</v>
      </c>
      <c r="G10" s="5">
        <v>5.74</v>
      </c>
      <c r="H10" s="5">
        <v>5.26</v>
      </c>
      <c r="I10" s="18">
        <f t="shared" si="0"/>
        <v>8.3333333333333339</v>
      </c>
      <c r="J10" s="19">
        <f t="shared" si="1"/>
        <v>5.5</v>
      </c>
      <c r="K10" s="5">
        <v>53.2</v>
      </c>
      <c r="L10" s="19">
        <f t="shared" si="2"/>
        <v>0.67014620336483099</v>
      </c>
      <c r="M10" s="19">
        <f t="shared" si="3"/>
        <v>0.58622589531680447</v>
      </c>
      <c r="N10" s="19">
        <f t="shared" si="4"/>
        <v>0.64928209402025083</v>
      </c>
      <c r="O10" s="5"/>
    </row>
    <row r="11" spans="2:15" ht="16.5" thickBot="1" x14ac:dyDescent="0.3">
      <c r="B11" s="6">
        <v>8</v>
      </c>
      <c r="C11" s="5">
        <v>5.9</v>
      </c>
      <c r="D11" s="5">
        <v>5.9</v>
      </c>
      <c r="E11" s="5">
        <v>6</v>
      </c>
      <c r="F11" s="5">
        <v>3.88</v>
      </c>
      <c r="G11" s="5">
        <v>4.13</v>
      </c>
      <c r="H11" s="5">
        <v>3.74</v>
      </c>
      <c r="I11" s="18">
        <f t="shared" si="0"/>
        <v>5.9333333333333336</v>
      </c>
      <c r="J11" s="19">
        <f t="shared" si="1"/>
        <v>3.9166666666666665</v>
      </c>
      <c r="K11" s="5">
        <v>27.4</v>
      </c>
      <c r="L11" s="19">
        <f t="shared" si="2"/>
        <v>0.68072950696706525</v>
      </c>
      <c r="M11" s="19">
        <f t="shared" si="3"/>
        <v>0.59538252602987785</v>
      </c>
      <c r="N11" s="19">
        <f t="shared" si="4"/>
        <v>0.64069275371445966</v>
      </c>
      <c r="O11" s="5"/>
    </row>
    <row r="12" spans="2:15" ht="16.5" thickBot="1" x14ac:dyDescent="0.3">
      <c r="B12" s="6">
        <v>9</v>
      </c>
      <c r="C12" s="5">
        <v>2.5</v>
      </c>
      <c r="D12" s="5">
        <v>2.6</v>
      </c>
      <c r="E12" s="5">
        <v>2.6</v>
      </c>
      <c r="F12" s="5">
        <v>1.68</v>
      </c>
      <c r="G12" s="5">
        <v>1.75</v>
      </c>
      <c r="H12" s="5">
        <v>1.61</v>
      </c>
      <c r="I12" s="18">
        <f t="shared" si="0"/>
        <v>2.5666666666666664</v>
      </c>
      <c r="J12" s="19">
        <f t="shared" si="1"/>
        <v>1.68</v>
      </c>
      <c r="K12" s="5">
        <v>5</v>
      </c>
      <c r="L12" s="19">
        <f t="shared" si="2"/>
        <v>0.66946923607331388</v>
      </c>
      <c r="M12" s="19">
        <f t="shared" si="3"/>
        <v>0.59051398337112637</v>
      </c>
      <c r="N12" s="19">
        <f t="shared" si="4"/>
        <v>0.65523142084841557</v>
      </c>
      <c r="O12" s="5"/>
    </row>
    <row r="13" spans="2:15" ht="16.5" thickBot="1" x14ac:dyDescent="0.3">
      <c r="B13" s="6">
        <v>10</v>
      </c>
      <c r="C13" s="5">
        <v>1.1000000000000001</v>
      </c>
      <c r="D13" s="5">
        <v>1.1000000000000001</v>
      </c>
      <c r="E13" s="5">
        <v>1.2</v>
      </c>
      <c r="F13" s="5">
        <v>0.69</v>
      </c>
      <c r="G13" s="5">
        <v>0.73</v>
      </c>
      <c r="H13" s="5">
        <v>0.68</v>
      </c>
      <c r="I13" s="18">
        <f t="shared" si="0"/>
        <v>1.1333333333333335</v>
      </c>
      <c r="J13" s="19">
        <f t="shared" si="1"/>
        <v>0.70000000000000007</v>
      </c>
      <c r="K13" s="5">
        <v>0.9</v>
      </c>
      <c r="L13" s="19">
        <f t="shared" si="2"/>
        <v>0.65497719613949135</v>
      </c>
      <c r="M13" s="19">
        <f t="shared" si="3"/>
        <v>0.61224489795918358</v>
      </c>
      <c r="N13" s="19">
        <f t="shared" si="4"/>
        <v>0.70634829640732988</v>
      </c>
      <c r="O13" s="5"/>
    </row>
    <row r="15" spans="2:15" x14ac:dyDescent="0.25">
      <c r="K15" t="s">
        <v>24</v>
      </c>
      <c r="L15" s="25">
        <f>AVERAGE(L4:L13)</f>
        <v>0.67607078056348335</v>
      </c>
    </row>
    <row r="16" spans="2:15" x14ac:dyDescent="0.25">
      <c r="G16" t="s">
        <v>28</v>
      </c>
      <c r="H16" s="29">
        <f>17.5/500</f>
        <v>3.5000000000000003E-2</v>
      </c>
      <c r="K16" t="s">
        <v>25</v>
      </c>
      <c r="L16" s="29">
        <f>H16*L15</f>
        <v>2.366247731972192E-2</v>
      </c>
      <c r="M16" s="29">
        <f>K5/10000</f>
        <v>2.4219999999999998E-2</v>
      </c>
    </row>
    <row r="17" spans="5:13" x14ac:dyDescent="0.25">
      <c r="K17" t="s">
        <v>23</v>
      </c>
      <c r="L17">
        <f>SQRT(1-L15^2)</f>
        <v>0.73683668452940254</v>
      </c>
    </row>
    <row r="18" spans="5:13" x14ac:dyDescent="0.25">
      <c r="E18" t="e">
        <f>pierw</f>
        <v>#NAME?</v>
      </c>
      <c r="K18" t="s">
        <v>26</v>
      </c>
      <c r="L18" s="29">
        <f>L17*H16</f>
        <v>2.5789283958529093E-2</v>
      </c>
      <c r="M18" s="29">
        <f>SQRT(H16^2-M16^2)</f>
        <v>2.5266412487727662E-2</v>
      </c>
    </row>
    <row r="20" spans="5:13" x14ac:dyDescent="0.25">
      <c r="H20">
        <f>11.5</f>
        <v>11.5</v>
      </c>
      <c r="I20" t="s">
        <v>42</v>
      </c>
    </row>
    <row r="21" spans="5:13" x14ac:dyDescent="0.25">
      <c r="I21">
        <f>J4/$H$20</f>
        <v>1.0713043478260871</v>
      </c>
    </row>
    <row r="22" spans="5:13" x14ac:dyDescent="0.25">
      <c r="I22">
        <f t="shared" ref="I22:I30" si="5">J5/$H$20</f>
        <v>1.0223188405797101</v>
      </c>
    </row>
    <row r="23" spans="5:13" x14ac:dyDescent="0.25">
      <c r="I23">
        <f t="shared" si="5"/>
        <v>0.90579710144927528</v>
      </c>
    </row>
    <row r="24" spans="5:13" x14ac:dyDescent="0.25">
      <c r="I24">
        <f t="shared" si="5"/>
        <v>0.82724637681159419</v>
      </c>
    </row>
    <row r="25" spans="5:13" x14ac:dyDescent="0.25">
      <c r="I25">
        <f t="shared" si="5"/>
        <v>0.73507246376811597</v>
      </c>
    </row>
    <row r="26" spans="5:13" x14ac:dyDescent="0.25">
      <c r="I26">
        <f t="shared" si="5"/>
        <v>0.62144927536231875</v>
      </c>
    </row>
    <row r="27" spans="5:13" x14ac:dyDescent="0.25">
      <c r="I27">
        <f t="shared" si="5"/>
        <v>0.47826086956521741</v>
      </c>
    </row>
    <row r="28" spans="5:13" x14ac:dyDescent="0.25">
      <c r="I28">
        <f t="shared" si="5"/>
        <v>0.34057971014492755</v>
      </c>
    </row>
    <row r="29" spans="5:13" x14ac:dyDescent="0.25">
      <c r="I29">
        <f t="shared" si="5"/>
        <v>0.14608695652173911</v>
      </c>
    </row>
    <row r="30" spans="5:13" x14ac:dyDescent="0.25">
      <c r="I30">
        <f t="shared" si="5"/>
        <v>6.0869565217391307E-2</v>
      </c>
    </row>
  </sheetData>
  <mergeCells count="2">
    <mergeCell ref="B2:B3"/>
    <mergeCell ref="O2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A4B7-8F8E-4A90-8A47-EFDE3D7982E6}">
  <dimension ref="B1:O17"/>
  <sheetViews>
    <sheetView tabSelected="1" workbookViewId="0">
      <selection activeCell="E9" sqref="E9:E13"/>
    </sheetView>
  </sheetViews>
  <sheetFormatPr defaultRowHeight="15" x14ac:dyDescent="0.25"/>
  <cols>
    <col min="5" max="5" width="13.140625" bestFit="1" customWidth="1"/>
    <col min="6" max="6" width="14.28515625" bestFit="1" customWidth="1"/>
    <col min="9" max="10" width="13.140625" bestFit="1" customWidth="1"/>
  </cols>
  <sheetData>
    <row r="1" spans="2:15" ht="15.75" thickBot="1" x14ac:dyDescent="0.3"/>
    <row r="2" spans="2:15" ht="16.5" thickBot="1" x14ac:dyDescent="0.3">
      <c r="B2" s="32" t="s">
        <v>1</v>
      </c>
      <c r="C2" s="12"/>
      <c r="D2" s="12"/>
      <c r="E2" s="13" t="s">
        <v>14</v>
      </c>
      <c r="F2" s="12"/>
      <c r="G2" s="12"/>
      <c r="H2" s="12"/>
      <c r="I2" s="12"/>
      <c r="J2" s="12"/>
      <c r="K2" s="12"/>
      <c r="L2" s="32" t="s">
        <v>8</v>
      </c>
    </row>
    <row r="3" spans="2:15" ht="16.5" thickBot="1" x14ac:dyDescent="0.3">
      <c r="B3" s="33"/>
      <c r="C3" s="5" t="s">
        <v>10</v>
      </c>
      <c r="D3" s="5" t="s">
        <v>12</v>
      </c>
      <c r="E3" s="5" t="s">
        <v>10</v>
      </c>
      <c r="F3" s="5" t="s">
        <v>9</v>
      </c>
      <c r="G3" s="5" t="s">
        <v>10</v>
      </c>
      <c r="H3" s="5" t="s">
        <v>10</v>
      </c>
      <c r="I3" s="5" t="s">
        <v>10</v>
      </c>
      <c r="J3" s="5" t="s">
        <v>10</v>
      </c>
      <c r="K3" s="5" t="s">
        <v>9</v>
      </c>
      <c r="L3" s="33"/>
    </row>
    <row r="4" spans="2:15" ht="16.5" thickBot="1" x14ac:dyDescent="0.3">
      <c r="B4" s="16">
        <v>1</v>
      </c>
      <c r="C4" s="14">
        <v>0.25</v>
      </c>
      <c r="D4" s="2">
        <f>C4*27</f>
        <v>6.75</v>
      </c>
      <c r="E4" s="26">
        <f>C4*($I$4*$G$4+$J$4*$H$4)+0.005*C4^2*($I$4*$H$4-$J$4*$G$4)^2</f>
        <v>8.6009009938468415E-3</v>
      </c>
      <c r="F4" s="27">
        <f>220*(1-E4)</f>
        <v>218.10780178135371</v>
      </c>
      <c r="G4" s="30">
        <v>0.8</v>
      </c>
      <c r="H4" s="30">
        <v>0.6</v>
      </c>
      <c r="I4" s="35">
        <f>'Stan zwarcia'!L16</f>
        <v>2.366247731972192E-2</v>
      </c>
      <c r="J4" s="35">
        <f>'Stan zwarcia'!L18</f>
        <v>2.5789283958529093E-2</v>
      </c>
      <c r="K4" s="30">
        <v>220</v>
      </c>
      <c r="L4" s="30" t="s">
        <v>15</v>
      </c>
    </row>
    <row r="5" spans="2:15" ht="16.5" thickBot="1" x14ac:dyDescent="0.3">
      <c r="B5" s="15">
        <v>2</v>
      </c>
      <c r="C5" s="14">
        <v>0.5</v>
      </c>
      <c r="D5" s="2">
        <f t="shared" ref="D5:D8" si="0">C5*27</f>
        <v>13.5</v>
      </c>
      <c r="E5" s="26">
        <f t="shared" ref="E5:E8" si="1">C5*($I$4*$G$4+$J$4*$H$4)+0.005*C5^2*($I$4*$H$4-$J$4*$G$4)^2</f>
        <v>1.7201827859939869E-2</v>
      </c>
      <c r="F5" s="27">
        <f t="shared" ref="F5:F13" si="2">220*(1-E5)</f>
        <v>216.21559787081324</v>
      </c>
      <c r="G5" s="34"/>
      <c r="H5" s="34"/>
      <c r="I5" s="36"/>
      <c r="J5" s="36"/>
      <c r="K5" s="34"/>
      <c r="L5" s="34"/>
    </row>
    <row r="6" spans="2:15" ht="16.5" thickBot="1" x14ac:dyDescent="0.3">
      <c r="B6" s="15">
        <v>3</v>
      </c>
      <c r="C6" s="14">
        <v>0.75</v>
      </c>
      <c r="D6" s="2">
        <f t="shared" si="0"/>
        <v>20.25</v>
      </c>
      <c r="E6" s="26">
        <f t="shared" si="1"/>
        <v>2.5802780598279076E-2</v>
      </c>
      <c r="F6" s="27">
        <f t="shared" si="2"/>
        <v>214.32338826837861</v>
      </c>
      <c r="G6" s="34"/>
      <c r="H6" s="34"/>
      <c r="I6" s="36"/>
      <c r="J6" s="36"/>
      <c r="K6" s="34"/>
      <c r="L6" s="34"/>
    </row>
    <row r="7" spans="2:15" ht="16.5" thickBot="1" x14ac:dyDescent="0.3">
      <c r="B7" s="15">
        <v>4</v>
      </c>
      <c r="C7" s="14">
        <v>1</v>
      </c>
      <c r="D7" s="2">
        <f t="shared" si="0"/>
        <v>27</v>
      </c>
      <c r="E7" s="26">
        <f t="shared" si="1"/>
        <v>3.4403759208864473E-2</v>
      </c>
      <c r="F7" s="27">
        <f t="shared" si="2"/>
        <v>212.43117297404982</v>
      </c>
      <c r="G7" s="34"/>
      <c r="H7" s="34"/>
      <c r="I7" s="36"/>
      <c r="J7" s="36"/>
      <c r="K7" s="34"/>
      <c r="L7" s="34"/>
    </row>
    <row r="8" spans="2:15" ht="16.5" thickBot="1" x14ac:dyDescent="0.3">
      <c r="B8" s="17">
        <v>5</v>
      </c>
      <c r="C8" s="5">
        <v>1.25</v>
      </c>
      <c r="D8" s="2">
        <f t="shared" si="0"/>
        <v>33.75</v>
      </c>
      <c r="E8" s="26">
        <f t="shared" si="1"/>
        <v>4.3004763691696056E-2</v>
      </c>
      <c r="F8" s="27">
        <f t="shared" si="2"/>
        <v>210.53895198782686</v>
      </c>
      <c r="G8" s="31"/>
      <c r="H8" s="31"/>
      <c r="I8" s="37"/>
      <c r="J8" s="37"/>
      <c r="K8" s="31"/>
      <c r="L8" s="31"/>
    </row>
    <row r="9" spans="2:15" ht="16.5" thickBot="1" x14ac:dyDescent="0.3">
      <c r="B9" s="16">
        <v>6</v>
      </c>
      <c r="C9" s="14">
        <v>0.25</v>
      </c>
      <c r="D9" s="2">
        <f>C9*27</f>
        <v>6.75</v>
      </c>
      <c r="E9" s="26">
        <f>(C9*($I$4*$G$9+$J$4*$H$9)+0.005*(C9^2)*($I$4*$H$9-$J$4*$G$9)^2)*(-1)</f>
        <v>-8.6448194929616951E-4</v>
      </c>
      <c r="F9" s="27">
        <f t="shared" si="2"/>
        <v>220.19018602884518</v>
      </c>
      <c r="G9" s="30">
        <v>0.8</v>
      </c>
      <c r="H9" s="30">
        <v>-0.6</v>
      </c>
      <c r="I9" s="35">
        <f>'Stan zwarcia'!L16</f>
        <v>2.366247731972192E-2</v>
      </c>
      <c r="J9" s="35">
        <f>'Stan zwarcia'!L18</f>
        <v>2.5789283958529093E-2</v>
      </c>
      <c r="K9" s="30">
        <v>220</v>
      </c>
      <c r="L9" s="30" t="s">
        <v>16</v>
      </c>
    </row>
    <row r="10" spans="2:15" ht="16.5" thickBot="1" x14ac:dyDescent="0.3">
      <c r="B10" s="15">
        <v>7</v>
      </c>
      <c r="C10" s="14">
        <v>0.5</v>
      </c>
      <c r="D10" s="2">
        <f t="shared" ref="D10:D13" si="3">C10*27</f>
        <v>13.5</v>
      </c>
      <c r="E10" s="26">
        <f t="shared" ref="E10:E13" si="4">(C10*($I$4*$G$9+$J$4*$H$9)+0.005*(C10^2)*($I$4*$H$9-$J$4*$G$9)^2)*(-1)</f>
        <v>-1.7297220568546366E-3</v>
      </c>
      <c r="F10" s="27">
        <f t="shared" si="2"/>
        <v>220.38053885250801</v>
      </c>
      <c r="G10" s="34"/>
      <c r="H10" s="34"/>
      <c r="I10" s="36"/>
      <c r="J10" s="36"/>
      <c r="K10" s="34"/>
      <c r="L10" s="34"/>
    </row>
    <row r="11" spans="2:15" ht="16.5" thickBot="1" x14ac:dyDescent="0.3">
      <c r="B11" s="15">
        <v>8</v>
      </c>
      <c r="C11" s="14">
        <v>0.75</v>
      </c>
      <c r="D11" s="2">
        <f t="shared" si="3"/>
        <v>20.25</v>
      </c>
      <c r="E11" s="26">
        <f t="shared" si="4"/>
        <v>-2.5957203226754017E-3</v>
      </c>
      <c r="F11" s="27">
        <f t="shared" si="2"/>
        <v>220.57105847098859</v>
      </c>
      <c r="G11" s="34"/>
      <c r="H11" s="34"/>
      <c r="I11" s="36"/>
      <c r="J11" s="36"/>
      <c r="K11" s="34"/>
      <c r="L11" s="34"/>
    </row>
    <row r="12" spans="2:15" ht="16.5" thickBot="1" x14ac:dyDescent="0.3">
      <c r="B12" s="15">
        <v>9</v>
      </c>
      <c r="C12" s="14">
        <v>1</v>
      </c>
      <c r="D12" s="2">
        <f t="shared" si="3"/>
        <v>27</v>
      </c>
      <c r="E12" s="26">
        <f t="shared" si="4"/>
        <v>-3.4624767467584644E-3</v>
      </c>
      <c r="F12" s="27">
        <f t="shared" si="2"/>
        <v>220.76174488428683</v>
      </c>
      <c r="G12" s="34"/>
      <c r="H12" s="34"/>
      <c r="I12" s="36"/>
      <c r="J12" s="36"/>
      <c r="K12" s="34"/>
      <c r="L12" s="34"/>
      <c r="O12">
        <f>SQRT(1-G9^2)</f>
        <v>0.59999999999999987</v>
      </c>
    </row>
    <row r="13" spans="2:15" ht="16.5" thickBot="1" x14ac:dyDescent="0.3">
      <c r="B13" s="17">
        <v>10</v>
      </c>
      <c r="C13" s="5">
        <v>1.25</v>
      </c>
      <c r="D13" s="2">
        <f t="shared" si="3"/>
        <v>33.75</v>
      </c>
      <c r="E13" s="26">
        <f t="shared" si="4"/>
        <v>-4.3299913291038241E-3</v>
      </c>
      <c r="F13" s="27">
        <f t="shared" si="2"/>
        <v>220.95259809240281</v>
      </c>
      <c r="G13" s="31"/>
      <c r="H13" s="31"/>
      <c r="I13" s="37"/>
      <c r="J13" s="37"/>
      <c r="K13" s="31"/>
      <c r="L13" s="31"/>
    </row>
    <row r="15" spans="2:15" ht="15.75" x14ac:dyDescent="0.25">
      <c r="B15" t="s">
        <v>22</v>
      </c>
      <c r="C15" s="1">
        <v>27</v>
      </c>
    </row>
    <row r="16" spans="2:15" ht="15.75" x14ac:dyDescent="0.25">
      <c r="B16" t="s">
        <v>27</v>
      </c>
      <c r="C16" s="1">
        <v>220</v>
      </c>
      <c r="F16" s="29">
        <f>(K4-F8)/220</f>
        <v>4.3004763691696077E-2</v>
      </c>
      <c r="G16" s="29">
        <f>(K4-F13)/220</f>
        <v>-4.3299913291036775E-3</v>
      </c>
    </row>
    <row r="17" spans="2:3" x14ac:dyDescent="0.25">
      <c r="B17" t="s">
        <v>28</v>
      </c>
      <c r="C17">
        <f>17.5/500*100</f>
        <v>3.5000000000000004</v>
      </c>
    </row>
  </sheetData>
  <mergeCells count="14">
    <mergeCell ref="K9:K13"/>
    <mergeCell ref="L9:L13"/>
    <mergeCell ref="K4:K8"/>
    <mergeCell ref="L4:L8"/>
    <mergeCell ref="G9:G13"/>
    <mergeCell ref="H9:H13"/>
    <mergeCell ref="I9:I13"/>
    <mergeCell ref="J9:J13"/>
    <mergeCell ref="B2:B3"/>
    <mergeCell ref="L2:L3"/>
    <mergeCell ref="G4:G8"/>
    <mergeCell ref="H4:H8"/>
    <mergeCell ref="I4:I8"/>
    <mergeCell ref="J4:J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91A2-B02B-4E1A-9898-6FBA554EAB03}">
  <dimension ref="B1:M23"/>
  <sheetViews>
    <sheetView topLeftCell="C1" workbookViewId="0">
      <selection activeCell="E20" sqref="E20"/>
    </sheetView>
  </sheetViews>
  <sheetFormatPr defaultRowHeight="15" x14ac:dyDescent="0.25"/>
  <cols>
    <col min="8" max="8" width="13.28515625" bestFit="1" customWidth="1"/>
    <col min="9" max="9" width="13.140625" bestFit="1" customWidth="1"/>
    <col min="12" max="12" width="13.140625" bestFit="1" customWidth="1"/>
  </cols>
  <sheetData>
    <row r="1" spans="2:13" ht="15.75" thickBot="1" x14ac:dyDescent="0.3"/>
    <row r="2" spans="2:13" ht="16.5" thickBot="1" x14ac:dyDescent="0.3">
      <c r="B2" s="38" t="s">
        <v>1</v>
      </c>
      <c r="C2" s="12"/>
      <c r="D2" s="12"/>
      <c r="E2" s="13" t="s">
        <v>17</v>
      </c>
      <c r="F2" s="12"/>
      <c r="G2" s="12"/>
      <c r="H2" s="12"/>
      <c r="I2" s="12"/>
      <c r="J2" s="12"/>
      <c r="K2" s="12"/>
      <c r="L2" s="12"/>
      <c r="M2" s="32" t="s">
        <v>8</v>
      </c>
    </row>
    <row r="3" spans="2:13" ht="16.5" thickBot="1" x14ac:dyDescent="0.3">
      <c r="B3" s="39"/>
      <c r="C3" s="5" t="s">
        <v>10</v>
      </c>
      <c r="D3" s="5" t="s">
        <v>12</v>
      </c>
      <c r="E3" s="5" t="s">
        <v>9</v>
      </c>
      <c r="F3" s="5" t="s">
        <v>13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10</v>
      </c>
      <c r="L3" s="5" t="s">
        <v>10</v>
      </c>
      <c r="M3" s="33"/>
    </row>
    <row r="4" spans="2:13" ht="16.5" thickBot="1" x14ac:dyDescent="0.3">
      <c r="B4" s="16">
        <v>1</v>
      </c>
      <c r="C4" s="14">
        <v>0.25</v>
      </c>
      <c r="D4" s="2">
        <f>C4*27</f>
        <v>6.75</v>
      </c>
      <c r="E4" s="30">
        <v>500</v>
      </c>
      <c r="F4" s="30">
        <v>151.69999999999999</v>
      </c>
      <c r="G4" s="30">
        <v>242.2</v>
      </c>
      <c r="H4" s="27">
        <f>((C4^2)*3*($D$16*$D$16*$G$16+$D$17*$D$17*$G$17)*((348-38)/(293.65-38)))+((C4^2)*($G$4-3*($D$16*$D$16*$G$16+$D$17*$D$17*$G$17))*((293.65-38)/(348-38)))</f>
        <v>17.321315255985891</v>
      </c>
      <c r="I4" s="27">
        <f>H4+$F$4</f>
        <v>169.02131525598588</v>
      </c>
      <c r="J4" s="2">
        <f>C4*$B$23*$K$4</f>
        <v>2500</v>
      </c>
      <c r="K4" s="30">
        <v>1</v>
      </c>
      <c r="L4" s="28">
        <f>1-(I4/(J4+I4))</f>
        <v>0.93667292415767944</v>
      </c>
      <c r="M4" s="30" t="s">
        <v>18</v>
      </c>
    </row>
    <row r="5" spans="2:13" ht="16.5" thickBot="1" x14ac:dyDescent="0.3">
      <c r="B5" s="16">
        <v>2</v>
      </c>
      <c r="C5" s="14">
        <v>0.5</v>
      </c>
      <c r="D5" s="2">
        <f t="shared" ref="D5:D13" si="0">C5*27</f>
        <v>13.5</v>
      </c>
      <c r="E5" s="34"/>
      <c r="F5" s="34"/>
      <c r="G5" s="34"/>
      <c r="H5" s="27">
        <f t="shared" ref="H5:H13" si="1">((C5^2)*3*($D$16*$D$16*$G$16+$D$17*$D$17*$G$17)*((348-38)/(293.65-38)))+((C5^2)*($G$4-3*($D$16*$D$16*$G$16+$D$17*$D$17*$G$17))*((293.65-38)/(348-38)))</f>
        <v>69.285261023943562</v>
      </c>
      <c r="I5" s="27">
        <f t="shared" ref="I5:I13" si="2">H5+$F$4</f>
        <v>220.98526102394356</v>
      </c>
      <c r="J5" s="2">
        <f t="shared" ref="J5:J8" si="3">C5*$B$23*$K$4</f>
        <v>5000</v>
      </c>
      <c r="K5" s="34"/>
      <c r="L5" s="28">
        <f t="shared" ref="L5:L13" si="4">1-(I5/(J5+I5))</f>
        <v>0.95767364779332786</v>
      </c>
      <c r="M5" s="34"/>
    </row>
    <row r="6" spans="2:13" ht="16.5" thickBot="1" x14ac:dyDescent="0.3">
      <c r="B6" s="16">
        <v>3</v>
      </c>
      <c r="C6" s="14">
        <v>0.75</v>
      </c>
      <c r="D6" s="2">
        <f t="shared" si="0"/>
        <v>20.25</v>
      </c>
      <c r="E6" s="34"/>
      <c r="F6" s="34"/>
      <c r="G6" s="34"/>
      <c r="H6" s="27">
        <f t="shared" si="1"/>
        <v>155.89183730387299</v>
      </c>
      <c r="I6" s="27">
        <f t="shared" si="2"/>
        <v>307.59183730387298</v>
      </c>
      <c r="J6" s="2">
        <f t="shared" si="3"/>
        <v>7500</v>
      </c>
      <c r="K6" s="34"/>
      <c r="L6" s="28">
        <f t="shared" si="4"/>
        <v>0.960603494174192</v>
      </c>
      <c r="M6" s="34"/>
    </row>
    <row r="7" spans="2:13" ht="16.5" thickBot="1" x14ac:dyDescent="0.3">
      <c r="B7" s="16">
        <v>4</v>
      </c>
      <c r="C7" s="14">
        <v>1</v>
      </c>
      <c r="D7" s="2">
        <f t="shared" si="0"/>
        <v>27</v>
      </c>
      <c r="E7" s="34"/>
      <c r="F7" s="34"/>
      <c r="G7" s="34"/>
      <c r="H7" s="27">
        <f t="shared" si="1"/>
        <v>277.14104409577425</v>
      </c>
      <c r="I7" s="27">
        <f t="shared" si="2"/>
        <v>428.84104409577424</v>
      </c>
      <c r="J7" s="2">
        <f t="shared" si="3"/>
        <v>10000</v>
      </c>
      <c r="K7" s="34"/>
      <c r="L7" s="28">
        <f t="shared" si="4"/>
        <v>0.95887931916091862</v>
      </c>
      <c r="M7" s="34"/>
    </row>
    <row r="8" spans="2:13" ht="16.5" thickBot="1" x14ac:dyDescent="0.3">
      <c r="B8" s="16">
        <v>5</v>
      </c>
      <c r="C8" s="5">
        <v>1.25</v>
      </c>
      <c r="D8" s="2">
        <f t="shared" si="0"/>
        <v>33.75</v>
      </c>
      <c r="E8" s="31"/>
      <c r="F8" s="31"/>
      <c r="G8" s="31"/>
      <c r="H8" s="27">
        <f t="shared" si="1"/>
        <v>433.03288139964718</v>
      </c>
      <c r="I8" s="27">
        <f t="shared" si="2"/>
        <v>584.73288139964711</v>
      </c>
      <c r="J8" s="2">
        <f t="shared" si="3"/>
        <v>12500</v>
      </c>
      <c r="K8" s="31"/>
      <c r="L8" s="28">
        <f t="shared" si="4"/>
        <v>0.95531182128823866</v>
      </c>
      <c r="M8" s="31"/>
    </row>
    <row r="9" spans="2:13" ht="16.5" thickBot="1" x14ac:dyDescent="0.3">
      <c r="B9" s="16">
        <v>6</v>
      </c>
      <c r="C9" s="14">
        <v>0.25</v>
      </c>
      <c r="D9" s="2">
        <f t="shared" si="0"/>
        <v>6.75</v>
      </c>
      <c r="E9" s="30">
        <v>500</v>
      </c>
      <c r="F9" s="30">
        <v>151.69999999999999</v>
      </c>
      <c r="G9" s="30">
        <v>242.2</v>
      </c>
      <c r="H9" s="27">
        <f t="shared" si="1"/>
        <v>17.321315255985891</v>
      </c>
      <c r="I9" s="27">
        <f t="shared" si="2"/>
        <v>169.02131525598588</v>
      </c>
      <c r="J9" s="2">
        <f>C9*$B$23*$K$9</f>
        <v>2000</v>
      </c>
      <c r="K9" s="30">
        <v>0.8</v>
      </c>
      <c r="L9" s="28">
        <f t="shared" si="4"/>
        <v>0.92207484819666785</v>
      </c>
      <c r="M9" s="30" t="s">
        <v>15</v>
      </c>
    </row>
    <row r="10" spans="2:13" ht="16.5" thickBot="1" x14ac:dyDescent="0.3">
      <c r="B10" s="16">
        <v>7</v>
      </c>
      <c r="C10" s="14">
        <v>0.5</v>
      </c>
      <c r="D10" s="2">
        <f t="shared" si="0"/>
        <v>13.5</v>
      </c>
      <c r="E10" s="34"/>
      <c r="F10" s="34"/>
      <c r="G10" s="34"/>
      <c r="H10" s="27">
        <f t="shared" si="1"/>
        <v>69.285261023943562</v>
      </c>
      <c r="I10" s="27">
        <f t="shared" si="2"/>
        <v>220.98526102394356</v>
      </c>
      <c r="J10" s="2">
        <f t="shared" ref="J10:J13" si="5">C10*$B$23*$K$9</f>
        <v>4000</v>
      </c>
      <c r="K10" s="34"/>
      <c r="L10" s="28">
        <f t="shared" si="4"/>
        <v>0.94764604769779837</v>
      </c>
      <c r="M10" s="34"/>
    </row>
    <row r="11" spans="2:13" ht="16.5" thickBot="1" x14ac:dyDescent="0.3">
      <c r="B11" s="16">
        <v>8</v>
      </c>
      <c r="C11" s="14">
        <v>0.75</v>
      </c>
      <c r="D11" s="2">
        <f t="shared" si="0"/>
        <v>20.25</v>
      </c>
      <c r="E11" s="34"/>
      <c r="F11" s="34"/>
      <c r="G11" s="34"/>
      <c r="H11" s="27">
        <f t="shared" si="1"/>
        <v>155.89183730387299</v>
      </c>
      <c r="I11" s="27">
        <f t="shared" si="2"/>
        <v>307.59183730387298</v>
      </c>
      <c r="J11" s="2">
        <f t="shared" si="5"/>
        <v>6000</v>
      </c>
      <c r="K11" s="34"/>
      <c r="L11" s="28">
        <f t="shared" si="4"/>
        <v>0.95123466368182907</v>
      </c>
      <c r="M11" s="34"/>
    </row>
    <row r="12" spans="2:13" ht="16.5" thickBot="1" x14ac:dyDescent="0.3">
      <c r="B12" s="16">
        <v>9</v>
      </c>
      <c r="C12" s="14">
        <v>1</v>
      </c>
      <c r="D12" s="2">
        <f t="shared" si="0"/>
        <v>27</v>
      </c>
      <c r="E12" s="34"/>
      <c r="F12" s="34"/>
      <c r="G12" s="34"/>
      <c r="H12" s="27">
        <f t="shared" si="1"/>
        <v>277.14104409577425</v>
      </c>
      <c r="I12" s="27">
        <f t="shared" si="2"/>
        <v>428.84104409577424</v>
      </c>
      <c r="J12" s="2">
        <f t="shared" si="5"/>
        <v>8000</v>
      </c>
      <c r="K12" s="34"/>
      <c r="L12" s="28">
        <f t="shared" si="4"/>
        <v>0.9491221815843629</v>
      </c>
      <c r="M12" s="34"/>
    </row>
    <row r="13" spans="2:13" ht="16.5" thickBot="1" x14ac:dyDescent="0.3">
      <c r="B13" s="16">
        <v>10</v>
      </c>
      <c r="C13" s="5">
        <v>1.25</v>
      </c>
      <c r="D13" s="2">
        <f t="shared" si="0"/>
        <v>33.75</v>
      </c>
      <c r="E13" s="31"/>
      <c r="F13" s="31"/>
      <c r="G13" s="31"/>
      <c r="H13" s="27">
        <f t="shared" si="1"/>
        <v>433.03288139964718</v>
      </c>
      <c r="I13" s="27">
        <f t="shared" si="2"/>
        <v>584.73288139964711</v>
      </c>
      <c r="J13" s="2">
        <f t="shared" si="5"/>
        <v>10000</v>
      </c>
      <c r="K13" s="31"/>
      <c r="L13" s="28">
        <f t="shared" si="4"/>
        <v>0.94475695438406504</v>
      </c>
      <c r="M13" s="31"/>
    </row>
    <row r="16" spans="2:13" x14ac:dyDescent="0.25">
      <c r="C16" t="s">
        <v>38</v>
      </c>
      <c r="D16">
        <v>11.5</v>
      </c>
      <c r="F16" t="s">
        <v>39</v>
      </c>
      <c r="G16">
        <v>0.31</v>
      </c>
    </row>
    <row r="17" spans="2:8" x14ac:dyDescent="0.25">
      <c r="C17" t="s">
        <v>37</v>
      </c>
      <c r="D17">
        <v>27</v>
      </c>
      <c r="F17" t="s">
        <v>40</v>
      </c>
      <c r="G17">
        <v>3.5000000000000003E-2</v>
      </c>
    </row>
    <row r="19" spans="2:8" x14ac:dyDescent="0.25">
      <c r="H19">
        <f>((C4^2)*3*($D$16*$D$16*$G$16+$D$17*$D$17*$G$17)*((348-38)/(293.65-38)))</f>
        <v>15.122390230784278</v>
      </c>
    </row>
    <row r="20" spans="2:8" x14ac:dyDescent="0.25">
      <c r="B20">
        <f>220*27</f>
        <v>5940</v>
      </c>
    </row>
    <row r="21" spans="2:8" x14ac:dyDescent="0.25">
      <c r="H21">
        <f>((C4^2)*($G$4-3*($D$16*$D$16*$G$16+$D$17*$D$17*$G$17))*((293.65-38)/(348-38)))</f>
        <v>2.198925025201611</v>
      </c>
    </row>
    <row r="22" spans="2:8" x14ac:dyDescent="0.25">
      <c r="B22" t="s">
        <v>35</v>
      </c>
    </row>
    <row r="23" spans="2:8" x14ac:dyDescent="0.25">
      <c r="B23">
        <v>10000</v>
      </c>
      <c r="C23" t="s">
        <v>36</v>
      </c>
    </row>
  </sheetData>
  <mergeCells count="12">
    <mergeCell ref="B2:B3"/>
    <mergeCell ref="M2:M3"/>
    <mergeCell ref="E4:E8"/>
    <mergeCell ref="F4:F8"/>
    <mergeCell ref="G4:G8"/>
    <mergeCell ref="K4:K8"/>
    <mergeCell ref="M4:M8"/>
    <mergeCell ref="M9:M13"/>
    <mergeCell ref="K9:K13"/>
    <mergeCell ref="E9:E13"/>
    <mergeCell ref="F9:F13"/>
    <mergeCell ref="G9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Pomiar przekładni</vt:lpstr>
      <vt:lpstr>Stan jałowy</vt:lpstr>
      <vt:lpstr>Stan zwarcia</vt:lpstr>
      <vt:lpstr>Zmiennośc napięcia</vt:lpstr>
      <vt:lpstr>Sprawność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2019-03-29T14:00:19Z</dcterms:created>
  <dcterms:modified xsi:type="dcterms:W3CDTF">2019-03-30T16:06:21Z</dcterms:modified>
</cp:coreProperties>
</file>