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echnikawroclawska-my.sharepoint.com/personal/245365_student_pwr_edu_pl/Documents/studia/Systemy elektroenergetyczne 2/lab/"/>
    </mc:Choice>
  </mc:AlternateContent>
  <xr:revisionPtr revIDLastSave="2208" documentId="13_ncr:1_{6DCAAD4E-85BA-4F53-82C7-77C1B5D76BB9}" xr6:coauthVersionLast="45" xr6:coauthVersionMax="45" xr10:uidLastSave="{E654C1DE-69B4-4614-857E-9CE92D56341D}"/>
  <bookViews>
    <workbookView xWindow="23715" yWindow="3795" windowWidth="9270" windowHeight="15720" xr2:uid="{CC23552C-3C0E-4043-B5BD-B7AF7B66576C}"/>
  </bookViews>
  <sheets>
    <sheet name="cw13" sheetId="7" r:id="rId1"/>
    <sheet name="cw12" sheetId="6" r:id="rId2"/>
    <sheet name="cw11" sheetId="5" r:id="rId3"/>
    <sheet name="az" sheetId="4" r:id="rId4"/>
    <sheet name="arm" sheetId="1" r:id="rId5"/>
    <sheet name="cw3-wyniki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7" l="1"/>
  <c r="H34" i="7"/>
  <c r="H35" i="7"/>
  <c r="H36" i="7"/>
  <c r="H37" i="7"/>
  <c r="H32" i="7"/>
  <c r="J33" i="7"/>
  <c r="G34" i="7"/>
  <c r="C34" i="7"/>
  <c r="E34" i="7" s="1"/>
  <c r="D34" i="7"/>
  <c r="F34" i="7" s="1"/>
  <c r="C35" i="7"/>
  <c r="D35" i="7"/>
  <c r="E35" i="7" s="1"/>
  <c r="G35" i="7" s="1"/>
  <c r="F35" i="7"/>
  <c r="C36" i="7"/>
  <c r="E36" i="7" s="1"/>
  <c r="D36" i="7"/>
  <c r="C37" i="7"/>
  <c r="D37" i="7"/>
  <c r="E37" i="7"/>
  <c r="G37" i="7" s="1"/>
  <c r="F37" i="7"/>
  <c r="G33" i="7"/>
  <c r="F33" i="7"/>
  <c r="E33" i="7"/>
  <c r="C28" i="7"/>
  <c r="C27" i="7"/>
  <c r="C26" i="7"/>
  <c r="C25" i="7"/>
  <c r="C24" i="7"/>
  <c r="B21" i="7"/>
  <c r="B17" i="7"/>
  <c r="B23" i="7" s="1"/>
  <c r="B11" i="7"/>
  <c r="B10" i="7"/>
  <c r="B6" i="7"/>
  <c r="B26" i="7" s="1"/>
  <c r="B28" i="7" s="1"/>
  <c r="I33" i="7" l="1"/>
  <c r="L33" i="7"/>
  <c r="K33" i="7"/>
  <c r="I34" i="7"/>
  <c r="J34" i="7"/>
  <c r="I37" i="7"/>
  <c r="J37" i="7"/>
  <c r="I35" i="7"/>
  <c r="J35" i="7"/>
  <c r="F36" i="7"/>
  <c r="B27" i="7"/>
  <c r="D28" i="7" s="1"/>
  <c r="C32" i="7"/>
  <c r="D33" i="7"/>
  <c r="C23" i="7"/>
  <c r="C33" i="7"/>
  <c r="D32" i="7"/>
  <c r="B20" i="7"/>
  <c r="B24" i="7" s="1"/>
  <c r="B25" i="7" s="1"/>
  <c r="B20" i="6"/>
  <c r="B18" i="6"/>
  <c r="B17" i="6"/>
  <c r="B15" i="6"/>
  <c r="B14" i="6"/>
  <c r="B13" i="6"/>
  <c r="B11" i="6"/>
  <c r="B10" i="6"/>
  <c r="B9" i="6"/>
  <c r="B5" i="6"/>
  <c r="K37" i="7" l="1"/>
  <c r="L37" i="7"/>
  <c r="I36" i="7"/>
  <c r="J36" i="7"/>
  <c r="G36" i="7"/>
  <c r="K35" i="7"/>
  <c r="L35" i="7"/>
  <c r="K34" i="7"/>
  <c r="L34" i="7"/>
  <c r="F32" i="7"/>
  <c r="I32" i="7" s="1"/>
  <c r="E32" i="7"/>
  <c r="H32" i="5"/>
  <c r="H34" i="5"/>
  <c r="D58" i="5"/>
  <c r="I58" i="5"/>
  <c r="I60" i="5"/>
  <c r="I57" i="5"/>
  <c r="H60" i="5"/>
  <c r="H58" i="5"/>
  <c r="H57" i="5"/>
  <c r="H52" i="5"/>
  <c r="H48" i="5"/>
  <c r="H47" i="5"/>
  <c r="H46" i="5"/>
  <c r="H51" i="5" s="1"/>
  <c r="C106" i="5"/>
  <c r="C146" i="5"/>
  <c r="C70" i="5"/>
  <c r="C136" i="5"/>
  <c r="C141" i="5" s="1"/>
  <c r="C113" i="5"/>
  <c r="C121" i="5" s="1"/>
  <c r="C116" i="5"/>
  <c r="C115" i="5"/>
  <c r="C114" i="5"/>
  <c r="C119" i="5" s="1"/>
  <c r="F33" i="4"/>
  <c r="F44" i="4"/>
  <c r="C45" i="5"/>
  <c r="C53" i="5" s="1"/>
  <c r="C47" i="5"/>
  <c r="C46" i="5"/>
  <c r="C51" i="5" s="1"/>
  <c r="C20" i="5"/>
  <c r="F35" i="4"/>
  <c r="C19" i="5"/>
  <c r="C9" i="5"/>
  <c r="C10" i="5" s="1"/>
  <c r="C33" i="5"/>
  <c r="C35" i="5" s="1"/>
  <c r="C36" i="5" s="1"/>
  <c r="C18" i="5"/>
  <c r="C92" i="5"/>
  <c r="C97" i="5" s="1"/>
  <c r="C82" i="5"/>
  <c r="C81" i="5"/>
  <c r="C86" i="5" s="1"/>
  <c r="C140" i="5"/>
  <c r="C138" i="5"/>
  <c r="C48" i="5"/>
  <c r="C69" i="5"/>
  <c r="C66" i="5"/>
  <c r="C6" i="4"/>
  <c r="K36" i="7" l="1"/>
  <c r="L36" i="7"/>
  <c r="J32" i="7"/>
  <c r="L32" i="7" s="1"/>
  <c r="G32" i="7"/>
  <c r="I15" i="7" s="1"/>
  <c r="I16" i="7" s="1"/>
  <c r="I17" i="7" s="1"/>
  <c r="H56" i="5"/>
  <c r="H53" i="5"/>
  <c r="H54" i="5" s="1"/>
  <c r="C142" i="5"/>
  <c r="C143" i="5" s="1"/>
  <c r="C144" i="5" s="1"/>
  <c r="C145" i="5" s="1"/>
  <c r="C73" i="5"/>
  <c r="C21" i="5"/>
  <c r="C72" i="5"/>
  <c r="C99" i="5"/>
  <c r="C54" i="5"/>
  <c r="C84" i="5"/>
  <c r="C96" i="5"/>
  <c r="C52" i="5"/>
  <c r="C120" i="5"/>
  <c r="C123" i="5" s="1"/>
  <c r="C85" i="5"/>
  <c r="C87" i="5" s="1"/>
  <c r="C22" i="5"/>
  <c r="D28" i="5" s="1"/>
  <c r="C122" i="5"/>
  <c r="D23" i="5"/>
  <c r="D27" i="5"/>
  <c r="D26" i="5"/>
  <c r="D24" i="5"/>
  <c r="AD22" i="4"/>
  <c r="AD23" i="4"/>
  <c r="AD24" i="4"/>
  <c r="AD25" i="4"/>
  <c r="AD26" i="4"/>
  <c r="AD27" i="4"/>
  <c r="AD28" i="4"/>
  <c r="AD29" i="4"/>
  <c r="AD30" i="4"/>
  <c r="AD21" i="4"/>
  <c r="AC22" i="4"/>
  <c r="AC23" i="4"/>
  <c r="AC24" i="4"/>
  <c r="AC25" i="4"/>
  <c r="AC26" i="4"/>
  <c r="AC27" i="4"/>
  <c r="AC28" i="4"/>
  <c r="AC29" i="4"/>
  <c r="AC30" i="4"/>
  <c r="AC21" i="4"/>
  <c r="AB22" i="4"/>
  <c r="AB23" i="4"/>
  <c r="AB24" i="4"/>
  <c r="AB25" i="4"/>
  <c r="AB26" i="4"/>
  <c r="AB27" i="4"/>
  <c r="AB28" i="4"/>
  <c r="AB29" i="4"/>
  <c r="AB30" i="4"/>
  <c r="AB21" i="4"/>
  <c r="AA22" i="4"/>
  <c r="AA23" i="4"/>
  <c r="AA24" i="4"/>
  <c r="AA25" i="4"/>
  <c r="AA26" i="4"/>
  <c r="AA27" i="4"/>
  <c r="AA28" i="4"/>
  <c r="AA29" i="4"/>
  <c r="AA30" i="4"/>
  <c r="AA21" i="4"/>
  <c r="AD7" i="4"/>
  <c r="AE7" i="4"/>
  <c r="AF7" i="4"/>
  <c r="AC7" i="4"/>
  <c r="AA11" i="4"/>
  <c r="U47" i="4"/>
  <c r="T47" i="4"/>
  <c r="AA10" i="4"/>
  <c r="U23" i="4" s="1"/>
  <c r="X23" i="4" s="1"/>
  <c r="AB10" i="4"/>
  <c r="AA12" i="4"/>
  <c r="U24" i="4"/>
  <c r="T24" i="4"/>
  <c r="X25" i="4"/>
  <c r="X26" i="4"/>
  <c r="X27" i="4"/>
  <c r="X28" i="4"/>
  <c r="X29" i="4"/>
  <c r="X21" i="4"/>
  <c r="X22" i="4"/>
  <c r="X24" i="4"/>
  <c r="U45" i="4"/>
  <c r="V39" i="4"/>
  <c r="W39" i="4"/>
  <c r="U38" i="4"/>
  <c r="T38" i="4"/>
  <c r="Y36" i="4"/>
  <c r="Y37" i="4"/>
  <c r="V25" i="4"/>
  <c r="U36" i="4"/>
  <c r="U35" i="4"/>
  <c r="Y48" i="4"/>
  <c r="T25" i="4"/>
  <c r="Y46" i="4"/>
  <c r="Y45" i="4"/>
  <c r="X43" i="4"/>
  <c r="W46" i="4"/>
  <c r="V45" i="4"/>
  <c r="V44" i="4"/>
  <c r="T43" i="4"/>
  <c r="X39" i="4"/>
  <c r="X35" i="4"/>
  <c r="V35" i="4"/>
  <c r="X34" i="4"/>
  <c r="V22" i="4"/>
  <c r="Z22" i="4"/>
  <c r="Z21" i="4"/>
  <c r="W24" i="4"/>
  <c r="U25" i="4"/>
  <c r="U26" i="4"/>
  <c r="W26" i="4" s="1"/>
  <c r="U27" i="4"/>
  <c r="U28" i="4"/>
  <c r="W28" i="4" s="1"/>
  <c r="U29" i="4"/>
  <c r="U22" i="4"/>
  <c r="W22" i="4" s="1"/>
  <c r="T23" i="4"/>
  <c r="T26" i="4"/>
  <c r="T27" i="4"/>
  <c r="T28" i="4"/>
  <c r="T29" i="4"/>
  <c r="T30" i="4"/>
  <c r="V30" i="4" s="1"/>
  <c r="W37" i="4" s="1"/>
  <c r="T22" i="4"/>
  <c r="U21" i="4"/>
  <c r="T21" i="4"/>
  <c r="V21" i="4" s="1"/>
  <c r="Z7" i="4"/>
  <c r="AA7" i="4"/>
  <c r="AB7" i="4"/>
  <c r="Z8" i="4"/>
  <c r="AA8" i="4"/>
  <c r="AB8" i="4"/>
  <c r="Z9" i="4"/>
  <c r="AA9" i="4"/>
  <c r="AB9" i="4"/>
  <c r="Z10" i="4"/>
  <c r="Z11" i="4"/>
  <c r="AB11" i="4"/>
  <c r="Z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U30" i="4" s="1"/>
  <c r="Y8" i="4"/>
  <c r="Y9" i="4"/>
  <c r="Y10" i="4"/>
  <c r="Y11" i="4"/>
  <c r="Y12" i="4"/>
  <c r="Y13" i="4"/>
  <c r="Y14" i="4"/>
  <c r="Y15" i="4"/>
  <c r="Y16" i="4"/>
  <c r="Y17" i="4"/>
  <c r="Y7" i="4"/>
  <c r="X15" i="4"/>
  <c r="X11" i="4"/>
  <c r="X10" i="4"/>
  <c r="X9" i="4"/>
  <c r="V23" i="4"/>
  <c r="V27" i="4"/>
  <c r="W25" i="4"/>
  <c r="W27" i="4"/>
  <c r="W29" i="4"/>
  <c r="W21" i="4"/>
  <c r="V28" i="4"/>
  <c r="V29" i="4"/>
  <c r="V26" i="4"/>
  <c r="W17" i="4"/>
  <c r="V17" i="4"/>
  <c r="W16" i="4"/>
  <c r="V16" i="4"/>
  <c r="W12" i="4"/>
  <c r="V12" i="4"/>
  <c r="W10" i="4"/>
  <c r="V10" i="4"/>
  <c r="U14" i="4"/>
  <c r="T14" i="4"/>
  <c r="U11" i="4"/>
  <c r="T11" i="4"/>
  <c r="V24" i="4" s="1"/>
  <c r="X38" i="4" s="1"/>
  <c r="K32" i="7" l="1"/>
  <c r="H55" i="5"/>
  <c r="C74" i="5"/>
  <c r="C75" i="5" s="1"/>
  <c r="D129" i="5"/>
  <c r="D126" i="5"/>
  <c r="D125" i="5"/>
  <c r="D128" i="5"/>
  <c r="C124" i="5"/>
  <c r="C129" i="5"/>
  <c r="C126" i="5"/>
  <c r="C128" i="5"/>
  <c r="C125" i="5"/>
  <c r="C56" i="5"/>
  <c r="C55" i="5"/>
  <c r="C58" i="5"/>
  <c r="C57" i="5"/>
  <c r="C60" i="5"/>
  <c r="C98" i="5"/>
  <c r="C104" i="5" s="1"/>
  <c r="C102" i="5"/>
  <c r="C105" i="5"/>
  <c r="C103" i="5"/>
  <c r="W30" i="4"/>
  <c r="X30" i="4"/>
  <c r="W23" i="4"/>
  <c r="V36" i="4"/>
  <c r="Y39" i="4"/>
  <c r="T34" i="4"/>
  <c r="O26" i="4"/>
  <c r="O27" i="4" s="1"/>
  <c r="K9" i="4"/>
  <c r="K11" i="4" s="1"/>
  <c r="K8" i="4"/>
  <c r="K10" i="4"/>
  <c r="K26" i="4"/>
  <c r="K25" i="4"/>
  <c r="K19" i="4"/>
  <c r="O23" i="4" s="1"/>
  <c r="F5" i="4"/>
  <c r="F68" i="4"/>
  <c r="K24" i="4" s="1"/>
  <c r="K32" i="4" s="1"/>
  <c r="J7" i="4"/>
  <c r="D57" i="5" l="1"/>
  <c r="D60" i="5"/>
  <c r="X44" i="4"/>
  <c r="U44" i="4"/>
  <c r="X47" i="4"/>
  <c r="K20" i="4"/>
  <c r="O24" i="4" s="1"/>
  <c r="O33" i="4" s="1"/>
  <c r="K12" i="4"/>
  <c r="K13" i="4" s="1"/>
  <c r="O8" i="4" s="1"/>
  <c r="O35" i="4"/>
  <c r="K23" i="4"/>
  <c r="K31" i="4" s="1"/>
  <c r="C39" i="4"/>
  <c r="F30" i="4" s="1"/>
  <c r="C76" i="4"/>
  <c r="F71" i="4" s="1"/>
  <c r="C16" i="4"/>
  <c r="C15" i="4"/>
  <c r="C84" i="4"/>
  <c r="C130" i="4" s="1"/>
  <c r="C75" i="4"/>
  <c r="C124" i="4" s="1"/>
  <c r="C68" i="4"/>
  <c r="C66" i="4"/>
  <c r="C64" i="4"/>
  <c r="D115" i="4"/>
  <c r="D114" i="4"/>
  <c r="C55" i="4"/>
  <c r="D113" i="4" s="1"/>
  <c r="C54" i="4"/>
  <c r="D112" i="4" s="1"/>
  <c r="C53" i="4"/>
  <c r="D108" i="4" s="1"/>
  <c r="D110" i="4" s="1"/>
  <c r="C52" i="4"/>
  <c r="F51" i="4" s="1"/>
  <c r="C101" i="4"/>
  <c r="C102" i="4" s="1"/>
  <c r="C99" i="4"/>
  <c r="C98" i="4"/>
  <c r="C97" i="4"/>
  <c r="C41" i="4"/>
  <c r="C96" i="4" s="1"/>
  <c r="C40" i="4"/>
  <c r="C95" i="4" s="1"/>
  <c r="C38" i="4"/>
  <c r="C34" i="4"/>
  <c r="C33" i="4"/>
  <c r="C24" i="4"/>
  <c r="C23" i="4"/>
  <c r="C17" i="4"/>
  <c r="C13" i="4"/>
  <c r="C10" i="4"/>
  <c r="C5" i="4"/>
  <c r="C7" i="4" s="1"/>
  <c r="J8" i="4" s="1"/>
  <c r="O37" i="4" l="1"/>
  <c r="F72" i="4"/>
  <c r="J29" i="4" s="1"/>
  <c r="O11" i="4"/>
  <c r="O12" i="4" s="1"/>
  <c r="F10" i="4"/>
  <c r="O25" i="4"/>
  <c r="O28" i="4"/>
  <c r="K33" i="4"/>
  <c r="O42" i="4"/>
  <c r="O43" i="4" s="1"/>
  <c r="O54" i="4" s="1"/>
  <c r="F11" i="4"/>
  <c r="F48" i="4"/>
  <c r="F52" i="4" s="1"/>
  <c r="O18" i="4"/>
  <c r="C19" i="4"/>
  <c r="O29" i="4"/>
  <c r="O30" i="4" s="1"/>
  <c r="O31" i="4" s="1"/>
  <c r="O32" i="4" s="1"/>
  <c r="O34" i="4" s="1"/>
  <c r="F63" i="4"/>
  <c r="F64" i="4" s="1"/>
  <c r="O45" i="4" s="1"/>
  <c r="O48" i="4"/>
  <c r="O49" i="4" s="1"/>
  <c r="F49" i="4"/>
  <c r="F50" i="4" s="1"/>
  <c r="F31" i="4"/>
  <c r="F32" i="4"/>
  <c r="F81" i="4"/>
  <c r="F73" i="4"/>
  <c r="C91" i="4"/>
  <c r="D91" i="4" s="1"/>
  <c r="F80" i="4"/>
  <c r="K14" i="4"/>
  <c r="K40" i="4"/>
  <c r="K41" i="4" s="1"/>
  <c r="D116" i="4"/>
  <c r="D118" i="4" s="1"/>
  <c r="C103" i="4"/>
  <c r="C104" i="4" s="1"/>
  <c r="D109" i="4"/>
  <c r="D111" i="4" s="1"/>
  <c r="C121" i="4"/>
  <c r="D95" i="4"/>
  <c r="D96" i="4"/>
  <c r="C20" i="4"/>
  <c r="C122" i="4"/>
  <c r="C128" i="4"/>
  <c r="C127" i="4"/>
  <c r="N54" i="1"/>
  <c r="N50" i="1"/>
  <c r="N52" i="1"/>
  <c r="N35" i="1"/>
  <c r="C38" i="1"/>
  <c r="C7" i="1"/>
  <c r="F74" i="4" l="1"/>
  <c r="F65" i="4"/>
  <c r="F66" i="4" s="1"/>
  <c r="J24" i="4" s="1"/>
  <c r="F12" i="4"/>
  <c r="J18" i="4" s="1"/>
  <c r="F53" i="4"/>
  <c r="J26" i="4" s="1"/>
  <c r="C105" i="4"/>
  <c r="K34" i="4"/>
  <c r="O41" i="4" s="1"/>
  <c r="O44" i="4" s="1"/>
  <c r="O40" i="4"/>
  <c r="C93" i="4"/>
  <c r="D93" i="4" s="1"/>
  <c r="E91" i="4"/>
  <c r="F75" i="4"/>
  <c r="J30" i="4"/>
  <c r="F34" i="4"/>
  <c r="F67" i="4"/>
  <c r="J23" i="4" s="1"/>
  <c r="O9" i="4"/>
  <c r="C92" i="4"/>
  <c r="F82" i="4"/>
  <c r="J27" i="4"/>
  <c r="F83" i="4"/>
  <c r="J28" i="4"/>
  <c r="J25" i="4"/>
  <c r="F60" i="4"/>
  <c r="D117" i="4"/>
  <c r="L106" i="1"/>
  <c r="F54" i="4" l="1"/>
  <c r="F55" i="4" s="1"/>
  <c r="F56" i="4" s="1"/>
  <c r="F59" i="4" s="1"/>
  <c r="F13" i="4"/>
  <c r="J17" i="4" s="1"/>
  <c r="J19" i="4" s="1"/>
  <c r="J20" i="4" s="1"/>
  <c r="K37" i="4"/>
  <c r="O56" i="4"/>
  <c r="O46" i="4"/>
  <c r="O47" i="4" s="1"/>
  <c r="O50" i="4" s="1"/>
  <c r="O51" i="4" s="1"/>
  <c r="O52" i="4"/>
  <c r="O20" i="4"/>
  <c r="O15" i="4"/>
  <c r="O10" i="4"/>
  <c r="O16" i="4"/>
  <c r="O13" i="4"/>
  <c r="F37" i="4"/>
  <c r="J10" i="4" s="1"/>
  <c r="J12" i="4" s="1"/>
  <c r="F36" i="4"/>
  <c r="D92" i="4"/>
  <c r="E92" i="4"/>
  <c r="C94" i="4"/>
  <c r="D94" i="4" s="1"/>
  <c r="J32" i="4"/>
  <c r="J31" i="4"/>
  <c r="H97" i="1"/>
  <c r="G97" i="1"/>
  <c r="O53" i="4" l="1"/>
  <c r="J33" i="4"/>
  <c r="J34" i="4" s="1"/>
  <c r="O17" i="4"/>
  <c r="F38" i="4"/>
  <c r="F39" i="4" s="1"/>
  <c r="F40" i="4" s="1"/>
  <c r="F42" i="4" s="1"/>
  <c r="J9" i="4"/>
  <c r="M107" i="1"/>
  <c r="L107" i="1"/>
  <c r="J107" i="1"/>
  <c r="I107" i="1"/>
  <c r="H107" i="1"/>
  <c r="G107" i="1"/>
  <c r="E107" i="1"/>
  <c r="N106" i="1"/>
  <c r="M106" i="1"/>
  <c r="J106" i="1"/>
  <c r="I106" i="1"/>
  <c r="H106" i="1"/>
  <c r="F106" i="1"/>
  <c r="E106" i="1"/>
  <c r="I103" i="1"/>
  <c r="H103" i="1"/>
  <c r="G103" i="1"/>
  <c r="F103" i="1"/>
  <c r="E103" i="1"/>
  <c r="I102" i="1"/>
  <c r="H102" i="1"/>
  <c r="G102" i="1"/>
  <c r="F102" i="1"/>
  <c r="E102" i="1"/>
  <c r="K103" i="1"/>
  <c r="K102" i="1"/>
  <c r="N57" i="1"/>
  <c r="N58" i="1"/>
  <c r="N60" i="1" s="1"/>
  <c r="N56" i="1"/>
  <c r="M47" i="1"/>
  <c r="M46" i="1"/>
  <c r="M45" i="1"/>
  <c r="M44" i="1"/>
  <c r="M43" i="1"/>
  <c r="M41" i="1"/>
  <c r="M40" i="1"/>
  <c r="M39" i="1"/>
  <c r="N38" i="1"/>
  <c r="M37" i="1"/>
  <c r="G106" i="1" s="1"/>
  <c r="M35" i="1"/>
  <c r="O34" i="1"/>
  <c r="O33" i="1"/>
  <c r="N34" i="1"/>
  <c r="N33" i="1"/>
  <c r="N36" i="1"/>
  <c r="M38" i="1"/>
  <c r="M36" i="1"/>
  <c r="M34" i="1"/>
  <c r="M33" i="1"/>
  <c r="O93" i="1"/>
  <c r="C23" i="1"/>
  <c r="H93" i="1" s="1"/>
  <c r="C22" i="1"/>
  <c r="G93" i="1" s="1"/>
  <c r="J11" i="4" l="1"/>
  <c r="J13" i="4" s="1"/>
  <c r="N37" i="1"/>
  <c r="N59" i="1"/>
  <c r="J14" i="4" l="1"/>
  <c r="J37" i="4" s="1"/>
  <c r="N8" i="4"/>
  <c r="J40" i="4"/>
  <c r="J41" i="4" s="1"/>
  <c r="C79" i="1"/>
  <c r="C71" i="1"/>
  <c r="C70" i="1"/>
  <c r="M64" i="1" s="1"/>
  <c r="C61" i="1"/>
  <c r="C63" i="1"/>
  <c r="C59" i="1"/>
  <c r="C54" i="1"/>
  <c r="C52" i="1"/>
  <c r="N55" i="1" s="1"/>
  <c r="C51" i="1"/>
  <c r="C50" i="1"/>
  <c r="C49" i="1"/>
  <c r="N51" i="1" s="1"/>
  <c r="N53" i="1" s="1"/>
  <c r="F107" i="1" s="1"/>
  <c r="C41" i="1"/>
  <c r="C39" i="1"/>
  <c r="C37" i="1"/>
  <c r="C36" i="1"/>
  <c r="C32" i="1"/>
  <c r="C31" i="1"/>
  <c r="C13" i="1"/>
  <c r="C16" i="1"/>
  <c r="C15" i="1"/>
  <c r="C10" i="1"/>
  <c r="C5" i="1"/>
  <c r="F100" i="1" s="1"/>
  <c r="C6" i="1" l="1"/>
  <c r="C18" i="1"/>
  <c r="M94" i="1" s="1"/>
  <c r="I94" i="1"/>
  <c r="C19" i="1"/>
  <c r="N94" i="1" s="1"/>
  <c r="J94" i="1"/>
  <c r="M63" i="1"/>
  <c r="M72" i="1"/>
  <c r="M70" i="1"/>
  <c r="M69" i="1"/>
  <c r="M66" i="1"/>
</calcChain>
</file>

<file path=xl/sharedStrings.xml><?xml version="1.0" encoding="utf-8"?>
<sst xmlns="http://schemas.openxmlformats.org/spreadsheetml/2006/main" count="1091" uniqueCount="380">
  <si>
    <t>a</t>
  </si>
  <si>
    <t>Sieć 110kV</t>
  </si>
  <si>
    <t>s"kQ</t>
  </si>
  <si>
    <t>MVA</t>
  </si>
  <si>
    <t>X0</t>
  </si>
  <si>
    <t>X1</t>
  </si>
  <si>
    <t>Generator G</t>
  </si>
  <si>
    <t>SNG</t>
  </si>
  <si>
    <t>UNG</t>
  </si>
  <si>
    <t>kV</t>
  </si>
  <si>
    <t>cosfiN</t>
  </si>
  <si>
    <t>Xd</t>
  </si>
  <si>
    <t>X'd</t>
  </si>
  <si>
    <t>Tm</t>
  </si>
  <si>
    <t>s</t>
  </si>
  <si>
    <t>%</t>
  </si>
  <si>
    <t>-</t>
  </si>
  <si>
    <t>izolowany punkt neutralny</t>
  </si>
  <si>
    <t>Qmin</t>
  </si>
  <si>
    <t>sinfiN</t>
  </si>
  <si>
    <t>Qmax</t>
  </si>
  <si>
    <t>Mvar</t>
  </si>
  <si>
    <t>Potrzeby własne generatora PW</t>
  </si>
  <si>
    <t>PPw</t>
  </si>
  <si>
    <t>MW</t>
  </si>
  <si>
    <t>QPW</t>
  </si>
  <si>
    <t>Bateria kondensatorów</t>
  </si>
  <si>
    <t>Qbat</t>
  </si>
  <si>
    <t>przy Un=10kV</t>
  </si>
  <si>
    <t>Transformator T1 z regulowaną automatycznie przekładnią</t>
  </si>
  <si>
    <t>SN</t>
  </si>
  <si>
    <t>UNH</t>
  </si>
  <si>
    <t>115+/-16%</t>
  </si>
  <si>
    <t>UNHmax</t>
  </si>
  <si>
    <t>UNHmin</t>
  </si>
  <si>
    <t>zaczepy</t>
  </si>
  <si>
    <t>stopnie regulacyjne</t>
  </si>
  <si>
    <t>UNL</t>
  </si>
  <si>
    <t>uk</t>
  </si>
  <si>
    <t>Pcu</t>
  </si>
  <si>
    <t>kW</t>
  </si>
  <si>
    <t>Pfe</t>
  </si>
  <si>
    <t>I0</t>
  </si>
  <si>
    <t>YNd5</t>
  </si>
  <si>
    <t>X0u</t>
  </si>
  <si>
    <t>Sn</t>
  </si>
  <si>
    <t>kVA</t>
  </si>
  <si>
    <t>V</t>
  </si>
  <si>
    <t>regulacja przekładni w stanie beznapięciowym +/-5%, 5 zaczepów, czyli 2 stopnie regulacyjne,</t>
  </si>
  <si>
    <t>Dyn5</t>
  </si>
  <si>
    <t xml:space="preserve">Odbiór: 6 jednakowych silników asynchronicznych </t>
  </si>
  <si>
    <t>2 pary biegunów</t>
  </si>
  <si>
    <t>PNM</t>
  </si>
  <si>
    <t>UNM</t>
  </si>
  <si>
    <t>nN</t>
  </si>
  <si>
    <t>kLR=ILR/INM</t>
  </si>
  <si>
    <t>Linia: AFL-6 70</t>
  </si>
  <si>
    <t>r</t>
  </si>
  <si>
    <t>om/km</t>
  </si>
  <si>
    <t>b</t>
  </si>
  <si>
    <t>uS/km</t>
  </si>
  <si>
    <t>Imax</t>
  </si>
  <si>
    <t>A</t>
  </si>
  <si>
    <t>km</t>
  </si>
  <si>
    <t>r0</t>
  </si>
  <si>
    <t>L</t>
  </si>
  <si>
    <t>Om/km</t>
  </si>
  <si>
    <t>X0/X1</t>
  </si>
  <si>
    <t>Kabel: 1-żyłowy aluminiowy 120 mm2</t>
  </si>
  <si>
    <t>x</t>
  </si>
  <si>
    <t>K</t>
  </si>
  <si>
    <t>R0/R1</t>
  </si>
  <si>
    <t>3 kable ułożone płasko</t>
  </si>
  <si>
    <t>Transformator T1 - parametry zastępcze</t>
  </si>
  <si>
    <t>uR</t>
  </si>
  <si>
    <t>ux</t>
  </si>
  <si>
    <t>RT</t>
  </si>
  <si>
    <t>XT</t>
  </si>
  <si>
    <t>GT</t>
  </si>
  <si>
    <t>BT</t>
  </si>
  <si>
    <t>[%]</t>
  </si>
  <si>
    <t>Ohm</t>
  </si>
  <si>
    <t>uS</t>
  </si>
  <si>
    <t>Transformator T2 - parametry zastępcze</t>
  </si>
  <si>
    <t>Linia</t>
  </si>
  <si>
    <t>RL</t>
  </si>
  <si>
    <t>XL</t>
  </si>
  <si>
    <t>BL</t>
  </si>
  <si>
    <t>GL</t>
  </si>
  <si>
    <t>Om</t>
  </si>
  <si>
    <t>Kabel</t>
  </si>
  <si>
    <t>nazwa</t>
  </si>
  <si>
    <t>typ</t>
  </si>
  <si>
    <t>Un_kV</t>
  </si>
  <si>
    <t>Um</t>
  </si>
  <si>
    <t>Uk_st</t>
  </si>
  <si>
    <t>Pd</t>
  </si>
  <si>
    <t>Qd</t>
  </si>
  <si>
    <t>Pg</t>
  </si>
  <si>
    <t>Qg</t>
  </si>
  <si>
    <t>Gsh</t>
  </si>
  <si>
    <t>Bsh</t>
  </si>
  <si>
    <t>Qgmin</t>
  </si>
  <si>
    <t>Qgmax</t>
  </si>
  <si>
    <t>Qkomp</t>
  </si>
  <si>
    <t>'SEE'</t>
  </si>
  <si>
    <t>'GPZ110kV'</t>
  </si>
  <si>
    <t>'GPZ10kV'</t>
  </si>
  <si>
    <t>'generator'</t>
  </si>
  <si>
    <t>'odczep'</t>
  </si>
  <si>
    <t>'RO'</t>
  </si>
  <si>
    <t>nazwg</t>
  </si>
  <si>
    <t>nazwpk</t>
  </si>
  <si>
    <t>nazwk</t>
  </si>
  <si>
    <t>R</t>
  </si>
  <si>
    <t>X</t>
  </si>
  <si>
    <t>G</t>
  </si>
  <si>
    <t>B</t>
  </si>
  <si>
    <t>Imax/Smax</t>
  </si>
  <si>
    <t>st</t>
  </si>
  <si>
    <t>lkm</t>
  </si>
  <si>
    <t>Smm2</t>
  </si>
  <si>
    <t>'XQ'</t>
  </si>
  <si>
    <t>'lacznik'</t>
  </si>
  <si>
    <t>0.0001</t>
  </si>
  <si>
    <t>'Linia'</t>
  </si>
  <si>
    <t>'Kabel'</t>
  </si>
  <si>
    <t>Smax</t>
  </si>
  <si>
    <t>to</t>
  </si>
  <si>
    <t>tk</t>
  </si>
  <si>
    <t>tmin</t>
  </si>
  <si>
    <t>tmax</t>
  </si>
  <si>
    <t>dt</t>
  </si>
  <si>
    <t>'T1'</t>
  </si>
  <si>
    <t>'T2'</t>
  </si>
  <si>
    <t>'odbior'</t>
  </si>
  <si>
    <t>Ćwiczenie 3</t>
  </si>
  <si>
    <t>Dane węzłowe</t>
  </si>
  <si>
    <t>SEE</t>
  </si>
  <si>
    <t>GPZ110kV</t>
  </si>
  <si>
    <t>GPZ10KV</t>
  </si>
  <si>
    <t>generator</t>
  </si>
  <si>
    <t>odczep</t>
  </si>
  <si>
    <t>RO</t>
  </si>
  <si>
    <t>odbior</t>
  </si>
  <si>
    <t>Dane linii</t>
  </si>
  <si>
    <t>Dane trafo</t>
  </si>
  <si>
    <t>Rozdzielnia RO, transformator T2</t>
  </si>
  <si>
    <t>Strona 110kV</t>
  </si>
  <si>
    <t>Strona 10kV</t>
  </si>
  <si>
    <t>Strona 0,525kV</t>
  </si>
  <si>
    <t>Parametr</t>
  </si>
  <si>
    <t>Un</t>
  </si>
  <si>
    <t>p</t>
  </si>
  <si>
    <t>streg</t>
  </si>
  <si>
    <t>nrz</t>
  </si>
  <si>
    <t>tNS</t>
  </si>
  <si>
    <t>t0</t>
  </si>
  <si>
    <t>dtk</t>
  </si>
  <si>
    <t>tN</t>
  </si>
  <si>
    <t xml:space="preserve"> SEE          - wezel bilansujacy, nr=1 - nadany numer wezla </t>
  </si>
  <si>
    <t xml:space="preserve"> Po przetransformowaniu sbus{} do tablicy wezly</t>
  </si>
  <si>
    <t xml:space="preserve"> Po przetransformowaniu danych galeziowych do tablicy galezie</t>
  </si>
  <si>
    <t>nr</t>
  </si>
  <si>
    <t>UN</t>
  </si>
  <si>
    <t>QKOMP</t>
  </si>
  <si>
    <t>Pgmin</t>
  </si>
  <si>
    <t>Pgmax</t>
  </si>
  <si>
    <t>pu</t>
  </si>
  <si>
    <t>wp</t>
  </si>
  <si>
    <t>wk</t>
  </si>
  <si>
    <t>ImaxS</t>
  </si>
  <si>
    <t>max   to</t>
  </si>
  <si>
    <t>A/MVA</t>
  </si>
  <si>
    <t>mm2</t>
  </si>
  <si>
    <t>*100%</t>
  </si>
  <si>
    <t>X''d</t>
  </si>
  <si>
    <t>XG</t>
  </si>
  <si>
    <t>Omega</t>
  </si>
  <si>
    <t>tn</t>
  </si>
  <si>
    <t>KG</t>
  </si>
  <si>
    <t>Uns10kV</t>
  </si>
  <si>
    <t>Uns110kV</t>
  </si>
  <si>
    <t>XGK</t>
  </si>
  <si>
    <t>RGK(0)</t>
  </si>
  <si>
    <t>XGK(0)</t>
  </si>
  <si>
    <t>/infty</t>
  </si>
  <si>
    <t>SNM</t>
  </si>
  <si>
    <t>ZM</t>
  </si>
  <si>
    <t>XM</t>
  </si>
  <si>
    <t>RM</t>
  </si>
  <si>
    <t>RL(0)</t>
  </si>
  <si>
    <t>XL(0)</t>
  </si>
  <si>
    <t>RK</t>
  </si>
  <si>
    <t>XK</t>
  </si>
  <si>
    <t>RK(0)</t>
  </si>
  <si>
    <t>XK(0)</t>
  </si>
  <si>
    <t>X0u/Xt</t>
  </si>
  <si>
    <t>uX</t>
  </si>
  <si>
    <t>RT1</t>
  </si>
  <si>
    <t>XT1</t>
  </si>
  <si>
    <t>X0uT1</t>
  </si>
  <si>
    <t>deltaUNH</t>
  </si>
  <si>
    <t>+/-16%</t>
  </si>
  <si>
    <t>KT1</t>
  </si>
  <si>
    <t>RT1K</t>
  </si>
  <si>
    <t>XT1K</t>
  </si>
  <si>
    <t>ZT1</t>
  </si>
  <si>
    <t>ZA1</t>
  </si>
  <si>
    <t>ZB1</t>
  </si>
  <si>
    <t>ZE1</t>
  </si>
  <si>
    <t>ZA0</t>
  </si>
  <si>
    <t>ZB0</t>
  </si>
  <si>
    <t>ZE0</t>
  </si>
  <si>
    <t>infty</t>
  </si>
  <si>
    <t>X0u/X1</t>
  </si>
  <si>
    <t>RT2</t>
  </si>
  <si>
    <t>XT2</t>
  </si>
  <si>
    <t>Xu0T2</t>
  </si>
  <si>
    <t>KT2</t>
  </si>
  <si>
    <t>RT2K</t>
  </si>
  <si>
    <t>XT2K</t>
  </si>
  <si>
    <t>Wyznaczone parametry - ćwiczenie 6</t>
  </si>
  <si>
    <t>RQk</t>
  </si>
  <si>
    <t>XQk</t>
  </si>
  <si>
    <t>ZQk</t>
  </si>
  <si>
    <t>IkQ"</t>
  </si>
  <si>
    <t>kA</t>
  </si>
  <si>
    <t>Dane do ćwiczenia 7:</t>
  </si>
  <si>
    <t>Zasilanie zwarcia z SEEE Q:</t>
  </si>
  <si>
    <t>Zasilanie zwarcia z Generatora G:</t>
  </si>
  <si>
    <t>RGk</t>
  </si>
  <si>
    <t>XGk</t>
  </si>
  <si>
    <t>RGK</t>
  </si>
  <si>
    <t>ZGk</t>
  </si>
  <si>
    <t>IkG"</t>
  </si>
  <si>
    <t>Zasilanie zwarcia z silnika M</t>
  </si>
  <si>
    <t>RMk</t>
  </si>
  <si>
    <t>XMk</t>
  </si>
  <si>
    <t>ZMk</t>
  </si>
  <si>
    <t>IkM"</t>
  </si>
  <si>
    <t>Sumaryczny prąd zwarciowey początkowy</t>
  </si>
  <si>
    <t>Ik"</t>
  </si>
  <si>
    <t>Schemat zastępczy</t>
  </si>
  <si>
    <t>Zkk</t>
  </si>
  <si>
    <t>Na podstawie obliczeń ręcznych</t>
  </si>
  <si>
    <t>Na podstawie Matlab</t>
  </si>
  <si>
    <t>tn matlab:</t>
  </si>
  <si>
    <t>Dane do ćwiczenia 8</t>
  </si>
  <si>
    <t>SkQ"</t>
  </si>
  <si>
    <t>RQk/XQk</t>
  </si>
  <si>
    <t>kappa</t>
  </si>
  <si>
    <t>ipQk</t>
  </si>
  <si>
    <t>IbQk</t>
  </si>
  <si>
    <t>iDCQk</t>
  </si>
  <si>
    <t>Ibasym</t>
  </si>
  <si>
    <t>m</t>
  </si>
  <si>
    <t>n</t>
  </si>
  <si>
    <t>IthQk</t>
  </si>
  <si>
    <t>IkQ"/INQ</t>
  </si>
  <si>
    <t>Zasilanie zwarcia z Generatira G:</t>
  </si>
  <si>
    <t>SkG"</t>
  </si>
  <si>
    <t>RGk/XGk</t>
  </si>
  <si>
    <t>ipGk</t>
  </si>
  <si>
    <t>IkG"/ING</t>
  </si>
  <si>
    <t>IbGk</t>
  </si>
  <si>
    <t>iDCGk</t>
  </si>
  <si>
    <t>IthGk</t>
  </si>
  <si>
    <t>ING</t>
  </si>
  <si>
    <t>mu</t>
  </si>
  <si>
    <t>Zasilanie zwarcia z Silnika M</t>
  </si>
  <si>
    <t>RMk/XMk</t>
  </si>
  <si>
    <t>ipMk</t>
  </si>
  <si>
    <t>INM</t>
  </si>
  <si>
    <t>IkM"/INM</t>
  </si>
  <si>
    <t>IbMk</t>
  </si>
  <si>
    <t>iDCMk</t>
  </si>
  <si>
    <t>IthMk</t>
  </si>
  <si>
    <t>q</t>
  </si>
  <si>
    <t>muM</t>
  </si>
  <si>
    <t>ZQ</t>
  </si>
  <si>
    <t>Dane do ćwiczenia 9 - ze sprawozdania cw 6</t>
  </si>
  <si>
    <t>ZA1T1</t>
  </si>
  <si>
    <t>ZG</t>
  </si>
  <si>
    <t>ZLK</t>
  </si>
  <si>
    <t>ZA1T2</t>
  </si>
  <si>
    <t>ZB1T2</t>
  </si>
  <si>
    <t>Macierz składowej zgodnej</t>
  </si>
  <si>
    <t>R0</t>
  </si>
  <si>
    <t>T1A</t>
  </si>
  <si>
    <t>T1B</t>
  </si>
  <si>
    <t>T1E</t>
  </si>
  <si>
    <t>T2A</t>
  </si>
  <si>
    <t>T2B</t>
  </si>
  <si>
    <t>T2E</t>
  </si>
  <si>
    <t>M</t>
  </si>
  <si>
    <t>Liczby zespolone</t>
  </si>
  <si>
    <t>ZE1T1</t>
  </si>
  <si>
    <t>ZB1T1</t>
  </si>
  <si>
    <t>ZE1T2</t>
  </si>
  <si>
    <t>Skł. 0</t>
  </si>
  <si>
    <t>Skł. 12</t>
  </si>
  <si>
    <t>Impedancje</t>
  </si>
  <si>
    <t>Admitancje</t>
  </si>
  <si>
    <t>Przed przeliczeniem</t>
  </si>
  <si>
    <t>UNSobl</t>
  </si>
  <si>
    <t>Przydatne liczby zespolone</t>
  </si>
  <si>
    <t>Liczba rzecz,</t>
  </si>
  <si>
    <t>Liczba zesp.</t>
  </si>
  <si>
    <t>Y1</t>
  </si>
  <si>
    <t>Macierz składowej zerowej</t>
  </si>
  <si>
    <t>Y0</t>
  </si>
  <si>
    <t>Składowa 12</t>
  </si>
  <si>
    <t>Składowa 0</t>
  </si>
  <si>
    <t>Sieć 220kV</t>
  </si>
  <si>
    <t>SkQ1</t>
  </si>
  <si>
    <t>SkQ2</t>
  </si>
  <si>
    <t>Transformatory 220/110kV</t>
  </si>
  <si>
    <t>SNT</t>
  </si>
  <si>
    <t>X0u/XT</t>
  </si>
  <si>
    <t>Linia 110kV</t>
  </si>
  <si>
    <t>x'</t>
  </si>
  <si>
    <t>XQ</t>
  </si>
  <si>
    <t>XL0</t>
  </si>
  <si>
    <t>KT</t>
  </si>
  <si>
    <t>XKT</t>
  </si>
  <si>
    <t>inf</t>
  </si>
  <si>
    <t>RG</t>
  </si>
  <si>
    <t>RL0</t>
  </si>
  <si>
    <t>Gałąź LK</t>
  </si>
  <si>
    <t>RLK</t>
  </si>
  <si>
    <t>XLK</t>
  </si>
  <si>
    <t>RLK0</t>
  </si>
  <si>
    <t>XLK0</t>
  </si>
  <si>
    <t>Transformator T1 - zmiana na 18%</t>
  </si>
  <si>
    <t>Dobór dławika</t>
  </si>
  <si>
    <t>XD</t>
  </si>
  <si>
    <t>IND</t>
  </si>
  <si>
    <t>UND</t>
  </si>
  <si>
    <t xml:space="preserve">Ćwiczenie 12 </t>
  </si>
  <si>
    <t>Sieć kablowa miejska</t>
  </si>
  <si>
    <t>IZC</t>
  </si>
  <si>
    <t>B0</t>
  </si>
  <si>
    <t>C0</t>
  </si>
  <si>
    <t>Kompensacja sieci</t>
  </si>
  <si>
    <t>IZK</t>
  </si>
  <si>
    <t>XN</t>
  </si>
  <si>
    <t>LN</t>
  </si>
  <si>
    <t>Uwzględnienie rozstrojenia</t>
  </si>
  <si>
    <t>Uziemienie przez rezystor</t>
  </si>
  <si>
    <t>RN</t>
  </si>
  <si>
    <t>H</t>
  </si>
  <si>
    <t>Sieć 110 kV: system sztywny</t>
  </si>
  <si>
    <t xml:space="preserve">Generator G: </t>
  </si>
  <si>
    <t>Transformator T1 i T2</t>
  </si>
  <si>
    <t>Obliczenia w jednostkach wzgl.</t>
  </si>
  <si>
    <t>Zb</t>
  </si>
  <si>
    <t>Ω</t>
  </si>
  <si>
    <t>USEE</t>
  </si>
  <si>
    <t>US</t>
  </si>
  <si>
    <t>XTΩ</t>
  </si>
  <si>
    <t>PMW</t>
  </si>
  <si>
    <t>Qmvar</t>
  </si>
  <si>
    <t>S</t>
  </si>
  <si>
    <t>Ua</t>
  </si>
  <si>
    <t>Ub</t>
  </si>
  <si>
    <t>E'</t>
  </si>
  <si>
    <t>delta0</t>
  </si>
  <si>
    <t>delta0deg</t>
  </si>
  <si>
    <t>delta1</t>
  </si>
  <si>
    <t>delta1deg</t>
  </si>
  <si>
    <t>tz</t>
  </si>
  <si>
    <t>Rozpatrywane przypadki</t>
  </si>
  <si>
    <t>P</t>
  </si>
  <si>
    <t>Q</t>
  </si>
  <si>
    <t>sind</t>
  </si>
  <si>
    <t>d-</t>
  </si>
  <si>
    <t>d</t>
  </si>
  <si>
    <t>2trafo</t>
  </si>
  <si>
    <t>1trafo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</si>
</sst>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0"/>
    <numFmt numFmtId="165" formatCode="_-* #,##0.00000_-;\-* #,##0.00000_-;_-* &quot;-&quot;??_-;_-@_-"/>
    <numFmt numFmtId="166" formatCode="0.000"/>
    <numFmt numFmtId="167" formatCode="_-* #,##0.000_-;\-* #,##0.000_-;_-* &quot;-&quot;??_-;_-@_-"/>
    <numFmt numFmtId="168" formatCode="0.0000"/>
    <numFmt numFmtId="169" formatCode="0.00000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7F7F7F"/>
      </right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2" borderId="4" applyNumberFormat="0" applyAlignment="0" applyProtection="0"/>
    <xf numFmtId="0" fontId="7" fillId="3" borderId="5" applyNumberFormat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  <xf numFmtId="164" fontId="6" fillId="2" borderId="4" xfId="5" applyNumberFormat="1"/>
    <xf numFmtId="164" fontId="7" fillId="3" borderId="5" xfId="6" applyNumberFormat="1"/>
    <xf numFmtId="9" fontId="7" fillId="3" borderId="5" xfId="6" applyNumberFormat="1"/>
    <xf numFmtId="0" fontId="3" fillId="0" borderId="1" xfId="2"/>
    <xf numFmtId="0" fontId="4" fillId="0" borderId="2" xfId="3"/>
    <xf numFmtId="2" fontId="3" fillId="0" borderId="1" xfId="2" applyNumberFormat="1"/>
    <xf numFmtId="2" fontId="7" fillId="3" borderId="5" xfId="6" applyNumberFormat="1"/>
    <xf numFmtId="0" fontId="5" fillId="0" borderId="3" xfId="4"/>
    <xf numFmtId="2" fontId="5" fillId="0" borderId="3" xfId="4" applyNumberFormat="1"/>
    <xf numFmtId="166" fontId="0" fillId="0" borderId="0" xfId="0" applyNumberFormat="1"/>
    <xf numFmtId="166" fontId="7" fillId="3" borderId="5" xfId="6" applyNumberFormat="1"/>
    <xf numFmtId="0" fontId="2" fillId="0" borderId="0" xfId="0" applyFont="1" applyFill="1" applyBorder="1"/>
    <xf numFmtId="165" fontId="0" fillId="0" borderId="0" xfId="0" applyNumberFormat="1"/>
    <xf numFmtId="0" fontId="7" fillId="3" borderId="5" xfId="6"/>
    <xf numFmtId="49" fontId="0" fillId="0" borderId="0" xfId="0" applyNumberFormat="1"/>
    <xf numFmtId="49" fontId="2" fillId="0" borderId="0" xfId="0" applyNumberFormat="1" applyFont="1"/>
    <xf numFmtId="167" fontId="0" fillId="0" borderId="0" xfId="0" applyNumberFormat="1"/>
    <xf numFmtId="0" fontId="6" fillId="2" borderId="4" xfId="5"/>
    <xf numFmtId="164" fontId="0" fillId="0" borderId="0" xfId="0" quotePrefix="1" applyNumberFormat="1"/>
    <xf numFmtId="164" fontId="7" fillId="3" borderId="5" xfId="7" applyNumberFormat="1" applyFont="1" applyFill="1" applyBorder="1"/>
    <xf numFmtId="168" fontId="7" fillId="3" borderId="5" xfId="6" applyNumberFormat="1"/>
    <xf numFmtId="0" fontId="5" fillId="0" borderId="0" xfId="8"/>
    <xf numFmtId="169" fontId="6" fillId="2" borderId="4" xfId="5" applyNumberFormat="1"/>
    <xf numFmtId="169" fontId="7" fillId="3" borderId="5" xfId="6" applyNumberFormat="1"/>
    <xf numFmtId="169" fontId="0" fillId="0" borderId="0" xfId="0" applyNumberFormat="1"/>
    <xf numFmtId="166" fontId="6" fillId="2" borderId="4" xfId="5" applyNumberFormat="1"/>
    <xf numFmtId="166" fontId="6" fillId="2" borderId="6" xfId="5" applyNumberFormat="1" applyBorder="1"/>
    <xf numFmtId="166" fontId="6" fillId="2" borderId="0" xfId="5" applyNumberFormat="1" applyBorder="1"/>
    <xf numFmtId="164" fontId="3" fillId="0" borderId="1" xfId="2" applyNumberFormat="1"/>
    <xf numFmtId="164" fontId="6" fillId="2" borderId="4" xfId="5" quotePrefix="1" applyNumberFormat="1"/>
    <xf numFmtId="2" fontId="6" fillId="2" borderId="4" xfId="5" applyNumberFormat="1"/>
    <xf numFmtId="168" fontId="6" fillId="2" borderId="4" xfId="5" applyNumberFormat="1"/>
    <xf numFmtId="0" fontId="8" fillId="0" borderId="0" xfId="9"/>
    <xf numFmtId="0" fontId="8" fillId="0" borderId="1" xfId="9" applyBorder="1"/>
    <xf numFmtId="0" fontId="8" fillId="0" borderId="2" xfId="9" applyBorder="1"/>
  </cellXfs>
  <cellStyles count="10">
    <cellStyle name="Dane wejściowe" xfId="5" builtinId="20"/>
    <cellStyle name="Dane wyjściowe" xfId="6" builtinId="21"/>
    <cellStyle name="Dziesiętny" xfId="1" builtinId="3"/>
    <cellStyle name="Nagłówek 1" xfId="2" builtinId="16"/>
    <cellStyle name="Nagłówek 2" xfId="3" builtinId="17"/>
    <cellStyle name="Nagłówek 3" xfId="4" builtinId="18"/>
    <cellStyle name="Nagłówek 4" xfId="8" builtinId="19"/>
    <cellStyle name="Normalny" xfId="0" builtinId="0"/>
    <cellStyle name="Procentowy" xfId="7" builtinId="5"/>
    <cellStyle name="Tekst objaśnienia" xfId="9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62</xdr:row>
      <xdr:rowOff>71438</xdr:rowOff>
    </xdr:from>
    <xdr:to>
      <xdr:col>18</xdr:col>
      <xdr:colOff>306485</xdr:colOff>
      <xdr:row>69</xdr:row>
      <xdr:rowOff>21773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45D0CFE-4345-4218-9966-0E090FB41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3" y="12453938"/>
          <a:ext cx="6997797" cy="1283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71</xdr:row>
      <xdr:rowOff>64791</xdr:rowOff>
    </xdr:from>
    <xdr:to>
      <xdr:col>17</xdr:col>
      <xdr:colOff>297500</xdr:colOff>
      <xdr:row>99</xdr:row>
      <xdr:rowOff>72457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FA4EF96-AC19-4D15-AE64-72F259C85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0438" y="14233229"/>
          <a:ext cx="6107751" cy="5532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176893</xdr:colOff>
      <xdr:row>1</xdr:row>
      <xdr:rowOff>0</xdr:rowOff>
    </xdr:from>
    <xdr:to>
      <xdr:col>17</xdr:col>
      <xdr:colOff>534036</xdr:colOff>
      <xdr:row>27</xdr:row>
      <xdr:rowOff>23833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A8C672E0-73EE-421F-AFEC-2790B5061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3036" y="190500"/>
          <a:ext cx="5800000" cy="527619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75</xdr:row>
      <xdr:rowOff>0</xdr:rowOff>
    </xdr:from>
    <xdr:to>
      <xdr:col>21</xdr:col>
      <xdr:colOff>330297</xdr:colOff>
      <xdr:row>81</xdr:row>
      <xdr:rowOff>145596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88AED3C-F972-4CF1-BAA2-AB44D2AC2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0536" y="15539357"/>
          <a:ext cx="6970582" cy="1288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7C7A9-483C-4862-8931-B29E2F71594E}">
  <dimension ref="A1:L37"/>
  <sheetViews>
    <sheetView tabSelected="1" topLeftCell="A4" workbookViewId="0">
      <selection activeCell="H32" sqref="H32:H37"/>
    </sheetView>
  </sheetViews>
  <sheetFormatPr defaultRowHeight="15" x14ac:dyDescent="0.25"/>
  <cols>
    <col min="3" max="3" width="9.140625" style="38"/>
  </cols>
  <sheetData>
    <row r="1" spans="1:9" x14ac:dyDescent="0.25">
      <c r="A1" t="s">
        <v>0</v>
      </c>
      <c r="B1">
        <v>51</v>
      </c>
    </row>
    <row r="3" spans="1:9" ht="20.25" thickBot="1" x14ac:dyDescent="0.35">
      <c r="A3" s="9" t="s">
        <v>352</v>
      </c>
      <c r="B3" s="9"/>
      <c r="C3" s="39"/>
    </row>
    <row r="4" spans="1:9" ht="21" thickTop="1" thickBot="1" x14ac:dyDescent="0.35">
      <c r="A4" s="9" t="s">
        <v>358</v>
      </c>
      <c r="B4" s="9">
        <v>10</v>
      </c>
      <c r="C4" s="39" t="s">
        <v>9</v>
      </c>
    </row>
    <row r="5" spans="1:9" ht="18.75" thickTop="1" thickBot="1" x14ac:dyDescent="0.35">
      <c r="A5" s="10" t="s">
        <v>353</v>
      </c>
      <c r="B5" s="10"/>
      <c r="C5" s="40"/>
    </row>
    <row r="6" spans="1:9" ht="15.75" thickTop="1" x14ac:dyDescent="0.25">
      <c r="A6" s="1" t="s">
        <v>7</v>
      </c>
      <c r="B6">
        <f>11+B1/100</f>
        <v>11.51</v>
      </c>
      <c r="C6" s="38" t="s">
        <v>3</v>
      </c>
    </row>
    <row r="7" spans="1:9" x14ac:dyDescent="0.25">
      <c r="A7" s="1" t="s">
        <v>8</v>
      </c>
      <c r="B7">
        <v>10.5</v>
      </c>
      <c r="C7" s="38" t="s">
        <v>9</v>
      </c>
    </row>
    <row r="8" spans="1:9" x14ac:dyDescent="0.25">
      <c r="A8" s="1" t="s">
        <v>10</v>
      </c>
      <c r="B8">
        <v>0.8</v>
      </c>
      <c r="C8" s="38" t="s">
        <v>16</v>
      </c>
    </row>
    <row r="9" spans="1:9" x14ac:dyDescent="0.25">
      <c r="A9" s="1" t="s">
        <v>11</v>
      </c>
      <c r="B9">
        <v>233</v>
      </c>
      <c r="C9" s="38" t="s">
        <v>15</v>
      </c>
    </row>
    <row r="10" spans="1:9" x14ac:dyDescent="0.25">
      <c r="A10" s="1" t="s">
        <v>12</v>
      </c>
      <c r="B10">
        <f>24+B1/100</f>
        <v>24.51</v>
      </c>
      <c r="C10" s="38" t="s">
        <v>15</v>
      </c>
    </row>
    <row r="11" spans="1:9" x14ac:dyDescent="0.25">
      <c r="A11" s="1" t="s">
        <v>13</v>
      </c>
      <c r="B11">
        <f>8+B1/100</f>
        <v>8.51</v>
      </c>
      <c r="C11" s="38" t="s">
        <v>14</v>
      </c>
    </row>
    <row r="13" spans="1:9" ht="18" thickBot="1" x14ac:dyDescent="0.35">
      <c r="A13" s="10" t="s">
        <v>354</v>
      </c>
      <c r="B13" s="10"/>
      <c r="C13" s="40"/>
    </row>
    <row r="14" spans="1:9" ht="15.75" thickTop="1" x14ac:dyDescent="0.25">
      <c r="A14" s="1" t="s">
        <v>30</v>
      </c>
      <c r="B14">
        <v>20</v>
      </c>
      <c r="D14" s="38" t="s">
        <v>3</v>
      </c>
    </row>
    <row r="15" spans="1:9" x14ac:dyDescent="0.25">
      <c r="A15" s="1" t="s">
        <v>31</v>
      </c>
      <c r="B15">
        <v>115</v>
      </c>
      <c r="D15" s="38" t="s">
        <v>9</v>
      </c>
      <c r="H15" t="s">
        <v>375</v>
      </c>
      <c r="I15">
        <f>C32*B25/(G32*B21)</f>
        <v>0.18252479905604285</v>
      </c>
    </row>
    <row r="16" spans="1:9" x14ac:dyDescent="0.25">
      <c r="A16" s="1" t="s">
        <v>37</v>
      </c>
      <c r="B16">
        <v>11</v>
      </c>
      <c r="D16" s="38" t="s">
        <v>9</v>
      </c>
      <c r="H16" t="s">
        <v>376</v>
      </c>
      <c r="I16">
        <f>ASIN(I15)</f>
        <v>0.18355377945455004</v>
      </c>
    </row>
    <row r="17" spans="1:12" x14ac:dyDescent="0.25">
      <c r="A17" s="1" t="s">
        <v>38</v>
      </c>
      <c r="B17">
        <f>11+B1/100</f>
        <v>11.51</v>
      </c>
      <c r="D17" s="38" t="s">
        <v>15</v>
      </c>
      <c r="H17" t="s">
        <v>377</v>
      </c>
      <c r="I17">
        <f>DEGREES(I16)</f>
        <v>10.516856876420839</v>
      </c>
    </row>
    <row r="18" spans="1:12" x14ac:dyDescent="0.25">
      <c r="D18" s="38"/>
    </row>
    <row r="19" spans="1:12" ht="18" thickBot="1" x14ac:dyDescent="0.35">
      <c r="A19" s="10" t="s">
        <v>355</v>
      </c>
      <c r="B19" s="10"/>
      <c r="D19" s="40"/>
    </row>
    <row r="20" spans="1:12" ht="15.75" thickTop="1" x14ac:dyDescent="0.25">
      <c r="A20" s="1" t="s">
        <v>356</v>
      </c>
      <c r="B20">
        <f>B7^2/B6</f>
        <v>9.5786272806255432</v>
      </c>
      <c r="D20" s="38" t="s">
        <v>357</v>
      </c>
    </row>
    <row r="21" spans="1:12" x14ac:dyDescent="0.25">
      <c r="A21" s="1" t="s">
        <v>359</v>
      </c>
      <c r="B21">
        <f>B4/B7</f>
        <v>0.95238095238095233</v>
      </c>
      <c r="D21" s="38" t="s">
        <v>16</v>
      </c>
    </row>
    <row r="22" spans="1:12" x14ac:dyDescent="0.25">
      <c r="A22" s="1"/>
      <c r="B22" t="s">
        <v>378</v>
      </c>
      <c r="C22" s="38" t="s">
        <v>379</v>
      </c>
      <c r="D22" s="38"/>
    </row>
    <row r="23" spans="1:12" x14ac:dyDescent="0.25">
      <c r="A23" s="1" t="s">
        <v>360</v>
      </c>
      <c r="B23" s="19">
        <f>(B17/100)*B16^2/(2*B14)</f>
        <v>0.34817749999999997</v>
      </c>
      <c r="C23" s="38">
        <f>(B17/100)*B16^2/(B14)</f>
        <v>0.69635499999999995</v>
      </c>
      <c r="D23" s="38" t="s">
        <v>357</v>
      </c>
    </row>
    <row r="24" spans="1:12" x14ac:dyDescent="0.25">
      <c r="A24" s="1" t="s">
        <v>360</v>
      </c>
      <c r="B24">
        <f>B23/B20</f>
        <v>3.6349415192743761E-2</v>
      </c>
      <c r="C24">
        <f>C23/B20</f>
        <v>7.2698830385487523E-2</v>
      </c>
      <c r="D24" s="38" t="s">
        <v>16</v>
      </c>
    </row>
    <row r="25" spans="1:12" x14ac:dyDescent="0.25">
      <c r="A25" s="1" t="s">
        <v>115</v>
      </c>
      <c r="B25">
        <f>B24+B10/100</f>
        <v>0.2814494151927438</v>
      </c>
      <c r="C25">
        <f>C24+B10/100</f>
        <v>0.31779883038548751</v>
      </c>
      <c r="D25" s="38" t="s">
        <v>16</v>
      </c>
    </row>
    <row r="26" spans="1:12" x14ac:dyDescent="0.25">
      <c r="A26" s="1" t="s">
        <v>361</v>
      </c>
      <c r="B26">
        <f>B6*B8</f>
        <v>9.2080000000000002</v>
      </c>
      <c r="C26">
        <f>B6*B8</f>
        <v>9.2080000000000002</v>
      </c>
      <c r="D26" s="38" t="s">
        <v>3</v>
      </c>
    </row>
    <row r="27" spans="1:12" x14ac:dyDescent="0.25">
      <c r="A27" s="1" t="s">
        <v>362</v>
      </c>
      <c r="B27">
        <f>B6*SQRT(1-B8^2)</f>
        <v>6.9059999999999979</v>
      </c>
      <c r="C27">
        <f>B6*SQRT(1-B8^2)</f>
        <v>6.9059999999999979</v>
      </c>
      <c r="D27" s="38" t="s">
        <v>21</v>
      </c>
    </row>
    <row r="28" spans="1:12" x14ac:dyDescent="0.25">
      <c r="A28" s="1" t="s">
        <v>363</v>
      </c>
      <c r="B28">
        <f>B26/B6</f>
        <v>0.8</v>
      </c>
      <c r="C28">
        <f>C26/B6</f>
        <v>0.8</v>
      </c>
      <c r="D28" s="38">
        <f>B27/B6</f>
        <v>0.59999999999999987</v>
      </c>
    </row>
    <row r="30" spans="1:12" x14ac:dyDescent="0.25">
      <c r="A30" s="1" t="s">
        <v>372</v>
      </c>
    </row>
    <row r="31" spans="1:12" x14ac:dyDescent="0.25">
      <c r="A31" s="1" t="s">
        <v>373</v>
      </c>
      <c r="B31" t="s">
        <v>374</v>
      </c>
      <c r="C31" s="38" t="s">
        <v>363</v>
      </c>
      <c r="E31" s="38" t="s">
        <v>364</v>
      </c>
      <c r="F31" t="s">
        <v>365</v>
      </c>
      <c r="G31" s="1" t="s">
        <v>366</v>
      </c>
      <c r="H31" s="1" t="s">
        <v>367</v>
      </c>
      <c r="I31" s="1" t="s">
        <v>368</v>
      </c>
      <c r="J31" s="1" t="s">
        <v>369</v>
      </c>
      <c r="K31" s="1" t="s">
        <v>370</v>
      </c>
      <c r="L31" s="1" t="s">
        <v>371</v>
      </c>
    </row>
    <row r="32" spans="1:12" x14ac:dyDescent="0.25">
      <c r="A32" s="1">
        <v>8</v>
      </c>
      <c r="B32">
        <v>6</v>
      </c>
      <c r="C32" s="38">
        <f>A32/$B$6</f>
        <v>0.69504778453518679</v>
      </c>
      <c r="D32" s="38">
        <f>B32/$B$6</f>
        <v>0.52128583840139009</v>
      </c>
      <c r="E32" s="38">
        <f>(C32*0+D32*$B$25)/$B$21</f>
        <v>0.15405137408464692</v>
      </c>
      <c r="F32">
        <f>(C32*$B$25-D32*0)/$B$21</f>
        <v>0.20540183211286256</v>
      </c>
      <c r="G32">
        <f>SQRT(($B$21+E32)^2+F32^2)</f>
        <v>1.1253365744004764</v>
      </c>
      <c r="H32">
        <f>ATAN(F32/($B$21+E32))</f>
        <v>0.18355377945455001</v>
      </c>
      <c r="I32">
        <f>DEGREES(H32)</f>
        <v>10.516856876420837</v>
      </c>
      <c r="J32">
        <f>ACOS((PI()*SIN(H32)-2*H32*SIN(H32))-COS(H32))</f>
        <v>2.0677943678082547</v>
      </c>
      <c r="K32">
        <f>DEGREES(J32)</f>
        <v>118.47589017633521</v>
      </c>
      <c r="L32">
        <f>SQRT((2*(J32-H32)*$B$11)/(100*PI()*C32))</f>
        <v>0.3832354604698357</v>
      </c>
    </row>
    <row r="33" spans="1:12" x14ac:dyDescent="0.25">
      <c r="A33" s="1">
        <v>8</v>
      </c>
      <c r="B33">
        <v>6</v>
      </c>
      <c r="C33" s="38">
        <f t="shared" ref="C33:C37" si="0">A33/$B$6</f>
        <v>0.69504778453518679</v>
      </c>
      <c r="D33" s="38">
        <f t="shared" ref="D33:D37" si="1">B33/$B$6</f>
        <v>0.52128583840139009</v>
      </c>
      <c r="E33" s="38">
        <f>(C33*0+D33*$C$25)/$B$21</f>
        <v>0.17394723122750405</v>
      </c>
      <c r="F33">
        <f>(C33*$C$25-D33*0)/$B$21</f>
        <v>0.23192964163667204</v>
      </c>
      <c r="G33">
        <f>SQRT(($B$21+E33)^2+F33^2)</f>
        <v>1.1499593626995868</v>
      </c>
      <c r="H33">
        <f t="shared" ref="H33:H37" si="2">ATAN(F33/($B$21+E33))</f>
        <v>0.20307804726827355</v>
      </c>
      <c r="I33">
        <f>DEGREES(H33)</f>
        <v>11.635515020230311</v>
      </c>
      <c r="J33">
        <f>ACOS((PI()*SIN(H33)-2*H33*SIN(H33))-COS(H33))</f>
        <v>2.0128024961218314</v>
      </c>
      <c r="K33">
        <f>DEGREES(J33)</f>
        <v>115.32508802117819</v>
      </c>
      <c r="L33">
        <f>SQRT((2*(J33-H33)*$B$11)/(100*PI()*C33))</f>
        <v>0.37558110613199824</v>
      </c>
    </row>
    <row r="34" spans="1:12" x14ac:dyDescent="0.25">
      <c r="A34" s="1">
        <v>8</v>
      </c>
      <c r="B34">
        <v>-6</v>
      </c>
      <c r="C34" s="38">
        <f t="shared" ref="C34:C37" si="3">A34/$B$6</f>
        <v>0.69504778453518679</v>
      </c>
      <c r="D34" s="38">
        <f t="shared" ref="D34:D37" si="4">B34/$B$6</f>
        <v>-0.52128583840139009</v>
      </c>
      <c r="E34" s="38">
        <f t="shared" ref="E34:E37" si="5">(C34*0+D34*$C$25)/$B$21</f>
        <v>-0.17394723122750405</v>
      </c>
      <c r="F34">
        <f t="shared" ref="F34:F37" si="6">(C34*$C$25-D34*0)/$B$21</f>
        <v>0.23192964163667204</v>
      </c>
      <c r="G34">
        <f>SQRT(($B$21+E34)^2+F34^2)</f>
        <v>0.81225021815849296</v>
      </c>
      <c r="H34">
        <f t="shared" si="2"/>
        <v>0.28956947254028975</v>
      </c>
      <c r="I34">
        <f t="shared" ref="I34:I37" si="7">DEGREES(H34)</f>
        <v>16.591108652387987</v>
      </c>
      <c r="J34">
        <f t="shared" ref="J34:J37" si="8">ACOS((PI()*SIN(H34)-2*H34*SIN(H34))-COS(H34))</f>
        <v>1.7994688117408757</v>
      </c>
      <c r="K34">
        <f t="shared" ref="K34:K37" si="9">DEGREES(J34)</f>
        <v>103.10196827817346</v>
      </c>
      <c r="L34">
        <f t="shared" ref="L34:L37" si="10">SQRT((2*(J34-H34)*$B$11)/(100*PI()*C34))</f>
        <v>0.34306112492754215</v>
      </c>
    </row>
    <row r="35" spans="1:12" x14ac:dyDescent="0.25">
      <c r="A35" s="1">
        <v>10</v>
      </c>
      <c r="B35">
        <v>0</v>
      </c>
      <c r="C35" s="38">
        <f t="shared" si="3"/>
        <v>0.86880973066898348</v>
      </c>
      <c r="D35" s="38">
        <f t="shared" si="4"/>
        <v>0</v>
      </c>
      <c r="E35" s="38">
        <f t="shared" si="5"/>
        <v>0</v>
      </c>
      <c r="F35">
        <f t="shared" si="6"/>
        <v>0.28991205204584003</v>
      </c>
      <c r="G35">
        <f t="shared" ref="G34:G37" si="11">SQRT(($B$21+E35)^2+F35^2)</f>
        <v>0.99552924436175139</v>
      </c>
      <c r="H35">
        <f t="shared" si="2"/>
        <v>0.29549559282088567</v>
      </c>
      <c r="I35">
        <f t="shared" si="7"/>
        <v>16.930650333353018</v>
      </c>
      <c r="J35">
        <f t="shared" si="8"/>
        <v>1.7863487332033336</v>
      </c>
      <c r="K35">
        <f t="shared" si="9"/>
        <v>102.35024315109213</v>
      </c>
      <c r="L35">
        <f t="shared" si="10"/>
        <v>0.30490176302206706</v>
      </c>
    </row>
    <row r="36" spans="1:12" x14ac:dyDescent="0.25">
      <c r="A36" s="1">
        <v>0</v>
      </c>
      <c r="B36">
        <v>10</v>
      </c>
      <c r="C36" s="38">
        <f t="shared" si="3"/>
        <v>0</v>
      </c>
      <c r="D36" s="38">
        <f t="shared" si="4"/>
        <v>0.86880973066898348</v>
      </c>
      <c r="E36" s="38">
        <f t="shared" si="5"/>
        <v>0.28991205204584003</v>
      </c>
      <c r="F36">
        <f t="shared" si="6"/>
        <v>0</v>
      </c>
      <c r="G36">
        <f t="shared" si="11"/>
        <v>1.2422930044267924</v>
      </c>
      <c r="H36">
        <f t="shared" si="2"/>
        <v>0</v>
      </c>
      <c r="I36">
        <f t="shared" si="7"/>
        <v>0</v>
      </c>
      <c r="J36">
        <f t="shared" si="8"/>
        <v>3.1415926535897931</v>
      </c>
      <c r="K36">
        <f t="shared" si="9"/>
        <v>180</v>
      </c>
      <c r="L36" t="e">
        <f t="shared" si="10"/>
        <v>#DIV/0!</v>
      </c>
    </row>
    <row r="37" spans="1:12" x14ac:dyDescent="0.25">
      <c r="A37" s="1">
        <v>0</v>
      </c>
      <c r="B37">
        <v>-10</v>
      </c>
      <c r="C37" s="38">
        <f t="shared" si="3"/>
        <v>0</v>
      </c>
      <c r="D37" s="38">
        <f t="shared" si="4"/>
        <v>-0.86880973066898348</v>
      </c>
      <c r="E37" s="38">
        <f t="shared" si="5"/>
        <v>-0.28991205204584003</v>
      </c>
      <c r="F37">
        <f t="shared" si="6"/>
        <v>0</v>
      </c>
      <c r="G37">
        <f t="shared" si="11"/>
        <v>0.6624689003351123</v>
      </c>
      <c r="H37">
        <f t="shared" si="2"/>
        <v>0</v>
      </c>
      <c r="I37">
        <f t="shared" si="7"/>
        <v>0</v>
      </c>
      <c r="J37">
        <f t="shared" si="8"/>
        <v>3.1415926535897931</v>
      </c>
      <c r="K37">
        <f t="shared" si="9"/>
        <v>180</v>
      </c>
      <c r="L37" t="e">
        <f t="shared" si="10"/>
        <v>#DIV/0!</v>
      </c>
    </row>
  </sheetData>
  <pageMargins left="0.7" right="0.7" top="0.75" bottom="0.75" header="0.3" footer="0.3"/>
  <pageSetup paperSize="9" orientation="portrait" r:id="rId1"/>
  <ignoredErrors>
    <ignoredError sqref="J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65EC-0D61-476E-BDCC-5E31175A0271}">
  <dimension ref="A1:D20"/>
  <sheetViews>
    <sheetView topLeftCell="A4" workbookViewId="0">
      <selection activeCell="C19" sqref="C19"/>
    </sheetView>
  </sheetViews>
  <sheetFormatPr defaultRowHeight="15" x14ac:dyDescent="0.25"/>
  <cols>
    <col min="2" max="2" width="12" bestFit="1" customWidth="1"/>
  </cols>
  <sheetData>
    <row r="1" spans="1:4" x14ac:dyDescent="0.25">
      <c r="A1" t="s">
        <v>339</v>
      </c>
    </row>
    <row r="2" spans="1:4" x14ac:dyDescent="0.25">
      <c r="A2" s="27" t="s">
        <v>0</v>
      </c>
      <c r="B2" s="23">
        <v>51</v>
      </c>
    </row>
    <row r="4" spans="1:4" ht="20.25" thickBot="1" x14ac:dyDescent="0.35">
      <c r="A4" s="9" t="s">
        <v>138</v>
      </c>
      <c r="B4" s="9"/>
      <c r="C4" s="9"/>
      <c r="D4" s="9"/>
    </row>
    <row r="5" spans="1:4" ht="15.75" thickTop="1" x14ac:dyDescent="0.25">
      <c r="A5" s="27" t="s">
        <v>67</v>
      </c>
      <c r="B5" s="19">
        <f>1+B2/100</f>
        <v>1.51</v>
      </c>
      <c r="C5" t="s">
        <v>16</v>
      </c>
    </row>
    <row r="7" spans="1:4" ht="20.25" thickBot="1" x14ac:dyDescent="0.35">
      <c r="A7" s="9" t="s">
        <v>340</v>
      </c>
      <c r="B7" s="9"/>
      <c r="C7" s="9"/>
      <c r="D7" s="9"/>
    </row>
    <row r="8" spans="1:4" ht="15.75" thickTop="1" x14ac:dyDescent="0.25">
      <c r="A8" t="s">
        <v>152</v>
      </c>
      <c r="B8">
        <v>10</v>
      </c>
      <c r="C8" t="s">
        <v>9</v>
      </c>
    </row>
    <row r="9" spans="1:4" x14ac:dyDescent="0.25">
      <c r="A9" s="27" t="s">
        <v>341</v>
      </c>
      <c r="B9" s="19">
        <f>50+B2</f>
        <v>101</v>
      </c>
      <c r="C9" t="s">
        <v>62</v>
      </c>
    </row>
    <row r="10" spans="1:4" x14ac:dyDescent="0.25">
      <c r="A10" t="s">
        <v>342</v>
      </c>
      <c r="B10">
        <f>B9/(SQRT(3)*B8*10^3)</f>
        <v>5.8312377188152204E-3</v>
      </c>
    </row>
    <row r="11" spans="1:4" x14ac:dyDescent="0.25">
      <c r="A11" t="s">
        <v>343</v>
      </c>
      <c r="B11">
        <f>B10/(100*PI())</f>
        <v>1.8561406145867E-5</v>
      </c>
    </row>
    <row r="12" spans="1:4" x14ac:dyDescent="0.25">
      <c r="A12" t="s">
        <v>344</v>
      </c>
    </row>
    <row r="13" spans="1:4" x14ac:dyDescent="0.25">
      <c r="A13" t="s">
        <v>345</v>
      </c>
      <c r="B13">
        <f>B9</f>
        <v>101</v>
      </c>
    </row>
    <row r="14" spans="1:4" x14ac:dyDescent="0.25">
      <c r="A14" t="s">
        <v>346</v>
      </c>
      <c r="B14">
        <f>1/(3*B10)</f>
        <v>57.163392989071852</v>
      </c>
    </row>
    <row r="15" spans="1:4" x14ac:dyDescent="0.25">
      <c r="A15" t="s">
        <v>347</v>
      </c>
      <c r="B15">
        <f>B14/(100*PI())</f>
        <v>0.18195673116230759</v>
      </c>
    </row>
    <row r="16" spans="1:4" x14ac:dyDescent="0.25">
      <c r="A16" t="s">
        <v>348</v>
      </c>
    </row>
    <row r="17" spans="1:3" x14ac:dyDescent="0.25">
      <c r="A17" t="s">
        <v>346</v>
      </c>
      <c r="B17">
        <f>1/(1.1*3*B10)</f>
        <v>51.966720899156229</v>
      </c>
    </row>
    <row r="18" spans="1:3" x14ac:dyDescent="0.25">
      <c r="A18" t="s">
        <v>347</v>
      </c>
      <c r="B18">
        <f>B17/(100*PI())</f>
        <v>0.16541521014755234</v>
      </c>
      <c r="C18" t="s">
        <v>351</v>
      </c>
    </row>
    <row r="19" spans="1:3" x14ac:dyDescent="0.25">
      <c r="A19" t="s">
        <v>349</v>
      </c>
    </row>
    <row r="20" spans="1:3" x14ac:dyDescent="0.25">
      <c r="A20" t="s">
        <v>350</v>
      </c>
      <c r="B20">
        <f>1/(3.6*B10)</f>
        <v>47.636160824226543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5C75-44E5-4DD3-905B-F6F58CE0B443}">
  <dimension ref="B2:I146"/>
  <sheetViews>
    <sheetView zoomScale="85" zoomScaleNormal="85" workbookViewId="0">
      <selection activeCell="H32" sqref="H32"/>
    </sheetView>
  </sheetViews>
  <sheetFormatPr defaultRowHeight="15" x14ac:dyDescent="0.25"/>
  <cols>
    <col min="2" max="2" width="27.5703125" customWidth="1"/>
    <col min="3" max="3" width="16.5703125" style="3" customWidth="1"/>
    <col min="4" max="4" width="10.7109375" bestFit="1" customWidth="1"/>
    <col min="8" max="8" width="13.140625" customWidth="1"/>
  </cols>
  <sheetData>
    <row r="2" spans="2:4" x14ac:dyDescent="0.25">
      <c r="B2" s="1" t="s">
        <v>0</v>
      </c>
      <c r="C2" s="6">
        <v>51</v>
      </c>
    </row>
    <row r="3" spans="2:4" x14ac:dyDescent="0.25">
      <c r="B3" s="1"/>
      <c r="C3" s="2"/>
    </row>
    <row r="4" spans="2:4" ht="20.25" thickBot="1" x14ac:dyDescent="0.35">
      <c r="B4" s="9" t="s">
        <v>314</v>
      </c>
      <c r="C4" s="34"/>
      <c r="D4" s="9"/>
    </row>
    <row r="5" spans="2:4" ht="15.75" thickTop="1" x14ac:dyDescent="0.25">
      <c r="B5" s="1" t="s">
        <v>315</v>
      </c>
      <c r="C5" s="6">
        <v>16000</v>
      </c>
      <c r="D5" t="s">
        <v>3</v>
      </c>
    </row>
    <row r="6" spans="2:4" x14ac:dyDescent="0.25">
      <c r="B6" s="1" t="s">
        <v>316</v>
      </c>
      <c r="C6" s="6">
        <v>16000</v>
      </c>
      <c r="D6" t="s">
        <v>3</v>
      </c>
    </row>
    <row r="7" spans="2:4" x14ac:dyDescent="0.25">
      <c r="B7" s="1" t="s">
        <v>67</v>
      </c>
      <c r="C7" s="6">
        <v>1.5</v>
      </c>
    </row>
    <row r="8" spans="2:4" x14ac:dyDescent="0.25">
      <c r="B8" s="1" t="s">
        <v>152</v>
      </c>
      <c r="C8" s="6">
        <v>220</v>
      </c>
      <c r="D8" t="s">
        <v>9</v>
      </c>
    </row>
    <row r="9" spans="2:4" x14ac:dyDescent="0.25">
      <c r="B9" s="1" t="s">
        <v>322</v>
      </c>
      <c r="C9" s="7">
        <f>1.1*C8^2/C5</f>
        <v>3.3275000000000006</v>
      </c>
    </row>
    <row r="10" spans="2:4" x14ac:dyDescent="0.25">
      <c r="B10" s="1" t="s">
        <v>4</v>
      </c>
      <c r="C10" s="7">
        <f>C7*C9</f>
        <v>4.9912500000000009</v>
      </c>
    </row>
    <row r="11" spans="2:4" x14ac:dyDescent="0.25">
      <c r="B11" s="1" t="s">
        <v>179</v>
      </c>
      <c r="C11" s="7">
        <v>0.46938775510204084</v>
      </c>
    </row>
    <row r="12" spans="2:4" x14ac:dyDescent="0.25">
      <c r="B12" s="1"/>
      <c r="C12" s="2"/>
    </row>
    <row r="13" spans="2:4" ht="20.25" thickBot="1" x14ac:dyDescent="0.35">
      <c r="B13" s="9" t="s">
        <v>317</v>
      </c>
      <c r="C13" s="34"/>
      <c r="D13" s="9"/>
    </row>
    <row r="14" spans="2:4" ht="15.75" thickTop="1" x14ac:dyDescent="0.25">
      <c r="B14" s="1" t="s">
        <v>318</v>
      </c>
      <c r="C14" s="6">
        <v>160</v>
      </c>
      <c r="D14" t="s">
        <v>3</v>
      </c>
    </row>
    <row r="15" spans="2:4" x14ac:dyDescent="0.25">
      <c r="B15" s="1" t="s">
        <v>31</v>
      </c>
      <c r="C15" s="6">
        <v>245</v>
      </c>
      <c r="D15" t="s">
        <v>9</v>
      </c>
    </row>
    <row r="16" spans="2:4" x14ac:dyDescent="0.25">
      <c r="B16" s="1" t="s">
        <v>37</v>
      </c>
      <c r="C16" s="6">
        <v>115</v>
      </c>
      <c r="D16" t="s">
        <v>9</v>
      </c>
    </row>
    <row r="17" spans="2:8" x14ac:dyDescent="0.25">
      <c r="B17" s="1" t="s">
        <v>38</v>
      </c>
      <c r="C17" s="6">
        <v>15</v>
      </c>
      <c r="D17" t="s">
        <v>15</v>
      </c>
    </row>
    <row r="18" spans="2:8" x14ac:dyDescent="0.25">
      <c r="B18" s="1" t="s">
        <v>319</v>
      </c>
      <c r="C18" s="6">
        <f>5</f>
        <v>5</v>
      </c>
      <c r="D18" t="s">
        <v>16</v>
      </c>
    </row>
    <row r="19" spans="2:8" x14ac:dyDescent="0.25">
      <c r="B19" s="1" t="s">
        <v>77</v>
      </c>
      <c r="C19" s="16">
        <f>(C17/100)*C15^2/C14</f>
        <v>56.2734375</v>
      </c>
    </row>
    <row r="20" spans="2:8" x14ac:dyDescent="0.25">
      <c r="B20" s="1" t="s">
        <v>324</v>
      </c>
      <c r="C20" s="16">
        <f>0.95*(1.1/(1+0.6*C17/100))</f>
        <v>0.95871559633027514</v>
      </c>
    </row>
    <row r="21" spans="2:8" x14ac:dyDescent="0.25">
      <c r="B21" s="1" t="s">
        <v>325</v>
      </c>
      <c r="C21" s="16">
        <f>C20*C19</f>
        <v>53.950222190366965</v>
      </c>
    </row>
    <row r="22" spans="2:8" x14ac:dyDescent="0.25">
      <c r="B22" s="1" t="s">
        <v>44</v>
      </c>
      <c r="C22" s="16">
        <f>C19*C18</f>
        <v>281.3671875</v>
      </c>
    </row>
    <row r="23" spans="2:8" x14ac:dyDescent="0.25">
      <c r="B23" s="1" t="s">
        <v>208</v>
      </c>
      <c r="C23" s="7">
        <v>0</v>
      </c>
      <c r="D23" s="16">
        <f>C21/2</f>
        <v>26.975111095183482</v>
      </c>
    </row>
    <row r="24" spans="2:8" x14ac:dyDescent="0.25">
      <c r="B24" s="1" t="s">
        <v>209</v>
      </c>
      <c r="C24" s="7">
        <v>0</v>
      </c>
      <c r="D24" s="16">
        <f>C21/2</f>
        <v>26.975111095183482</v>
      </c>
    </row>
    <row r="25" spans="2:8" x14ac:dyDescent="0.25">
      <c r="B25" s="1" t="s">
        <v>210</v>
      </c>
      <c r="C25" s="7" t="s">
        <v>326</v>
      </c>
      <c r="D25" s="19" t="s">
        <v>326</v>
      </c>
    </row>
    <row r="26" spans="2:8" x14ac:dyDescent="0.25">
      <c r="B26" s="1" t="s">
        <v>211</v>
      </c>
      <c r="C26" s="7">
        <v>0</v>
      </c>
      <c r="D26" s="16">
        <f>C21/2</f>
        <v>26.975111095183482</v>
      </c>
    </row>
    <row r="27" spans="2:8" x14ac:dyDescent="0.25">
      <c r="B27" s="1" t="s">
        <v>212</v>
      </c>
      <c r="C27" s="7">
        <v>0</v>
      </c>
      <c r="D27" s="16">
        <f>C21/2</f>
        <v>26.975111095183482</v>
      </c>
    </row>
    <row r="28" spans="2:8" x14ac:dyDescent="0.25">
      <c r="B28" s="1" t="s">
        <v>213</v>
      </c>
      <c r="C28" s="7">
        <v>0</v>
      </c>
      <c r="D28" s="16">
        <f>C22</f>
        <v>281.3671875</v>
      </c>
    </row>
    <row r="29" spans="2:8" x14ac:dyDescent="0.25">
      <c r="B29" s="1" t="s">
        <v>179</v>
      </c>
      <c r="C29" s="16">
        <v>0.46938775510204084</v>
      </c>
    </row>
    <row r="30" spans="2:8" x14ac:dyDescent="0.25">
      <c r="B30" s="1"/>
      <c r="C30" s="2"/>
    </row>
    <row r="31" spans="2:8" ht="20.25" thickBot="1" x14ac:dyDescent="0.35">
      <c r="B31" s="9" t="s">
        <v>320</v>
      </c>
      <c r="C31" s="34"/>
      <c r="D31" s="9"/>
      <c r="G31" t="s">
        <v>335</v>
      </c>
    </row>
    <row r="32" spans="2:8" ht="15.75" thickTop="1" x14ac:dyDescent="0.25">
      <c r="B32" s="1" t="s">
        <v>321</v>
      </c>
      <c r="C32" s="6">
        <v>0.4</v>
      </c>
      <c r="D32" t="s">
        <v>58</v>
      </c>
      <c r="G32" t="s">
        <v>336</v>
      </c>
      <c r="H32">
        <f>H33/100*H35/(SQRT(3)*2)</f>
        <v>0.11547005383792516</v>
      </c>
    </row>
    <row r="33" spans="2:9" x14ac:dyDescent="0.25">
      <c r="B33" s="1" t="s">
        <v>65</v>
      </c>
      <c r="C33" s="6">
        <f>(10+C2/10)</f>
        <v>15.1</v>
      </c>
      <c r="D33" t="s">
        <v>63</v>
      </c>
      <c r="G33" t="s">
        <v>38</v>
      </c>
      <c r="H33">
        <v>4</v>
      </c>
      <c r="I33" t="s">
        <v>15</v>
      </c>
    </row>
    <row r="34" spans="2:9" x14ac:dyDescent="0.25">
      <c r="B34" s="1" t="s">
        <v>67</v>
      </c>
      <c r="C34" s="6">
        <v>3</v>
      </c>
      <c r="D34" t="s">
        <v>16</v>
      </c>
      <c r="G34" t="s">
        <v>337</v>
      </c>
      <c r="H34">
        <f>H33/100*H35/(SQRT(3)*0.121)</f>
        <v>1.9085959312053746</v>
      </c>
    </row>
    <row r="35" spans="2:9" x14ac:dyDescent="0.25">
      <c r="B35" s="1" t="s">
        <v>86</v>
      </c>
      <c r="C35" s="7">
        <f>C32*C33</f>
        <v>6.04</v>
      </c>
      <c r="D35" t="s">
        <v>89</v>
      </c>
      <c r="G35" t="s">
        <v>338</v>
      </c>
      <c r="H35">
        <v>10</v>
      </c>
    </row>
    <row r="36" spans="2:9" x14ac:dyDescent="0.25">
      <c r="B36" s="1" t="s">
        <v>323</v>
      </c>
      <c r="C36" s="7">
        <f>C35*C34</f>
        <v>18.12</v>
      </c>
      <c r="D36" t="s">
        <v>89</v>
      </c>
    </row>
    <row r="37" spans="2:9" x14ac:dyDescent="0.25">
      <c r="B37" s="1"/>
      <c r="C37" s="2"/>
    </row>
    <row r="38" spans="2:9" ht="20.25" thickBot="1" x14ac:dyDescent="0.35">
      <c r="B38" s="9" t="s">
        <v>29</v>
      </c>
      <c r="G38" s="9" t="s">
        <v>334</v>
      </c>
      <c r="H38" s="3"/>
    </row>
    <row r="39" spans="2:9" ht="15.75" thickTop="1" x14ac:dyDescent="0.25">
      <c r="B39" s="1" t="s">
        <v>30</v>
      </c>
      <c r="C39" s="6">
        <v>40</v>
      </c>
      <c r="D39" t="s">
        <v>3</v>
      </c>
      <c r="G39" s="1" t="s">
        <v>30</v>
      </c>
      <c r="H39" s="6">
        <v>40</v>
      </c>
      <c r="I39" t="s">
        <v>3</v>
      </c>
    </row>
    <row r="40" spans="2:9" x14ac:dyDescent="0.25">
      <c r="B40" s="1" t="s">
        <v>31</v>
      </c>
      <c r="C40" s="6">
        <v>115</v>
      </c>
      <c r="D40" t="s">
        <v>9</v>
      </c>
      <c r="G40" s="1" t="s">
        <v>31</v>
      </c>
      <c r="H40" s="6">
        <v>115</v>
      </c>
      <c r="I40" t="s">
        <v>9</v>
      </c>
    </row>
    <row r="41" spans="2:9" x14ac:dyDescent="0.25">
      <c r="B41" s="17" t="s">
        <v>202</v>
      </c>
      <c r="C41" s="35" t="s">
        <v>203</v>
      </c>
      <c r="D41" t="s">
        <v>9</v>
      </c>
      <c r="G41" s="17" t="s">
        <v>202</v>
      </c>
      <c r="H41" s="35" t="s">
        <v>203</v>
      </c>
      <c r="I41" t="s">
        <v>9</v>
      </c>
    </row>
    <row r="42" spans="2:9" x14ac:dyDescent="0.25">
      <c r="B42" s="1" t="s">
        <v>35</v>
      </c>
      <c r="C42" s="6">
        <v>25</v>
      </c>
      <c r="D42" t="s">
        <v>16</v>
      </c>
      <c r="G42" s="1" t="s">
        <v>35</v>
      </c>
      <c r="H42" s="6">
        <v>25</v>
      </c>
      <c r="I42" t="s">
        <v>16</v>
      </c>
    </row>
    <row r="43" spans="2:9" x14ac:dyDescent="0.25">
      <c r="B43" s="1" t="s">
        <v>36</v>
      </c>
      <c r="C43" s="6">
        <v>12</v>
      </c>
      <c r="D43" t="s">
        <v>16</v>
      </c>
      <c r="G43" s="1" t="s">
        <v>36</v>
      </c>
      <c r="H43" s="6">
        <v>12</v>
      </c>
      <c r="I43" t="s">
        <v>16</v>
      </c>
    </row>
    <row r="44" spans="2:9" x14ac:dyDescent="0.25">
      <c r="B44" s="1" t="s">
        <v>37</v>
      </c>
      <c r="C44" s="6">
        <v>11</v>
      </c>
      <c r="D44" t="s">
        <v>9</v>
      </c>
      <c r="G44" s="1" t="s">
        <v>37</v>
      </c>
      <c r="H44" s="6">
        <v>11</v>
      </c>
      <c r="I44" t="s">
        <v>9</v>
      </c>
    </row>
    <row r="45" spans="2:9" x14ac:dyDescent="0.25">
      <c r="B45" s="1" t="s">
        <v>38</v>
      </c>
      <c r="C45" s="6">
        <f>(11+C2/100)</f>
        <v>11.51</v>
      </c>
      <c r="D45" t="s">
        <v>15</v>
      </c>
      <c r="G45" s="1" t="s">
        <v>38</v>
      </c>
      <c r="H45" s="6">
        <v>18</v>
      </c>
      <c r="I45" t="s">
        <v>15</v>
      </c>
    </row>
    <row r="46" spans="2:9" x14ac:dyDescent="0.25">
      <c r="B46" s="1" t="s">
        <v>39</v>
      </c>
      <c r="C46" s="6">
        <f>(205+C2)/1000</f>
        <v>0.25600000000000001</v>
      </c>
      <c r="D46" t="s">
        <v>24</v>
      </c>
      <c r="G46" s="1" t="s">
        <v>39</v>
      </c>
      <c r="H46" s="6">
        <f>(205+C2)/1000</f>
        <v>0.25600000000000001</v>
      </c>
      <c r="I46" t="s">
        <v>24</v>
      </c>
    </row>
    <row r="47" spans="2:9" x14ac:dyDescent="0.25">
      <c r="B47" s="1" t="s">
        <v>41</v>
      </c>
      <c r="C47" s="6">
        <f>(33+C2/10)/1000</f>
        <v>3.8100000000000002E-2</v>
      </c>
      <c r="D47" t="s">
        <v>24</v>
      </c>
      <c r="G47" s="1" t="s">
        <v>41</v>
      </c>
      <c r="H47" s="6">
        <f>(33+C2/10)/1000</f>
        <v>3.8100000000000002E-2</v>
      </c>
      <c r="I47" t="s">
        <v>24</v>
      </c>
    </row>
    <row r="48" spans="2:9" x14ac:dyDescent="0.25">
      <c r="B48" s="1" t="s">
        <v>42</v>
      </c>
      <c r="C48" s="6">
        <f>(0.5+C2/100)%</f>
        <v>1.01E-2</v>
      </c>
      <c r="D48" t="s">
        <v>15</v>
      </c>
      <c r="G48" s="1" t="s">
        <v>42</v>
      </c>
      <c r="H48" s="6">
        <f>(0.5+C2/100)%</f>
        <v>1.01E-2</v>
      </c>
      <c r="I48" t="s">
        <v>15</v>
      </c>
    </row>
    <row r="49" spans="2:9" x14ac:dyDescent="0.25">
      <c r="B49" s="1" t="s">
        <v>43</v>
      </c>
      <c r="C49" s="6" t="s">
        <v>16</v>
      </c>
      <c r="G49" s="1" t="s">
        <v>43</v>
      </c>
      <c r="H49" s="6" t="s">
        <v>16</v>
      </c>
    </row>
    <row r="50" spans="2:9" x14ac:dyDescent="0.25">
      <c r="B50" s="1" t="s">
        <v>197</v>
      </c>
      <c r="C50" s="6">
        <v>5</v>
      </c>
      <c r="D50" t="s">
        <v>16</v>
      </c>
      <c r="G50" s="1" t="s">
        <v>197</v>
      </c>
      <c r="H50" s="6">
        <v>5</v>
      </c>
      <c r="I50" t="s">
        <v>16</v>
      </c>
    </row>
    <row r="51" spans="2:9" x14ac:dyDescent="0.25">
      <c r="B51" s="1" t="s">
        <v>199</v>
      </c>
      <c r="C51" s="16">
        <f>C46*C40^2/C39^2</f>
        <v>2.1160000000000001</v>
      </c>
      <c r="G51" s="1" t="s">
        <v>199</v>
      </c>
      <c r="H51" s="16">
        <f>H46*H40^2/H39^2</f>
        <v>2.1160000000000001</v>
      </c>
    </row>
    <row r="52" spans="2:9" x14ac:dyDescent="0.25">
      <c r="B52" s="1" t="s">
        <v>200</v>
      </c>
      <c r="C52" s="16">
        <f>C45*C40^2/(100*C39)</f>
        <v>38.054937500000001</v>
      </c>
      <c r="G52" s="1" t="s">
        <v>200</v>
      </c>
      <c r="H52" s="16">
        <f>H45*H40^2/(100*H39)</f>
        <v>59.512500000000003</v>
      </c>
    </row>
    <row r="53" spans="2:9" x14ac:dyDescent="0.25">
      <c r="B53" s="1" t="s">
        <v>324</v>
      </c>
      <c r="C53" s="16">
        <f>0.95*1.1/(1+0.6*(C45/100))</f>
        <v>0.97749424728265955</v>
      </c>
      <c r="G53" s="1" t="s">
        <v>324</v>
      </c>
      <c r="H53" s="16">
        <f>0.95*1.1/(1+0.6*(H45/100))</f>
        <v>0.94314079422382657</v>
      </c>
    </row>
    <row r="54" spans="2:9" x14ac:dyDescent="0.25">
      <c r="B54" s="1" t="s">
        <v>205</v>
      </c>
      <c r="C54" s="16">
        <f>C51*C53</f>
        <v>2.0683778272501079</v>
      </c>
      <c r="G54" s="1" t="s">
        <v>205</v>
      </c>
      <c r="H54" s="16">
        <f>H51*H53</f>
        <v>1.9956859205776172</v>
      </c>
    </row>
    <row r="55" spans="2:9" x14ac:dyDescent="0.25">
      <c r="B55" s="1" t="s">
        <v>206</v>
      </c>
      <c r="C55" s="16">
        <f>C52*C53</f>
        <v>37.198482486951157</v>
      </c>
      <c r="G55" s="1" t="s">
        <v>206</v>
      </c>
      <c r="H55" s="16">
        <f>H52*H53</f>
        <v>56.128666516245481</v>
      </c>
    </row>
    <row r="56" spans="2:9" x14ac:dyDescent="0.25">
      <c r="B56" s="1" t="s">
        <v>201</v>
      </c>
      <c r="C56" s="16">
        <f>C52*C50</f>
        <v>190.2746875</v>
      </c>
      <c r="G56" s="1" t="s">
        <v>201</v>
      </c>
      <c r="H56" s="16">
        <f>H52*H50</f>
        <v>297.5625</v>
      </c>
    </row>
    <row r="57" spans="2:9" x14ac:dyDescent="0.25">
      <c r="B57" s="1" t="s">
        <v>208</v>
      </c>
      <c r="C57" s="16">
        <f>$C$54/2</f>
        <v>1.0341889136250539</v>
      </c>
      <c r="D57" s="16">
        <f>$C$55/2</f>
        <v>18.599241243475579</v>
      </c>
      <c r="G57" s="1" t="s">
        <v>208</v>
      </c>
      <c r="H57" s="16">
        <f>$H$54/2</f>
        <v>0.99784296028880859</v>
      </c>
      <c r="I57" s="16">
        <f>$H$55/2</f>
        <v>28.06433325812274</v>
      </c>
    </row>
    <row r="58" spans="2:9" x14ac:dyDescent="0.25">
      <c r="B58" s="1" t="s">
        <v>209</v>
      </c>
      <c r="C58" s="16">
        <f>$C$54/2</f>
        <v>1.0341889136250539</v>
      </c>
      <c r="D58" s="16">
        <f>$C$55/2</f>
        <v>18.599241243475579</v>
      </c>
      <c r="G58" s="1" t="s">
        <v>209</v>
      </c>
      <c r="H58" s="16">
        <f>$H$54/2</f>
        <v>0.99784296028880859</v>
      </c>
      <c r="I58" s="16">
        <f>$H$55/2</f>
        <v>28.06433325812274</v>
      </c>
    </row>
    <row r="59" spans="2:9" x14ac:dyDescent="0.25">
      <c r="B59" s="1" t="s">
        <v>210</v>
      </c>
      <c r="C59" s="16" t="s">
        <v>326</v>
      </c>
      <c r="D59" s="16" t="s">
        <v>326</v>
      </c>
      <c r="G59" s="1" t="s">
        <v>210</v>
      </c>
      <c r="H59" s="16" t="s">
        <v>326</v>
      </c>
      <c r="I59" s="16" t="s">
        <v>326</v>
      </c>
    </row>
    <row r="60" spans="2:9" x14ac:dyDescent="0.25">
      <c r="B60" s="1" t="s">
        <v>211</v>
      </c>
      <c r="C60" s="16">
        <f>$C$54/2</f>
        <v>1.0341889136250539</v>
      </c>
      <c r="D60" s="16">
        <f>$C$55/2</f>
        <v>18.599241243475579</v>
      </c>
      <c r="G60" s="1" t="s">
        <v>211</v>
      </c>
      <c r="H60" s="16">
        <f>$H$54/2</f>
        <v>0.99784296028880859</v>
      </c>
      <c r="I60" s="16">
        <f>$H$55/2</f>
        <v>28.06433325812274</v>
      </c>
    </row>
    <row r="61" spans="2:9" x14ac:dyDescent="0.25">
      <c r="B61" s="1" t="s">
        <v>212</v>
      </c>
      <c r="C61" s="16" t="s">
        <v>326</v>
      </c>
      <c r="D61" s="16" t="s">
        <v>326</v>
      </c>
      <c r="G61" s="1" t="s">
        <v>212</v>
      </c>
      <c r="H61" s="16" t="s">
        <v>326</v>
      </c>
      <c r="I61" s="16" t="s">
        <v>326</v>
      </c>
    </row>
    <row r="62" spans="2:9" x14ac:dyDescent="0.25">
      <c r="B62" s="1" t="s">
        <v>213</v>
      </c>
      <c r="C62" s="16">
        <v>0.87439999999999996</v>
      </c>
      <c r="D62" s="19">
        <v>17.302099999999999</v>
      </c>
      <c r="G62" s="1" t="s">
        <v>213</v>
      </c>
      <c r="H62" s="16">
        <v>0.83340000000000003</v>
      </c>
      <c r="I62" s="19">
        <v>25.648099999999999</v>
      </c>
    </row>
    <row r="63" spans="2:9" x14ac:dyDescent="0.25">
      <c r="B63" s="1" t="s">
        <v>179</v>
      </c>
      <c r="C63" s="16">
        <v>1</v>
      </c>
      <c r="G63" s="1" t="s">
        <v>179</v>
      </c>
      <c r="H63" s="16">
        <v>1</v>
      </c>
    </row>
    <row r="64" spans="2:9" x14ac:dyDescent="0.25">
      <c r="B64" s="1"/>
      <c r="C64" s="2"/>
    </row>
    <row r="65" spans="2:4" ht="20.25" thickBot="1" x14ac:dyDescent="0.35">
      <c r="B65" s="9" t="s">
        <v>6</v>
      </c>
    </row>
    <row r="66" spans="2:4" ht="15.75" thickTop="1" x14ac:dyDescent="0.25">
      <c r="B66" s="1" t="s">
        <v>7</v>
      </c>
      <c r="C66" s="6">
        <f>(11+C2/100)</f>
        <v>11.51</v>
      </c>
      <c r="D66" t="s">
        <v>3</v>
      </c>
    </row>
    <row r="67" spans="2:4" x14ac:dyDescent="0.25">
      <c r="B67" s="1" t="s">
        <v>8</v>
      </c>
      <c r="C67" s="6">
        <v>10.5</v>
      </c>
      <c r="D67" t="s">
        <v>9</v>
      </c>
    </row>
    <row r="68" spans="2:4" x14ac:dyDescent="0.25">
      <c r="B68" s="1" t="s">
        <v>10</v>
      </c>
      <c r="C68" s="6">
        <v>0.8</v>
      </c>
      <c r="D68" t="s">
        <v>16</v>
      </c>
    </row>
    <row r="69" spans="2:4" x14ac:dyDescent="0.25">
      <c r="B69" s="1" t="s">
        <v>19</v>
      </c>
      <c r="C69" s="6">
        <f>SQRT(1-C68^2)</f>
        <v>0.59999999999999987</v>
      </c>
      <c r="D69" t="s">
        <v>16</v>
      </c>
    </row>
    <row r="70" spans="2:4" x14ac:dyDescent="0.25">
      <c r="B70" s="1" t="s">
        <v>176</v>
      </c>
      <c r="C70" s="6">
        <f>(18+C2/100)</f>
        <v>18.510000000000002</v>
      </c>
      <c r="D70" t="s">
        <v>15</v>
      </c>
    </row>
    <row r="71" spans="2:4" x14ac:dyDescent="0.25">
      <c r="B71" s="1" t="s">
        <v>17</v>
      </c>
    </row>
    <row r="72" spans="2:4" x14ac:dyDescent="0.25">
      <c r="B72" s="1" t="s">
        <v>177</v>
      </c>
      <c r="C72" s="7">
        <f>C70/100*C67^2/C66</f>
        <v>1.7730039096437882</v>
      </c>
    </row>
    <row r="73" spans="2:4" x14ac:dyDescent="0.25">
      <c r="B73" s="1" t="s">
        <v>180</v>
      </c>
      <c r="C73" s="7">
        <f>10/C67*1.1/(1+(C70/100)*C69)</f>
        <v>0.94290051628089189</v>
      </c>
    </row>
    <row r="74" spans="2:4" x14ac:dyDescent="0.25">
      <c r="B74" s="1" t="s">
        <v>183</v>
      </c>
      <c r="C74" s="7">
        <f>C73*C72</f>
        <v>1.6717663017711677</v>
      </c>
    </row>
    <row r="75" spans="2:4" x14ac:dyDescent="0.25">
      <c r="B75" s="1" t="s">
        <v>327</v>
      </c>
      <c r="C75" s="7">
        <f>0.15*C74</f>
        <v>0.25076494526567517</v>
      </c>
    </row>
    <row r="76" spans="2:4" x14ac:dyDescent="0.25">
      <c r="B76" s="1" t="s">
        <v>179</v>
      </c>
      <c r="C76" s="7">
        <v>9.5652173913043481E-2</v>
      </c>
    </row>
    <row r="77" spans="2:4" x14ac:dyDescent="0.25">
      <c r="B77" s="1"/>
      <c r="C77" s="2"/>
    </row>
    <row r="78" spans="2:4" ht="20.25" thickBot="1" x14ac:dyDescent="0.35">
      <c r="B78" s="9" t="s">
        <v>56</v>
      </c>
    </row>
    <row r="79" spans="2:4" ht="15.75" thickTop="1" x14ac:dyDescent="0.25">
      <c r="B79" s="1" t="s">
        <v>57</v>
      </c>
      <c r="C79" s="36">
        <v>0.44</v>
      </c>
      <c r="D79" t="s">
        <v>58</v>
      </c>
    </row>
    <row r="80" spans="2:4" x14ac:dyDescent="0.25">
      <c r="B80" s="1" t="s">
        <v>69</v>
      </c>
      <c r="C80" s="36">
        <v>0.37</v>
      </c>
      <c r="D80" t="s">
        <v>58</v>
      </c>
    </row>
    <row r="81" spans="2:4" x14ac:dyDescent="0.25">
      <c r="B81" s="1" t="s">
        <v>65</v>
      </c>
      <c r="C81" s="36">
        <f>(2+C2/100)</f>
        <v>2.5099999999999998</v>
      </c>
      <c r="D81" t="s">
        <v>63</v>
      </c>
    </row>
    <row r="82" spans="2:4" x14ac:dyDescent="0.25">
      <c r="B82" s="1" t="s">
        <v>64</v>
      </c>
      <c r="C82" s="36">
        <f>C79+0.15</f>
        <v>0.59</v>
      </c>
      <c r="D82" t="s">
        <v>66</v>
      </c>
    </row>
    <row r="83" spans="2:4" x14ac:dyDescent="0.25">
      <c r="B83" s="1" t="s">
        <v>67</v>
      </c>
      <c r="C83" s="36">
        <v>3.5</v>
      </c>
      <c r="D83" t="s">
        <v>16</v>
      </c>
    </row>
    <row r="84" spans="2:4" x14ac:dyDescent="0.25">
      <c r="B84" s="1" t="s">
        <v>85</v>
      </c>
      <c r="C84" s="12">
        <f>C79*C81</f>
        <v>1.1043999999999998</v>
      </c>
    </row>
    <row r="85" spans="2:4" x14ac:dyDescent="0.25">
      <c r="B85" s="1" t="s">
        <v>86</v>
      </c>
      <c r="C85" s="12">
        <f>C81*C80</f>
        <v>0.92869999999999986</v>
      </c>
    </row>
    <row r="86" spans="2:4" x14ac:dyDescent="0.25">
      <c r="B86" s="1" t="s">
        <v>328</v>
      </c>
      <c r="C86" s="12">
        <f>C82*C81</f>
        <v>1.4808999999999999</v>
      </c>
    </row>
    <row r="87" spans="2:4" x14ac:dyDescent="0.25">
      <c r="B87" s="1" t="s">
        <v>323</v>
      </c>
      <c r="C87" s="12">
        <f>C83*C85</f>
        <v>3.2504499999999994</v>
      </c>
    </row>
    <row r="88" spans="2:4" x14ac:dyDescent="0.25">
      <c r="B88" s="1"/>
      <c r="C88" s="2"/>
    </row>
    <row r="89" spans="2:4" ht="20.25" thickBot="1" x14ac:dyDescent="0.35">
      <c r="B89" s="9" t="s">
        <v>68</v>
      </c>
    </row>
    <row r="90" spans="2:4" ht="15.75" thickTop="1" x14ac:dyDescent="0.25">
      <c r="B90" s="1" t="s">
        <v>57</v>
      </c>
      <c r="C90" s="31">
        <v>0.255</v>
      </c>
      <c r="D90" t="s">
        <v>66</v>
      </c>
    </row>
    <row r="91" spans="2:4" x14ac:dyDescent="0.25">
      <c r="B91" s="1" t="s">
        <v>69</v>
      </c>
      <c r="C91" s="31">
        <v>0.122</v>
      </c>
      <c r="D91" t="s">
        <v>66</v>
      </c>
    </row>
    <row r="92" spans="2:4" x14ac:dyDescent="0.25">
      <c r="B92" s="1" t="s">
        <v>70</v>
      </c>
      <c r="C92" s="31">
        <f>(1+C2/100)</f>
        <v>1.51</v>
      </c>
      <c r="D92" t="s">
        <v>63</v>
      </c>
    </row>
    <row r="93" spans="2:4" x14ac:dyDescent="0.25">
      <c r="B93" s="1" t="s">
        <v>71</v>
      </c>
      <c r="C93" s="31">
        <v>1</v>
      </c>
      <c r="D93" t="s">
        <v>16</v>
      </c>
    </row>
    <row r="94" spans="2:4" x14ac:dyDescent="0.25">
      <c r="B94" s="1" t="s">
        <v>67</v>
      </c>
      <c r="C94" s="31">
        <v>1</v>
      </c>
      <c r="D94" t="s">
        <v>16</v>
      </c>
    </row>
    <row r="95" spans="2:4" x14ac:dyDescent="0.25">
      <c r="B95" s="1" t="s">
        <v>72</v>
      </c>
      <c r="C95" s="2"/>
    </row>
    <row r="96" spans="2:4" x14ac:dyDescent="0.25">
      <c r="B96" s="1" t="s">
        <v>85</v>
      </c>
      <c r="C96" s="16">
        <f>C90*C92</f>
        <v>0.38505</v>
      </c>
    </row>
    <row r="97" spans="2:4" x14ac:dyDescent="0.25">
      <c r="B97" s="1" t="s">
        <v>86</v>
      </c>
      <c r="C97" s="16">
        <f>C92*C91</f>
        <v>0.18421999999999999</v>
      </c>
    </row>
    <row r="98" spans="2:4" x14ac:dyDescent="0.25">
      <c r="B98" s="1" t="s">
        <v>328</v>
      </c>
      <c r="C98" s="16">
        <f>C93*C96</f>
        <v>0.38505</v>
      </c>
    </row>
    <row r="99" spans="2:4" x14ac:dyDescent="0.25">
      <c r="B99" s="1" t="s">
        <v>323</v>
      </c>
      <c r="C99" s="16">
        <f>C94*C97</f>
        <v>0.18421999999999999</v>
      </c>
    </row>
    <row r="100" spans="2:4" x14ac:dyDescent="0.25">
      <c r="B100" s="1"/>
      <c r="C100" s="2"/>
    </row>
    <row r="101" spans="2:4" ht="20.25" thickBot="1" x14ac:dyDescent="0.35">
      <c r="B101" s="9" t="s">
        <v>329</v>
      </c>
      <c r="C101" s="34"/>
    </row>
    <row r="102" spans="2:4" ht="15.75" thickTop="1" x14ac:dyDescent="0.25">
      <c r="B102" s="1" t="s">
        <v>330</v>
      </c>
      <c r="C102" s="7">
        <f>C96+C84</f>
        <v>1.4894499999999997</v>
      </c>
    </row>
    <row r="103" spans="2:4" x14ac:dyDescent="0.25">
      <c r="B103" s="1" t="s">
        <v>331</v>
      </c>
      <c r="C103" s="7">
        <f>C97+C85</f>
        <v>1.1129199999999999</v>
      </c>
    </row>
    <row r="104" spans="2:4" x14ac:dyDescent="0.25">
      <c r="B104" s="1" t="s">
        <v>332</v>
      </c>
      <c r="C104" s="7">
        <f>C98+C86</f>
        <v>1.8659499999999998</v>
      </c>
    </row>
    <row r="105" spans="2:4" x14ac:dyDescent="0.25">
      <c r="B105" s="1" t="s">
        <v>333</v>
      </c>
      <c r="C105" s="7">
        <f>C99+C87</f>
        <v>3.4346699999999992</v>
      </c>
    </row>
    <row r="106" spans="2:4" x14ac:dyDescent="0.25">
      <c r="B106" s="1" t="s">
        <v>179</v>
      </c>
      <c r="C106" s="7">
        <f>11/115</f>
        <v>9.5652173913043481E-2</v>
      </c>
    </row>
    <row r="107" spans="2:4" x14ac:dyDescent="0.25">
      <c r="B107" s="1"/>
      <c r="C107" s="2"/>
    </row>
    <row r="108" spans="2:4" ht="20.25" thickBot="1" x14ac:dyDescent="0.35">
      <c r="B108" s="9" t="s">
        <v>147</v>
      </c>
    </row>
    <row r="109" spans="2:4" ht="15.75" thickTop="1" x14ac:dyDescent="0.25">
      <c r="B109" s="1" t="s">
        <v>45</v>
      </c>
      <c r="C109" s="6">
        <v>2</v>
      </c>
      <c r="D109" t="s">
        <v>3</v>
      </c>
    </row>
    <row r="110" spans="2:4" x14ac:dyDescent="0.25">
      <c r="B110" s="1" t="s">
        <v>31</v>
      </c>
      <c r="C110" s="6">
        <v>10.5</v>
      </c>
      <c r="D110" t="s">
        <v>46</v>
      </c>
    </row>
    <row r="111" spans="2:4" x14ac:dyDescent="0.25">
      <c r="B111" s="1" t="s">
        <v>37</v>
      </c>
      <c r="C111" s="6">
        <v>525</v>
      </c>
      <c r="D111" t="s">
        <v>47</v>
      </c>
    </row>
    <row r="112" spans="2:4" x14ac:dyDescent="0.25">
      <c r="B112" s="1" t="s">
        <v>48</v>
      </c>
      <c r="C112" s="6"/>
    </row>
    <row r="113" spans="2:4" x14ac:dyDescent="0.25">
      <c r="B113" s="1" t="s">
        <v>38</v>
      </c>
      <c r="C113" s="6">
        <f>(6+C2/100)</f>
        <v>6.51</v>
      </c>
      <c r="D113" t="s">
        <v>15</v>
      </c>
    </row>
    <row r="114" spans="2:4" x14ac:dyDescent="0.25">
      <c r="B114" s="1" t="s">
        <v>39</v>
      </c>
      <c r="C114" s="6">
        <f>(11+C2/100)/1000</f>
        <v>1.1509999999999999E-2</v>
      </c>
      <c r="D114" t="s">
        <v>24</v>
      </c>
    </row>
    <row r="115" spans="2:4" x14ac:dyDescent="0.25">
      <c r="B115" s="1" t="s">
        <v>41</v>
      </c>
      <c r="C115" s="6">
        <f>(2.1+C2/100)/1000</f>
        <v>2.6100000000000003E-3</v>
      </c>
      <c r="D115" t="s">
        <v>24</v>
      </c>
    </row>
    <row r="116" spans="2:4" x14ac:dyDescent="0.25">
      <c r="B116" s="1" t="s">
        <v>42</v>
      </c>
      <c r="C116" s="37">
        <f>(1+C2/100)</f>
        <v>1.51</v>
      </c>
      <c r="D116" t="s">
        <v>15</v>
      </c>
    </row>
    <row r="117" spans="2:4" x14ac:dyDescent="0.25">
      <c r="B117" s="1" t="s">
        <v>49</v>
      </c>
      <c r="C117" s="6"/>
    </row>
    <row r="118" spans="2:4" x14ac:dyDescent="0.25">
      <c r="B118" s="1" t="s">
        <v>215</v>
      </c>
      <c r="C118" s="6">
        <v>6</v>
      </c>
    </row>
    <row r="119" spans="2:4" x14ac:dyDescent="0.25">
      <c r="B119" s="1" t="s">
        <v>216</v>
      </c>
      <c r="C119" s="7">
        <f>C114*C110^2/C109^2</f>
        <v>0.31724437499999997</v>
      </c>
    </row>
    <row r="120" spans="2:4" x14ac:dyDescent="0.25">
      <c r="B120" s="1" t="s">
        <v>217</v>
      </c>
      <c r="C120" s="7">
        <f>C113*C110^2/(100*C109)</f>
        <v>3.5886374999999999</v>
      </c>
    </row>
    <row r="121" spans="2:4" x14ac:dyDescent="0.25">
      <c r="B121" s="1" t="s">
        <v>324</v>
      </c>
      <c r="C121" s="16">
        <f>0.95*1.1/(1+0.6*(C113/100))</f>
        <v>1.0057167054838025</v>
      </c>
    </row>
    <row r="122" spans="2:4" x14ac:dyDescent="0.25">
      <c r="B122" s="1" t="s">
        <v>205</v>
      </c>
      <c r="C122" s="16">
        <f>C119*C121</f>
        <v>0.31905796765826799</v>
      </c>
    </row>
    <row r="123" spans="2:4" x14ac:dyDescent="0.25">
      <c r="B123" s="1" t="s">
        <v>206</v>
      </c>
      <c r="C123" s="16">
        <f>C120*C121</f>
        <v>3.6091526836756294</v>
      </c>
    </row>
    <row r="124" spans="2:4" x14ac:dyDescent="0.25">
      <c r="B124" s="1" t="s">
        <v>201</v>
      </c>
      <c r="C124" s="16">
        <f>C123*C118</f>
        <v>21.654916102053775</v>
      </c>
    </row>
    <row r="125" spans="2:4" x14ac:dyDescent="0.25">
      <c r="B125" s="1" t="s">
        <v>208</v>
      </c>
      <c r="C125" s="16">
        <f>$C$122/2</f>
        <v>0.159528983829134</v>
      </c>
      <c r="D125" s="16">
        <f>$C$123/2</f>
        <v>1.8045763418378147</v>
      </c>
    </row>
    <row r="126" spans="2:4" x14ac:dyDescent="0.25">
      <c r="B126" s="1" t="s">
        <v>209</v>
      </c>
      <c r="C126" s="16">
        <f>$C$122/2</f>
        <v>0.159528983829134</v>
      </c>
      <c r="D126" s="16">
        <f>$C$123/2</f>
        <v>1.8045763418378147</v>
      </c>
    </row>
    <row r="127" spans="2:4" x14ac:dyDescent="0.25">
      <c r="B127" s="1" t="s">
        <v>210</v>
      </c>
      <c r="C127" s="16" t="s">
        <v>326</v>
      </c>
      <c r="D127" s="16" t="s">
        <v>326</v>
      </c>
    </row>
    <row r="128" spans="2:4" x14ac:dyDescent="0.25">
      <c r="B128" s="1" t="s">
        <v>211</v>
      </c>
      <c r="C128" s="16">
        <f>$C$122/2</f>
        <v>0.159528983829134</v>
      </c>
      <c r="D128" s="16">
        <f>$C$123/2</f>
        <v>1.8045763418378147</v>
      </c>
    </row>
    <row r="129" spans="2:4" x14ac:dyDescent="0.25">
      <c r="B129" s="1" t="s">
        <v>212</v>
      </c>
      <c r="C129" s="16">
        <f>$C$122/2</f>
        <v>0.159528983829134</v>
      </c>
      <c r="D129" s="16">
        <f>$C$123/2</f>
        <v>1.8045763418378147</v>
      </c>
    </row>
    <row r="130" spans="2:4" x14ac:dyDescent="0.25">
      <c r="B130" s="1" t="s">
        <v>213</v>
      </c>
      <c r="C130" s="16">
        <v>0.1358</v>
      </c>
      <c r="D130" s="19">
        <v>1.6658999999999999</v>
      </c>
    </row>
    <row r="131" spans="2:4" x14ac:dyDescent="0.25">
      <c r="B131" s="1" t="s">
        <v>179</v>
      </c>
      <c r="C131" s="16">
        <v>1</v>
      </c>
    </row>
    <row r="132" spans="2:4" x14ac:dyDescent="0.25">
      <c r="B132" s="1"/>
      <c r="C132" s="7"/>
    </row>
    <row r="133" spans="2:4" x14ac:dyDescent="0.25">
      <c r="B133" s="1"/>
      <c r="C133" s="7"/>
    </row>
    <row r="134" spans="2:4" x14ac:dyDescent="0.25">
      <c r="B134" s="1"/>
      <c r="C134" s="2"/>
    </row>
    <row r="135" spans="2:4" ht="20.25" thickBot="1" x14ac:dyDescent="0.35">
      <c r="B135" s="9" t="s">
        <v>50</v>
      </c>
    </row>
    <row r="136" spans="2:4" ht="15.75" thickTop="1" x14ac:dyDescent="0.25">
      <c r="B136" s="1" t="s">
        <v>52</v>
      </c>
      <c r="C136" s="6">
        <f>(0.2+C2/1000)</f>
        <v>0.251</v>
      </c>
      <c r="D136" t="s">
        <v>24</v>
      </c>
    </row>
    <row r="137" spans="2:4" x14ac:dyDescent="0.25">
      <c r="B137" s="1" t="s">
        <v>53</v>
      </c>
      <c r="C137" s="6">
        <v>0.5</v>
      </c>
      <c r="D137" t="s">
        <v>9</v>
      </c>
    </row>
    <row r="138" spans="2:4" x14ac:dyDescent="0.25">
      <c r="B138" s="1" t="s">
        <v>10</v>
      </c>
      <c r="C138" s="6">
        <f>(0.86+C2/1000)</f>
        <v>0.91100000000000003</v>
      </c>
      <c r="D138" t="s">
        <v>16</v>
      </c>
    </row>
    <row r="139" spans="2:4" x14ac:dyDescent="0.25">
      <c r="B139" s="1" t="s">
        <v>54</v>
      </c>
      <c r="C139" s="6">
        <v>0.97</v>
      </c>
    </row>
    <row r="140" spans="2:4" x14ac:dyDescent="0.25">
      <c r="B140" s="1" t="s">
        <v>55</v>
      </c>
      <c r="C140" s="6">
        <f>4+C2/100</f>
        <v>4.51</v>
      </c>
    </row>
    <row r="141" spans="2:4" x14ac:dyDescent="0.25">
      <c r="B141" s="1" t="s">
        <v>52</v>
      </c>
      <c r="C141" s="7">
        <f>6*C136</f>
        <v>1.506</v>
      </c>
      <c r="D141" t="s">
        <v>24</v>
      </c>
    </row>
    <row r="142" spans="2:4" x14ac:dyDescent="0.25">
      <c r="B142" s="17" t="s">
        <v>187</v>
      </c>
      <c r="C142" s="7">
        <f>C141/(C138*C139)</f>
        <v>1.7042561137076058</v>
      </c>
      <c r="D142" t="s">
        <v>3</v>
      </c>
    </row>
    <row r="143" spans="2:4" x14ac:dyDescent="0.25">
      <c r="B143" s="17" t="s">
        <v>188</v>
      </c>
      <c r="C143" s="7">
        <f>C137^2/(C140*C142)</f>
        <v>3.2525846355892028E-2</v>
      </c>
    </row>
    <row r="144" spans="2:4" x14ac:dyDescent="0.25">
      <c r="B144" s="17" t="s">
        <v>189</v>
      </c>
      <c r="C144" s="7">
        <f>0.989*C143</f>
        <v>3.2168062045977212E-2</v>
      </c>
    </row>
    <row r="145" spans="2:3" x14ac:dyDescent="0.25">
      <c r="B145" s="17" t="s">
        <v>190</v>
      </c>
      <c r="C145" s="7">
        <f>0.15*C144</f>
        <v>4.8252093068965815E-3</v>
      </c>
    </row>
    <row r="146" spans="2:3" x14ac:dyDescent="0.25">
      <c r="B146" s="17" t="s">
        <v>179</v>
      </c>
      <c r="C146" s="7">
        <f>(115/11)*(10.5/0.525)</f>
        <v>209.09090909090909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D62B-8E48-483A-9BD5-A808709E4287}">
  <dimension ref="B2:AF130"/>
  <sheetViews>
    <sheetView topLeftCell="A43" zoomScale="85" zoomScaleNormal="85" workbookViewId="0">
      <selection activeCell="C74" sqref="C74"/>
    </sheetView>
  </sheetViews>
  <sheetFormatPr defaultRowHeight="15" x14ac:dyDescent="0.25"/>
  <cols>
    <col min="2" max="2" width="27.5703125" customWidth="1"/>
    <col min="3" max="3" width="16.5703125" style="3" customWidth="1"/>
    <col min="5" max="5" width="9.28515625" bestFit="1" customWidth="1"/>
    <col min="6" max="6" width="29.5703125" customWidth="1"/>
    <col min="7" max="7" width="9.28515625" bestFit="1" customWidth="1"/>
    <col min="8" max="8" width="10.7109375" bestFit="1" customWidth="1"/>
    <col min="9" max="9" width="9.28515625" bestFit="1" customWidth="1"/>
    <col min="10" max="10" width="12.28515625" bestFit="1" customWidth="1"/>
    <col min="11" max="11" width="12.28515625" customWidth="1"/>
    <col min="12" max="14" width="9.28515625" customWidth="1"/>
    <col min="15" max="15" width="10.5703125" customWidth="1"/>
    <col min="16" max="17" width="9.28515625" bestFit="1" customWidth="1"/>
    <col min="18" max="18" width="11" bestFit="1" customWidth="1"/>
    <col min="19" max="19" width="14.7109375" bestFit="1" customWidth="1"/>
    <col min="20" max="22" width="11.7109375" customWidth="1"/>
    <col min="23" max="23" width="16.140625" customWidth="1"/>
    <col min="24" max="28" width="11.7109375" customWidth="1"/>
  </cols>
  <sheetData>
    <row r="2" spans="2:32" x14ac:dyDescent="0.25">
      <c r="B2" s="1" t="s">
        <v>0</v>
      </c>
      <c r="C2" s="6">
        <v>51</v>
      </c>
      <c r="E2" s="1" t="s">
        <v>181</v>
      </c>
      <c r="F2" s="23">
        <v>10</v>
      </c>
      <c r="H2" s="1" t="s">
        <v>182</v>
      </c>
      <c r="I2" s="23">
        <v>110</v>
      </c>
    </row>
    <row r="3" spans="2:32" x14ac:dyDescent="0.25">
      <c r="B3" s="1"/>
      <c r="C3" s="2"/>
    </row>
    <row r="4" spans="2:32" ht="20.25" thickBot="1" x14ac:dyDescent="0.35">
      <c r="B4" s="9" t="s">
        <v>1</v>
      </c>
      <c r="E4" s="9" t="s">
        <v>222</v>
      </c>
      <c r="I4" s="9" t="s">
        <v>228</v>
      </c>
      <c r="M4" s="9" t="s">
        <v>248</v>
      </c>
      <c r="N4" s="9"/>
      <c r="O4" s="9"/>
      <c r="P4" s="9"/>
      <c r="Q4" s="9"/>
      <c r="S4" t="s">
        <v>281</v>
      </c>
    </row>
    <row r="5" spans="2:32" ht="18.75" thickTop="1" thickBot="1" x14ac:dyDescent="0.35">
      <c r="B5" s="1" t="s">
        <v>2</v>
      </c>
      <c r="C5" s="7">
        <f>1500+10*$C$2</f>
        <v>2010</v>
      </c>
      <c r="D5" t="s">
        <v>3</v>
      </c>
      <c r="E5" s="1" t="s">
        <v>179</v>
      </c>
      <c r="F5" s="19">
        <f>C37/115</f>
        <v>9.5652173913043481E-2</v>
      </c>
      <c r="I5" s="10" t="s">
        <v>245</v>
      </c>
      <c r="J5" s="10"/>
      <c r="K5" s="10" t="s">
        <v>246</v>
      </c>
      <c r="L5" s="10"/>
      <c r="M5" t="s">
        <v>129</v>
      </c>
      <c r="O5">
        <v>0.4</v>
      </c>
      <c r="P5" s="10">
        <v>0.24</v>
      </c>
      <c r="Q5">
        <v>0.18</v>
      </c>
      <c r="T5" t="s">
        <v>304</v>
      </c>
      <c r="Y5" t="s">
        <v>305</v>
      </c>
    </row>
    <row r="6" spans="2:32" ht="18.75" thickTop="1" thickBot="1" x14ac:dyDescent="0.35">
      <c r="B6" s="1" t="s">
        <v>4</v>
      </c>
      <c r="C6" s="7">
        <f>(1+C2/100)*C7</f>
        <v>9.9990547263681613</v>
      </c>
      <c r="E6" s="1" t="s">
        <v>247</v>
      </c>
      <c r="F6">
        <v>9.5652000000000001E-2</v>
      </c>
      <c r="I6" s="13" t="s">
        <v>229</v>
      </c>
      <c r="J6" s="13"/>
      <c r="K6" s="13"/>
      <c r="L6" s="13"/>
      <c r="M6" s="10" t="s">
        <v>245</v>
      </c>
      <c r="N6" s="10"/>
      <c r="O6" s="10" t="s">
        <v>246</v>
      </c>
      <c r="P6" s="13" t="s">
        <v>246</v>
      </c>
      <c r="Q6" t="s">
        <v>246</v>
      </c>
      <c r="T6" s="1" t="s">
        <v>114</v>
      </c>
      <c r="U6" s="1" t="s">
        <v>115</v>
      </c>
      <c r="V6" s="1" t="s">
        <v>288</v>
      </c>
      <c r="W6" s="1" t="s">
        <v>4</v>
      </c>
      <c r="X6" s="1" t="s">
        <v>179</v>
      </c>
      <c r="Y6" s="1" t="s">
        <v>114</v>
      </c>
      <c r="Z6" s="1" t="s">
        <v>115</v>
      </c>
      <c r="AA6" s="1" t="s">
        <v>288</v>
      </c>
      <c r="AB6" s="1" t="s">
        <v>4</v>
      </c>
    </row>
    <row r="7" spans="2:32" ht="15.75" thickBot="1" x14ac:dyDescent="0.3">
      <c r="B7" s="1" t="s">
        <v>5</v>
      </c>
      <c r="C7" s="7">
        <f>1.1*110^2/C5</f>
        <v>6.6218905472636829</v>
      </c>
      <c r="I7" s="27" t="s">
        <v>223</v>
      </c>
      <c r="J7" s="23">
        <f>0</f>
        <v>0</v>
      </c>
      <c r="K7" s="28">
        <v>0</v>
      </c>
      <c r="L7" t="s">
        <v>89</v>
      </c>
      <c r="M7" s="13" t="s">
        <v>229</v>
      </c>
      <c r="N7" s="13"/>
      <c r="O7" s="13"/>
      <c r="S7" s="1" t="s">
        <v>65</v>
      </c>
      <c r="T7" s="31">
        <v>1.1000000000000001</v>
      </c>
      <c r="U7" s="31">
        <v>0.92869999999999997</v>
      </c>
      <c r="V7" s="31">
        <v>1.4810000000000001</v>
      </c>
      <c r="W7" s="31">
        <v>3.25</v>
      </c>
      <c r="X7" s="32">
        <v>1</v>
      </c>
      <c r="Y7" s="16">
        <f>T7/$X7^2</f>
        <v>1.1000000000000001</v>
      </c>
      <c r="Z7" s="16">
        <f>U7/$X7^2</f>
        <v>0.92869999999999997</v>
      </c>
      <c r="AA7" s="16">
        <f t="shared" ref="Z7:AB17" si="0">V7/$X7^2</f>
        <v>1.4810000000000001</v>
      </c>
      <c r="AB7" s="16">
        <f t="shared" si="0"/>
        <v>3.25</v>
      </c>
      <c r="AC7" s="15">
        <f>Y7+Y8</f>
        <v>1.4850000000000001</v>
      </c>
      <c r="AD7" s="15">
        <f t="shared" ref="AD7:AF7" si="1">Z7+Z8</f>
        <v>1.1129</v>
      </c>
      <c r="AE7" s="15">
        <f t="shared" si="1"/>
        <v>1.8661000000000001</v>
      </c>
      <c r="AF7" s="15">
        <f t="shared" si="1"/>
        <v>3.4342000000000001</v>
      </c>
    </row>
    <row r="8" spans="2:32" x14ac:dyDescent="0.25">
      <c r="B8" s="17" t="s">
        <v>152</v>
      </c>
      <c r="C8" s="7">
        <v>115</v>
      </c>
      <c r="D8" t="s">
        <v>9</v>
      </c>
      <c r="I8" s="27" t="s">
        <v>224</v>
      </c>
      <c r="J8" s="23">
        <f>C7*F5^2</f>
        <v>6.0585917294435208E-2</v>
      </c>
      <c r="K8" s="28">
        <f>6.622*F6^2</f>
        <v>6.0586698398687994E-2</v>
      </c>
      <c r="L8" t="s">
        <v>89</v>
      </c>
      <c r="M8" t="s">
        <v>225</v>
      </c>
      <c r="N8">
        <f>J13</f>
        <v>0.40088186105720069</v>
      </c>
      <c r="O8">
        <f>K13</f>
        <v>0.40083869675661571</v>
      </c>
      <c r="P8">
        <v>0.40083869675661571</v>
      </c>
      <c r="Q8">
        <v>0.40083869675661571</v>
      </c>
      <c r="S8" s="1" t="s">
        <v>70</v>
      </c>
      <c r="T8" s="31">
        <v>0.38500000000000001</v>
      </c>
      <c r="U8" s="31">
        <v>0.1842</v>
      </c>
      <c r="V8" s="31">
        <v>0.3851</v>
      </c>
      <c r="W8" s="31">
        <v>0.1842</v>
      </c>
      <c r="X8" s="32">
        <v>1</v>
      </c>
      <c r="Y8" s="16">
        <f t="shared" ref="Y8:Y17" si="2">T8/$X8^2</f>
        <v>0.38500000000000001</v>
      </c>
      <c r="Z8" s="16">
        <f t="shared" si="0"/>
        <v>0.1842</v>
      </c>
      <c r="AA8" s="16">
        <f t="shared" si="0"/>
        <v>0.3851</v>
      </c>
      <c r="AB8" s="16">
        <f t="shared" si="0"/>
        <v>0.1842</v>
      </c>
    </row>
    <row r="9" spans="2:32" ht="20.25" thickBot="1" x14ac:dyDescent="0.35">
      <c r="B9" s="9" t="s">
        <v>6</v>
      </c>
      <c r="E9" s="9" t="s">
        <v>222</v>
      </c>
      <c r="I9" s="27" t="s">
        <v>199</v>
      </c>
      <c r="J9" s="23">
        <f>F36*F5^2</f>
        <v>1.8926180112140388E-2</v>
      </c>
      <c r="K9" s="28">
        <f>(2*1.034)*F6^2</f>
        <v>1.8920762955071998E-2</v>
      </c>
      <c r="L9" t="s">
        <v>89</v>
      </c>
      <c r="M9" t="s">
        <v>226</v>
      </c>
      <c r="O9" s="30">
        <f>K14</f>
        <v>15.843911809098719</v>
      </c>
      <c r="P9">
        <v>15.843911809098719</v>
      </c>
      <c r="Q9">
        <v>15.843911809098719</v>
      </c>
      <c r="S9" s="1" t="s">
        <v>289</v>
      </c>
      <c r="T9" s="31">
        <v>1.034</v>
      </c>
      <c r="U9" s="31">
        <v>18.57</v>
      </c>
      <c r="V9" s="31">
        <v>1.034</v>
      </c>
      <c r="W9" s="31">
        <v>18.57</v>
      </c>
      <c r="X9" s="32">
        <f>115/11</f>
        <v>10.454545454545455</v>
      </c>
      <c r="Y9" s="16">
        <f t="shared" si="2"/>
        <v>9.4604158790170118E-3</v>
      </c>
      <c r="Z9" s="16">
        <f t="shared" si="0"/>
        <v>0.169903213610586</v>
      </c>
      <c r="AA9" s="16">
        <f t="shared" si="0"/>
        <v>9.4604158790170118E-3</v>
      </c>
      <c r="AB9" s="16">
        <f t="shared" si="0"/>
        <v>0.169903213610586</v>
      </c>
    </row>
    <row r="10" spans="2:32" ht="15.75" thickTop="1" x14ac:dyDescent="0.25">
      <c r="B10" s="1" t="s">
        <v>7</v>
      </c>
      <c r="C10" s="7">
        <f>(11+C2/100)</f>
        <v>11.51</v>
      </c>
      <c r="D10" t="s">
        <v>3</v>
      </c>
      <c r="E10" s="1" t="s">
        <v>177</v>
      </c>
      <c r="F10" s="7">
        <f>C16*C11^2/C10</f>
        <v>1.7730039096437882</v>
      </c>
      <c r="G10" t="s">
        <v>178</v>
      </c>
      <c r="I10" s="27" t="s">
        <v>200</v>
      </c>
      <c r="J10" s="23">
        <f>F37*F5^2</f>
        <v>0.33984892913010811</v>
      </c>
      <c r="K10" s="28">
        <f>(2*18.57)*F6^2</f>
        <v>0.33980519156256001</v>
      </c>
      <c r="L10" t="s">
        <v>89</v>
      </c>
      <c r="M10" t="s">
        <v>249</v>
      </c>
      <c r="O10">
        <f>SQRT(3)*$F$2*O9</f>
        <v>274.42460243999506</v>
      </c>
      <c r="P10">
        <v>274.42460243999506</v>
      </c>
      <c r="Q10">
        <v>274.42460243999506</v>
      </c>
      <c r="S10" s="1" t="s">
        <v>290</v>
      </c>
      <c r="T10" s="31">
        <v>1.034</v>
      </c>
      <c r="U10" s="31">
        <v>18.57</v>
      </c>
      <c r="V10" s="31">
        <f>10^8</f>
        <v>100000000</v>
      </c>
      <c r="W10" s="31">
        <f>10^8</f>
        <v>100000000</v>
      </c>
      <c r="X10" s="32">
        <f>115/11</f>
        <v>10.454545454545455</v>
      </c>
      <c r="Y10" s="16">
        <f t="shared" si="2"/>
        <v>9.4604158790170118E-3</v>
      </c>
      <c r="Z10" s="16">
        <f t="shared" si="0"/>
        <v>0.169903213610586</v>
      </c>
      <c r="AA10" s="16">
        <f>V10/$X10^2</f>
        <v>914933.83742911147</v>
      </c>
      <c r="AB10" s="16">
        <f t="shared" si="0"/>
        <v>914933.83742911147</v>
      </c>
    </row>
    <row r="11" spans="2:32" x14ac:dyDescent="0.25">
      <c r="B11" s="1" t="s">
        <v>8</v>
      </c>
      <c r="C11" s="7">
        <v>10.5</v>
      </c>
      <c r="D11" t="s">
        <v>9</v>
      </c>
      <c r="E11" s="1" t="s">
        <v>180</v>
      </c>
      <c r="F11" s="19">
        <f>F2/C11*(1.1)/(1+C16*C13)</f>
        <v>0.94290051628089189</v>
      </c>
      <c r="G11" t="s">
        <v>16</v>
      </c>
      <c r="I11" s="27" t="s">
        <v>223</v>
      </c>
      <c r="J11" s="19">
        <f>J9+J7</f>
        <v>1.8926180112140388E-2</v>
      </c>
      <c r="K11" s="29">
        <f>K9+K7</f>
        <v>1.8920762955071998E-2</v>
      </c>
      <c r="L11" t="s">
        <v>89</v>
      </c>
      <c r="M11" t="s">
        <v>250</v>
      </c>
      <c r="O11">
        <f>K11/K12</f>
        <v>4.7255609889858781E-2</v>
      </c>
      <c r="P11">
        <v>4.7255609889858781E-2</v>
      </c>
      <c r="Q11">
        <v>4.7255609889858781E-2</v>
      </c>
      <c r="S11" s="1" t="s">
        <v>291</v>
      </c>
      <c r="T11" s="31">
        <f>10^8</f>
        <v>100000000</v>
      </c>
      <c r="U11" s="31">
        <f>10^8</f>
        <v>100000000</v>
      </c>
      <c r="V11" s="31">
        <v>0.85829999999999995</v>
      </c>
      <c r="W11" s="31">
        <v>16.920000000000002</v>
      </c>
      <c r="X11" s="32">
        <f>115/11</f>
        <v>10.454545454545455</v>
      </c>
      <c r="Y11" s="16">
        <f t="shared" si="2"/>
        <v>914933.83742911147</v>
      </c>
      <c r="Z11" s="16">
        <f t="shared" si="0"/>
        <v>914933.83742911147</v>
      </c>
      <c r="AA11" s="16">
        <f>V11/$X11^2</f>
        <v>7.8528771266540634E-3</v>
      </c>
      <c r="AB11" s="16">
        <f t="shared" si="0"/>
        <v>0.15480680529300567</v>
      </c>
    </row>
    <row r="12" spans="2:32" x14ac:dyDescent="0.25">
      <c r="B12" s="1" t="s">
        <v>10</v>
      </c>
      <c r="C12" s="7">
        <v>0.8</v>
      </c>
      <c r="D12" t="s">
        <v>16</v>
      </c>
      <c r="E12" s="1" t="s">
        <v>183</v>
      </c>
      <c r="F12" s="19">
        <f>F11*F10</f>
        <v>1.6717663017711677</v>
      </c>
      <c r="G12" t="s">
        <v>178</v>
      </c>
      <c r="I12" s="27" t="s">
        <v>224</v>
      </c>
      <c r="J12" s="19">
        <f>J10+J8</f>
        <v>0.4004348464245433</v>
      </c>
      <c r="K12" s="29">
        <f>K10+K8</f>
        <v>0.40039188996124797</v>
      </c>
      <c r="L12" t="s">
        <v>89</v>
      </c>
      <c r="M12" t="s">
        <v>251</v>
      </c>
      <c r="O12">
        <f>1.02+0.98*EXP(-3*O11)</f>
        <v>1.8704671119362279</v>
      </c>
      <c r="P12">
        <v>1.8704671119362279</v>
      </c>
      <c r="Q12">
        <v>1.8704671119362279</v>
      </c>
      <c r="S12" s="1" t="s">
        <v>292</v>
      </c>
      <c r="T12" s="31">
        <v>0.15959999999999999</v>
      </c>
      <c r="U12" s="31">
        <v>1.798</v>
      </c>
      <c r="V12" s="31">
        <f>10^8</f>
        <v>100000000</v>
      </c>
      <c r="W12" s="31">
        <f>10^8</f>
        <v>100000000</v>
      </c>
      <c r="X12" s="15">
        <v>1</v>
      </c>
      <c r="Y12" s="16">
        <f t="shared" si="2"/>
        <v>0.15959999999999999</v>
      </c>
      <c r="Z12" s="16">
        <f t="shared" si="0"/>
        <v>1.798</v>
      </c>
      <c r="AA12" s="16">
        <f>V12/$X12^2</f>
        <v>100000000</v>
      </c>
      <c r="AB12" s="16">
        <f t="shared" si="0"/>
        <v>100000000</v>
      </c>
    </row>
    <row r="13" spans="2:32" x14ac:dyDescent="0.25">
      <c r="B13" s="1" t="s">
        <v>19</v>
      </c>
      <c r="C13" s="7">
        <f>SQRT(1-C12^2)</f>
        <v>0.59999999999999987</v>
      </c>
      <c r="D13" t="s">
        <v>16</v>
      </c>
      <c r="E13" s="17" t="s">
        <v>233</v>
      </c>
      <c r="F13" s="19">
        <f>0.07*F12</f>
        <v>0.11702364112398175</v>
      </c>
      <c r="G13" t="s">
        <v>178</v>
      </c>
      <c r="I13" s="27" t="s">
        <v>225</v>
      </c>
      <c r="J13" s="19">
        <f>SQRT(J11^2+J12^2)</f>
        <v>0.40088186105720069</v>
      </c>
      <c r="K13" s="29">
        <f>SQRT(K11^2+K12^2)</f>
        <v>0.40083869675661571</v>
      </c>
      <c r="L13" t="s">
        <v>89</v>
      </c>
      <c r="M13" t="s">
        <v>252</v>
      </c>
      <c r="O13">
        <f>O12*SQRT(2)*O9</f>
        <v>41.910948603275799</v>
      </c>
      <c r="P13">
        <v>41.910948603275799</v>
      </c>
      <c r="Q13">
        <v>41.910948603275799</v>
      </c>
      <c r="S13" s="1" t="s">
        <v>293</v>
      </c>
      <c r="T13" s="31">
        <v>0.15959999999999999</v>
      </c>
      <c r="U13" s="31">
        <v>1.798</v>
      </c>
      <c r="V13" s="31">
        <v>0.153</v>
      </c>
      <c r="W13" s="31">
        <v>1.661</v>
      </c>
      <c r="X13" s="32">
        <v>1</v>
      </c>
      <c r="Y13" s="16">
        <f t="shared" si="2"/>
        <v>0.15959999999999999</v>
      </c>
      <c r="Z13" s="16">
        <f t="shared" si="0"/>
        <v>1.798</v>
      </c>
      <c r="AA13" s="16">
        <f t="shared" si="0"/>
        <v>0.153</v>
      </c>
      <c r="AB13" s="16">
        <f t="shared" si="0"/>
        <v>1.661</v>
      </c>
    </row>
    <row r="14" spans="2:32" x14ac:dyDescent="0.25">
      <c r="B14" s="1" t="s">
        <v>11</v>
      </c>
      <c r="C14" s="7">
        <v>2.33</v>
      </c>
      <c r="D14" t="s">
        <v>175</v>
      </c>
      <c r="E14" s="17" t="s">
        <v>184</v>
      </c>
      <c r="F14" s="19" t="s">
        <v>186</v>
      </c>
      <c r="G14" t="s">
        <v>178</v>
      </c>
      <c r="I14" s="27" t="s">
        <v>226</v>
      </c>
      <c r="J14" s="19">
        <f>1.1*$F$2/(SQRT(3)*J13)</f>
        <v>15.842205841734753</v>
      </c>
      <c r="K14" s="29">
        <f>1.1*$F$2/(SQRT(3)*K13)</f>
        <v>15.843911809098719</v>
      </c>
      <c r="L14" t="s">
        <v>227</v>
      </c>
      <c r="M14" t="s">
        <v>259</v>
      </c>
      <c r="O14">
        <v>1</v>
      </c>
      <c r="P14">
        <v>1</v>
      </c>
      <c r="Q14">
        <v>1</v>
      </c>
      <c r="S14" s="1" t="s">
        <v>294</v>
      </c>
      <c r="T14" s="31">
        <f>10^8</f>
        <v>100000000</v>
      </c>
      <c r="U14" s="31">
        <f>10^8</f>
        <v>100000000</v>
      </c>
      <c r="V14" s="31">
        <v>0.1358</v>
      </c>
      <c r="W14" s="31">
        <v>1.66</v>
      </c>
      <c r="X14" s="15">
        <v>1</v>
      </c>
      <c r="Y14" s="16">
        <f t="shared" si="2"/>
        <v>100000000</v>
      </c>
      <c r="Z14" s="16">
        <f t="shared" si="0"/>
        <v>100000000</v>
      </c>
      <c r="AA14" s="16">
        <f t="shared" si="0"/>
        <v>0.1358</v>
      </c>
      <c r="AB14" s="16">
        <f t="shared" si="0"/>
        <v>1.66</v>
      </c>
    </row>
    <row r="15" spans="2:32" x14ac:dyDescent="0.25">
      <c r="B15" s="1" t="s">
        <v>12</v>
      </c>
      <c r="C15" s="7">
        <f>(24+C2/100)%</f>
        <v>0.24510000000000001</v>
      </c>
      <c r="D15" t="s">
        <v>175</v>
      </c>
      <c r="E15" s="17" t="s">
        <v>185</v>
      </c>
      <c r="F15" s="19" t="s">
        <v>186</v>
      </c>
      <c r="G15" t="s">
        <v>178</v>
      </c>
      <c r="M15" t="s">
        <v>253</v>
      </c>
      <c r="O15">
        <f>O14*O9</f>
        <v>15.843911809098719</v>
      </c>
      <c r="P15">
        <v>15.843911809098719</v>
      </c>
      <c r="Q15">
        <v>15.843911809098719</v>
      </c>
      <c r="S15" s="1" t="s">
        <v>138</v>
      </c>
      <c r="T15" s="31">
        <v>0</v>
      </c>
      <c r="U15" s="31">
        <v>6.6219999999999999</v>
      </c>
      <c r="V15" s="31">
        <v>0</v>
      </c>
      <c r="W15" s="31">
        <v>6.6219999999999999</v>
      </c>
      <c r="X15" s="33">
        <f>115/11</f>
        <v>10.454545454545455</v>
      </c>
      <c r="Y15" s="16">
        <f t="shared" si="2"/>
        <v>0</v>
      </c>
      <c r="Z15" s="16">
        <f t="shared" si="0"/>
        <v>6.0586918714555758E-2</v>
      </c>
      <c r="AA15" s="16">
        <f t="shared" si="0"/>
        <v>0</v>
      </c>
      <c r="AB15" s="16">
        <f t="shared" si="0"/>
        <v>6.0586918714555758E-2</v>
      </c>
    </row>
    <row r="16" spans="2:32" ht="15.75" thickBot="1" x14ac:dyDescent="0.3">
      <c r="B16" s="1" t="s">
        <v>176</v>
      </c>
      <c r="C16" s="7">
        <f>(18+C2/100)%</f>
        <v>0.18510000000000001</v>
      </c>
      <c r="D16" t="s">
        <v>175</v>
      </c>
      <c r="E16" s="17" t="s">
        <v>179</v>
      </c>
      <c r="F16" s="19">
        <v>1</v>
      </c>
      <c r="G16" t="s">
        <v>16</v>
      </c>
      <c r="I16" s="13" t="s">
        <v>230</v>
      </c>
      <c r="J16" s="13"/>
      <c r="K16" s="13"/>
      <c r="L16" s="13"/>
      <c r="M16" t="s">
        <v>254</v>
      </c>
      <c r="O16">
        <f>SQRT(2)*O9*EXP((-2*50*PI()*O11*$O$5))</f>
        <v>5.9074485157480441E-2</v>
      </c>
      <c r="P16">
        <v>0.63531766770408116</v>
      </c>
      <c r="Q16">
        <v>1.5482373962285996</v>
      </c>
      <c r="S16" s="1" t="s">
        <v>116</v>
      </c>
      <c r="T16" s="31">
        <v>0.11700000000000001</v>
      </c>
      <c r="U16" s="31">
        <v>1.6719999999999999</v>
      </c>
      <c r="V16" s="31">
        <f>10^8</f>
        <v>100000000</v>
      </c>
      <c r="W16" s="31">
        <f>10^8</f>
        <v>100000000</v>
      </c>
      <c r="X16" s="15">
        <v>1</v>
      </c>
      <c r="Y16" s="16">
        <f t="shared" si="2"/>
        <v>0.11700000000000001</v>
      </c>
      <c r="Z16" s="16">
        <f t="shared" si="0"/>
        <v>1.6719999999999999</v>
      </c>
      <c r="AA16" s="16">
        <f t="shared" si="0"/>
        <v>100000000</v>
      </c>
      <c r="AB16" s="16">
        <f t="shared" si="0"/>
        <v>100000000</v>
      </c>
    </row>
    <row r="17" spans="2:30" x14ac:dyDescent="0.25">
      <c r="B17" s="1" t="s">
        <v>13</v>
      </c>
      <c r="C17" s="7">
        <f>(8+C2/100)</f>
        <v>8.51</v>
      </c>
      <c r="D17" t="s">
        <v>14</v>
      </c>
      <c r="I17" s="27" t="s">
        <v>231</v>
      </c>
      <c r="J17" s="23">
        <f>F13</f>
        <v>0.11702364112398175</v>
      </c>
      <c r="K17" s="23">
        <v>0.11700000000000001</v>
      </c>
      <c r="M17" t="s">
        <v>255</v>
      </c>
      <c r="O17">
        <f>SQRT(O15^2+(O16/SQRT(2))^2)</f>
        <v>15.843966874236267</v>
      </c>
      <c r="P17">
        <v>15.850279356653193</v>
      </c>
      <c r="Q17">
        <v>15.88168948607289</v>
      </c>
      <c r="S17" s="1" t="s">
        <v>295</v>
      </c>
      <c r="T17" s="31">
        <v>1.26E-2</v>
      </c>
      <c r="U17" s="31">
        <v>2.9989999999999999E-2</v>
      </c>
      <c r="V17" s="31">
        <f>10^8</f>
        <v>100000000</v>
      </c>
      <c r="W17" s="31">
        <f>10^8</f>
        <v>100000000</v>
      </c>
      <c r="X17" s="33">
        <v>0.05</v>
      </c>
      <c r="Y17" s="16">
        <f t="shared" si="2"/>
        <v>5.0399999999999991</v>
      </c>
      <c r="Z17" s="16">
        <f t="shared" si="0"/>
        <v>11.995999999999997</v>
      </c>
      <c r="AA17" s="16">
        <f t="shared" si="0"/>
        <v>39999999999.999992</v>
      </c>
      <c r="AB17" s="16">
        <f t="shared" si="0"/>
        <v>39999999999.999992</v>
      </c>
    </row>
    <row r="18" spans="2:30" x14ac:dyDescent="0.25">
      <c r="B18" s="1" t="s">
        <v>17</v>
      </c>
      <c r="I18" s="27" t="s">
        <v>232</v>
      </c>
      <c r="J18" s="23">
        <f>F12</f>
        <v>1.6717663017711677</v>
      </c>
      <c r="K18" s="23">
        <v>1.6719999999999999</v>
      </c>
      <c r="M18" t="s">
        <v>256</v>
      </c>
      <c r="O18">
        <f>(EXP(4*50*$O$5*LN(O12-1))-1)/(2*50*$O$5*LN(O12-1))</f>
        <v>0.18020953090748937</v>
      </c>
      <c r="P18">
        <v>0.29996851259789359</v>
      </c>
      <c r="Q18">
        <v>0.39775739331948862</v>
      </c>
    </row>
    <row r="19" spans="2:30" x14ac:dyDescent="0.25">
      <c r="B19" s="1" t="s">
        <v>18</v>
      </c>
      <c r="C19" s="7">
        <f>-C10*C13/10</f>
        <v>-0.69059999999999977</v>
      </c>
      <c r="D19" t="s">
        <v>21</v>
      </c>
      <c r="I19" s="27" t="s">
        <v>234</v>
      </c>
      <c r="J19" s="19">
        <f>SQRT(J18^2+J17^2)</f>
        <v>1.6758571240769786</v>
      </c>
      <c r="K19" s="19">
        <f>SQRT(K18^2+K17^2)</f>
        <v>1.6760886014766641</v>
      </c>
      <c r="M19" t="s">
        <v>257</v>
      </c>
      <c r="O19">
        <v>1</v>
      </c>
      <c r="P19">
        <v>1</v>
      </c>
      <c r="Q19">
        <v>1</v>
      </c>
      <c r="T19" t="s">
        <v>302</v>
      </c>
      <c r="V19" t="s">
        <v>303</v>
      </c>
      <c r="Y19" t="s">
        <v>306</v>
      </c>
    </row>
    <row r="20" spans="2:30" x14ac:dyDescent="0.25">
      <c r="B20" s="1" t="s">
        <v>20</v>
      </c>
      <c r="C20" s="7">
        <f>1.1*C10*C13</f>
        <v>7.5965999999999996</v>
      </c>
      <c r="D20" t="s">
        <v>21</v>
      </c>
      <c r="I20" s="27" t="s">
        <v>235</v>
      </c>
      <c r="J20" s="19">
        <f>1.1*$F$2/(SQRT(3)*J19)</f>
        <v>3.7896148005957122</v>
      </c>
      <c r="K20" s="19">
        <f>1.1*$F$2/(SQRT(3)*K19)</f>
        <v>3.789091433168073</v>
      </c>
      <c r="M20" t="s">
        <v>258</v>
      </c>
      <c r="O20">
        <f>O9*SQRT(O18+O19)</f>
        <v>17.212421599435878</v>
      </c>
      <c r="P20">
        <v>18.064620105906908</v>
      </c>
      <c r="Q20">
        <v>18.731748382191</v>
      </c>
      <c r="S20" t="s">
        <v>296</v>
      </c>
      <c r="T20" s="1" t="s">
        <v>301</v>
      </c>
      <c r="U20" s="1" t="s">
        <v>300</v>
      </c>
      <c r="V20" s="1" t="s">
        <v>301</v>
      </c>
      <c r="W20" s="1" t="s">
        <v>300</v>
      </c>
      <c r="Y20" t="s">
        <v>307</v>
      </c>
      <c r="Z20" t="s">
        <v>308</v>
      </c>
      <c r="AA20" t="s">
        <v>312</v>
      </c>
      <c r="AC20" t="s">
        <v>313</v>
      </c>
    </row>
    <row r="21" spans="2:30" x14ac:dyDescent="0.25">
      <c r="S21" s="1" t="s">
        <v>284</v>
      </c>
      <c r="T21" s="23" t="str">
        <f>COMPLEX(Y7+Y8,Z7+Z8,"j")</f>
        <v>1,485+1,1129j</v>
      </c>
      <c r="U21" s="23" t="str">
        <f>COMPLEX(AA7+AA8,AB7+AB8,"j")</f>
        <v>1,8661+3,4342j</v>
      </c>
      <c r="V21" s="19" t="str">
        <f>IMPOWER(T21,-1)</f>
        <v>0,431213290083037-0,323163145140345j</v>
      </c>
      <c r="W21" s="19" t="str">
        <f>IMPOWER(U21,-1)</f>
        <v>0,122158471522254-0,2248092936615j</v>
      </c>
      <c r="X21" t="str">
        <f t="shared" ref="X21:X30" si="3">IMDIV($Z$21,U21)</f>
        <v>0,122158471522254-0,2248092936615j</v>
      </c>
      <c r="Y21">
        <v>1</v>
      </c>
      <c r="Z21" t="str">
        <f>COMPLEX(Y21,0,"j")</f>
        <v>1</v>
      </c>
      <c r="AA21">
        <f>ROUND(IMREAL($V21),4)</f>
        <v>0.43120000000000003</v>
      </c>
      <c r="AB21">
        <f>ROUND(IMAGINARY(($V21)),4)</f>
        <v>-0.32319999999999999</v>
      </c>
      <c r="AC21">
        <f>ROUND(IMREAL($W21),4)</f>
        <v>0.1222</v>
      </c>
      <c r="AD21">
        <f>ROUND(IMAGINARY($W21),4)</f>
        <v>-0.2248</v>
      </c>
    </row>
    <row r="22" spans="2:30" ht="18" thickBot="1" x14ac:dyDescent="0.35">
      <c r="B22" s="10" t="s">
        <v>22</v>
      </c>
      <c r="I22" s="13" t="s">
        <v>236</v>
      </c>
      <c r="J22" s="13"/>
      <c r="K22" s="13"/>
      <c r="L22" s="13"/>
      <c r="M22" s="13" t="s">
        <v>260</v>
      </c>
      <c r="N22" s="13"/>
      <c r="O22" s="13"/>
      <c r="S22" s="1" t="s">
        <v>282</v>
      </c>
      <c r="T22" s="23" t="str">
        <f>COMPLEX(Y9,Z9,"j")</f>
        <v>0,00946041587901701+0,169903213610586j</v>
      </c>
      <c r="U22" s="23" t="str">
        <f>COMPLEX(AA9,AB9,"j")</f>
        <v>0,00946041587901701+0,169903213610586j</v>
      </c>
      <c r="V22" s="19" t="str">
        <f>IMPOWER(T22,-1)</f>
        <v>0,326710159368708-5,86751224320785j</v>
      </c>
      <c r="W22" s="19" t="str">
        <f t="shared" ref="V22:W30" si="4">IMPOWER(U22,-1)</f>
        <v>0,326710159368708-5,86751224320785j</v>
      </c>
      <c r="X22" t="str">
        <f t="shared" si="3"/>
        <v>0,326710159368708-5,86751224320785j</v>
      </c>
      <c r="Y22">
        <v>-1</v>
      </c>
      <c r="Z22" t="str">
        <f t="shared" ref="Z22" si="5">COMPLEX(Y22,0,"j")</f>
        <v>-1</v>
      </c>
      <c r="AA22">
        <f t="shared" ref="AA22:AA30" si="6">ROUND(IMREAL($V22),4)</f>
        <v>0.32669999999999999</v>
      </c>
      <c r="AB22">
        <f t="shared" ref="AB22:AB30" si="7">ROUND(IMAGINARY(($V22)),4)</f>
        <v>-5.8674999999999997</v>
      </c>
      <c r="AC22">
        <f t="shared" ref="AC22:AC30" si="8">ROUND(IMREAL($W22),4)</f>
        <v>0.32669999999999999</v>
      </c>
      <c r="AD22">
        <f t="shared" ref="AD22:AD30" si="9">ROUND(IMAGINARY($W22),4)</f>
        <v>-5.8674999999999997</v>
      </c>
    </row>
    <row r="23" spans="2:30" ht="15.75" thickTop="1" x14ac:dyDescent="0.25">
      <c r="B23" s="1" t="s">
        <v>23</v>
      </c>
      <c r="C23" s="7">
        <f>(0.5+C2/1000)</f>
        <v>0.55100000000000005</v>
      </c>
      <c r="D23" t="s">
        <v>24</v>
      </c>
      <c r="I23" s="27" t="s">
        <v>190</v>
      </c>
      <c r="J23" s="23">
        <f>F67*F68^2</f>
        <v>5.0381234971422515</v>
      </c>
      <c r="K23" s="23">
        <f>0.0126*F68^2</f>
        <v>5.04</v>
      </c>
      <c r="M23" t="s">
        <v>234</v>
      </c>
      <c r="O23">
        <f>K19</f>
        <v>1.6760886014766641</v>
      </c>
      <c r="P23">
        <v>1.6760886014766641</v>
      </c>
      <c r="Q23">
        <v>1.6760886014766641</v>
      </c>
      <c r="S23" s="1" t="s">
        <v>298</v>
      </c>
      <c r="T23" s="23" t="str">
        <f t="shared" ref="T23:T30" si="10">COMPLEX(Y10,Z10,"j")</f>
        <v>0,00946041587901701+0,169903213610586j</v>
      </c>
      <c r="U23" s="23" t="str">
        <f t="shared" ref="U23:U30" si="11">COMPLEX(AA10,AB10,"j")</f>
        <v>914933,837429111+914933,837429111j</v>
      </c>
      <c r="V23" s="19" t="str">
        <f t="shared" si="4"/>
        <v>0,326710159368708-5,86751224320785j</v>
      </c>
      <c r="W23" s="19" t="str">
        <f t="shared" si="4"/>
        <v>5,46487603305785E-07-5,46487603305785E-07j</v>
      </c>
      <c r="X23" t="str">
        <f t="shared" si="3"/>
        <v>5,46487603305785E-07-5,46487603305785E-07j</v>
      </c>
      <c r="AA23">
        <f t="shared" si="6"/>
        <v>0.32669999999999999</v>
      </c>
      <c r="AB23">
        <f t="shared" si="7"/>
        <v>-5.8674999999999997</v>
      </c>
      <c r="AC23">
        <f t="shared" si="8"/>
        <v>0</v>
      </c>
      <c r="AD23">
        <f t="shared" si="9"/>
        <v>0</v>
      </c>
    </row>
    <row r="24" spans="2:30" x14ac:dyDescent="0.25">
      <c r="B24" s="1" t="s">
        <v>25</v>
      </c>
      <c r="C24" s="7">
        <f>(0.2+C2/1000)</f>
        <v>0.251</v>
      </c>
      <c r="D24" t="s">
        <v>21</v>
      </c>
      <c r="I24" s="27" t="s">
        <v>189</v>
      </c>
      <c r="J24" s="23">
        <f>F66*F68^2</f>
        <v>11.995532136052981</v>
      </c>
      <c r="K24" s="23">
        <f>0.02999*F68^2</f>
        <v>11.996</v>
      </c>
      <c r="M24" t="s">
        <v>235</v>
      </c>
      <c r="O24" s="30">
        <f>K20</f>
        <v>3.789091433168073</v>
      </c>
      <c r="P24">
        <v>3.789091433168073</v>
      </c>
      <c r="Q24">
        <v>3.789091433168073</v>
      </c>
      <c r="S24" s="1" t="s">
        <v>297</v>
      </c>
      <c r="T24" s="23" t="str">
        <f>COMPLEX(Y11,Z11,"j")</f>
        <v>914933,837429111+914933,837429111j</v>
      </c>
      <c r="U24" s="23" t="str">
        <f>COMPLEX(AA11,AB11,"j")</f>
        <v>0,00785287712665406+0,154806805293006j</v>
      </c>
      <c r="V24" s="19" t="str">
        <f t="shared" si="4"/>
        <v>5,46487603305785E-07-5,46487603305785E-07j</v>
      </c>
      <c r="W24" s="19" t="str">
        <f t="shared" si="4"/>
        <v>0,326838045031991-6,4430848443916j</v>
      </c>
      <c r="X24" t="str">
        <f>IMDIV($Z$21,U24)</f>
        <v>0,326838045031991-6,4430848443916j</v>
      </c>
      <c r="AA24">
        <f t="shared" si="6"/>
        <v>0</v>
      </c>
      <c r="AB24">
        <f t="shared" si="7"/>
        <v>0</v>
      </c>
      <c r="AC24">
        <f t="shared" si="8"/>
        <v>0.32679999999999998</v>
      </c>
      <c r="AD24">
        <f t="shared" si="9"/>
        <v>-6.4431000000000003</v>
      </c>
    </row>
    <row r="25" spans="2:30" x14ac:dyDescent="0.25">
      <c r="I25" s="27" t="s">
        <v>216</v>
      </c>
      <c r="J25" s="23">
        <f>F52</f>
        <v>0.31905796765826799</v>
      </c>
      <c r="K25" s="23">
        <f>(2*0.1596)</f>
        <v>0.31919999999999998</v>
      </c>
      <c r="M25" t="s">
        <v>261</v>
      </c>
      <c r="O25">
        <f>SQRT(3)*$F$2*O24</f>
        <v>65.628988767710752</v>
      </c>
      <c r="P25">
        <v>65.628988767710752</v>
      </c>
      <c r="Q25">
        <v>65.628988767710752</v>
      </c>
      <c r="S25" s="1" t="s">
        <v>285</v>
      </c>
      <c r="T25" s="23" t="str">
        <f>COMPLEX(Y12,Z12,"j")</f>
        <v>0,1596+1,798j</v>
      </c>
      <c r="U25" s="23" t="str">
        <f t="shared" si="11"/>
        <v>100000000+100000000j</v>
      </c>
      <c r="V25" s="19" t="str">
        <f>IMPOWER(T25,-1)</f>
        <v>0,0489829566809954-0,551825539551565j</v>
      </c>
      <c r="W25" s="19" t="str">
        <f t="shared" si="4"/>
        <v>0,000000005-0,000000005j</v>
      </c>
      <c r="X25" t="str">
        <f t="shared" si="3"/>
        <v>0,000000005-0,000000005j</v>
      </c>
      <c r="AA25">
        <f t="shared" si="6"/>
        <v>4.9000000000000002E-2</v>
      </c>
      <c r="AB25">
        <f t="shared" si="7"/>
        <v>-0.55179999999999996</v>
      </c>
      <c r="AC25">
        <f t="shared" si="8"/>
        <v>0</v>
      </c>
      <c r="AD25">
        <f t="shared" si="9"/>
        <v>0</v>
      </c>
    </row>
    <row r="26" spans="2:30" ht="20.25" thickBot="1" x14ac:dyDescent="0.35">
      <c r="B26" s="9" t="s">
        <v>26</v>
      </c>
      <c r="I26" s="27" t="s">
        <v>217</v>
      </c>
      <c r="J26" s="23">
        <f>F53</f>
        <v>3.6091526836756289</v>
      </c>
      <c r="K26" s="23">
        <f>(2*1.798)</f>
        <v>3.5960000000000001</v>
      </c>
      <c r="M26" t="s">
        <v>262</v>
      </c>
      <c r="O26">
        <f>K17/K18</f>
        <v>6.9976076555023928E-2</v>
      </c>
      <c r="P26">
        <v>6.9976076555023928E-2</v>
      </c>
      <c r="Q26">
        <v>6.9976076555023928E-2</v>
      </c>
      <c r="S26" s="1" t="s">
        <v>286</v>
      </c>
      <c r="T26" s="23" t="str">
        <f t="shared" si="10"/>
        <v>0,1596+1,798j</v>
      </c>
      <c r="U26" s="23" t="str">
        <f t="shared" si="11"/>
        <v>0,153+1,661j</v>
      </c>
      <c r="V26" s="19" t="str">
        <f t="shared" si="4"/>
        <v>0,0489829566809954-0,551825539551565j</v>
      </c>
      <c r="W26" s="19" t="str">
        <f t="shared" si="4"/>
        <v>0,0549898825804272-0,59698166644503j</v>
      </c>
      <c r="X26" t="str">
        <f t="shared" si="3"/>
        <v>0,0549898825804272-0,59698166644503j</v>
      </c>
      <c r="AA26">
        <f t="shared" si="6"/>
        <v>4.9000000000000002E-2</v>
      </c>
      <c r="AB26">
        <f t="shared" si="7"/>
        <v>-0.55179999999999996</v>
      </c>
      <c r="AC26">
        <f t="shared" si="8"/>
        <v>5.5E-2</v>
      </c>
      <c r="AD26">
        <f t="shared" si="9"/>
        <v>-0.59699999999999998</v>
      </c>
    </row>
    <row r="27" spans="2:30" ht="15.75" thickTop="1" x14ac:dyDescent="0.25">
      <c r="B27" s="1" t="s">
        <v>27</v>
      </c>
      <c r="C27" s="7">
        <v>-2</v>
      </c>
      <c r="D27" t="s">
        <v>21</v>
      </c>
      <c r="E27" t="s">
        <v>28</v>
      </c>
      <c r="I27" s="27" t="s">
        <v>193</v>
      </c>
      <c r="J27" s="23">
        <f>F80</f>
        <v>0.38505</v>
      </c>
      <c r="K27" s="23">
        <v>0.38500000000000001</v>
      </c>
      <c r="M27" t="s">
        <v>251</v>
      </c>
      <c r="O27">
        <f>1.02+0.98*EXP(-3*O26)</f>
        <v>1.8144295754814956</v>
      </c>
      <c r="P27">
        <v>1.8144295754814956</v>
      </c>
      <c r="Q27">
        <v>1.8144295754814956</v>
      </c>
      <c r="S27" s="1" t="s">
        <v>299</v>
      </c>
      <c r="T27" s="23" t="str">
        <f t="shared" si="10"/>
        <v>100000000+100000000j</v>
      </c>
      <c r="U27" s="23" t="str">
        <f t="shared" si="11"/>
        <v>0,1358+1,66j</v>
      </c>
      <c r="V27" s="19" t="str">
        <f t="shared" si="4"/>
        <v>0,000000005-0,000000005j</v>
      </c>
      <c r="W27" s="19" t="str">
        <f t="shared" si="4"/>
        <v>0,0489538433893156-0,598404860281766j</v>
      </c>
      <c r="X27" t="str">
        <f t="shared" si="3"/>
        <v>0,0489538433893155-0,598404860281766j</v>
      </c>
      <c r="AA27">
        <f t="shared" si="6"/>
        <v>0</v>
      </c>
      <c r="AB27">
        <f t="shared" si="7"/>
        <v>0</v>
      </c>
      <c r="AC27">
        <f t="shared" si="8"/>
        <v>4.9000000000000002E-2</v>
      </c>
      <c r="AD27">
        <f t="shared" si="9"/>
        <v>-0.59840000000000004</v>
      </c>
    </row>
    <row r="28" spans="2:30" x14ac:dyDescent="0.25">
      <c r="I28" s="27" t="s">
        <v>194</v>
      </c>
      <c r="J28" s="23">
        <f>F81</f>
        <v>0.18421999999999999</v>
      </c>
      <c r="K28" s="23">
        <v>0.1842</v>
      </c>
      <c r="M28" t="s">
        <v>263</v>
      </c>
      <c r="O28">
        <f>O27*SQRT(2)*O24</f>
        <v>9.7227741883724903</v>
      </c>
      <c r="P28">
        <v>9.7227741883724903</v>
      </c>
      <c r="Q28">
        <v>9.7227741883724903</v>
      </c>
      <c r="S28" s="1" t="s">
        <v>280</v>
      </c>
      <c r="T28" s="23" t="str">
        <f t="shared" si="10"/>
        <v>0,0605869187145558j</v>
      </c>
      <c r="U28" s="23" t="str">
        <f t="shared" si="11"/>
        <v>0,0605869187145558j</v>
      </c>
      <c r="V28" s="19" t="str">
        <f>IMPOWER(T28,-1)</f>
        <v>1,01106681186469E-15-16,5052130264508j</v>
      </c>
      <c r="W28" s="19" t="str">
        <f t="shared" si="4"/>
        <v>1,01106681186469E-15-16,5052130264508j</v>
      </c>
      <c r="X28" t="str">
        <f t="shared" si="3"/>
        <v>-16,5052130264508j</v>
      </c>
      <c r="AA28">
        <f t="shared" si="6"/>
        <v>0</v>
      </c>
      <c r="AB28">
        <f t="shared" si="7"/>
        <v>-16.505199999999999</v>
      </c>
      <c r="AC28">
        <f t="shared" si="8"/>
        <v>0</v>
      </c>
      <c r="AD28">
        <f t="shared" si="9"/>
        <v>-16.505199999999999</v>
      </c>
    </row>
    <row r="29" spans="2:30" ht="20.25" thickBot="1" x14ac:dyDescent="0.35">
      <c r="B29" s="9" t="s">
        <v>29</v>
      </c>
      <c r="E29" s="9" t="s">
        <v>222</v>
      </c>
      <c r="I29" s="27" t="s">
        <v>85</v>
      </c>
      <c r="J29" s="23">
        <f>F72</f>
        <v>1.1043999999999998</v>
      </c>
      <c r="K29" s="23">
        <v>1.1000000000000001</v>
      </c>
      <c r="M29" t="s">
        <v>268</v>
      </c>
      <c r="O29">
        <f>C10/(SQRT(3)*$F$2)</f>
        <v>0.66453015983725927</v>
      </c>
      <c r="P29">
        <v>0.66453015983725927</v>
      </c>
      <c r="Q29">
        <v>0.66453015983725927</v>
      </c>
      <c r="S29" s="1" t="s">
        <v>283</v>
      </c>
      <c r="T29" s="23" t="str">
        <f t="shared" si="10"/>
        <v>0,117+1,672j</v>
      </c>
      <c r="U29" s="23" t="str">
        <f t="shared" si="11"/>
        <v>100000000+100000000j</v>
      </c>
      <c r="V29" s="19" t="str">
        <f t="shared" si="4"/>
        <v>0,0416477857438562-0,595171775758355j</v>
      </c>
      <c r="W29" s="19" t="str">
        <f t="shared" si="4"/>
        <v>0,000000005-0,000000005j</v>
      </c>
      <c r="X29" t="str">
        <f t="shared" si="3"/>
        <v>0,000000005-0,000000005j</v>
      </c>
      <c r="AA29">
        <f t="shared" si="6"/>
        <v>4.1599999999999998E-2</v>
      </c>
      <c r="AB29">
        <f t="shared" si="7"/>
        <v>-0.59519999999999995</v>
      </c>
      <c r="AC29">
        <f t="shared" si="8"/>
        <v>0</v>
      </c>
      <c r="AD29">
        <f t="shared" si="9"/>
        <v>0</v>
      </c>
    </row>
    <row r="30" spans="2:30" ht="15.75" thickTop="1" x14ac:dyDescent="0.25">
      <c r="B30" s="1" t="s">
        <v>30</v>
      </c>
      <c r="C30" s="7">
        <v>40</v>
      </c>
      <c r="D30" t="s">
        <v>3</v>
      </c>
      <c r="E30" s="1" t="s">
        <v>74</v>
      </c>
      <c r="F30" s="19">
        <f>(C39/1000)/C30*100</f>
        <v>0.64</v>
      </c>
      <c r="G30" t="s">
        <v>15</v>
      </c>
      <c r="I30" s="27" t="s">
        <v>86</v>
      </c>
      <c r="J30" s="23">
        <f>F73</f>
        <v>0.92869999999999986</v>
      </c>
      <c r="K30" s="23">
        <v>0.92869999999999997</v>
      </c>
      <c r="M30" t="s">
        <v>264</v>
      </c>
      <c r="O30">
        <f>O24/O29</f>
        <v>5.7019104055352523</v>
      </c>
      <c r="P30">
        <v>5.7019104055352523</v>
      </c>
      <c r="Q30">
        <v>5.7019104055352523</v>
      </c>
      <c r="S30" s="1" t="s">
        <v>188</v>
      </c>
      <c r="T30" s="23" t="str">
        <f t="shared" si="10"/>
        <v>5,04+11,996j</v>
      </c>
      <c r="U30" s="23" t="str">
        <f t="shared" si="11"/>
        <v>40000000000+40000000000j</v>
      </c>
      <c r="V30" s="19" t="str">
        <f t="shared" si="4"/>
        <v>0,0297686522105681-0,0708541174440427j</v>
      </c>
      <c r="W30" s="19" t="str">
        <f t="shared" si="4"/>
        <v>0,0000000000125-0,0000000000125j</v>
      </c>
      <c r="X30" t="str">
        <f t="shared" si="3"/>
        <v>0,0000000000125-0,0000000000125j</v>
      </c>
      <c r="AA30">
        <f t="shared" si="6"/>
        <v>2.98E-2</v>
      </c>
      <c r="AB30">
        <f t="shared" si="7"/>
        <v>-7.0900000000000005E-2</v>
      </c>
      <c r="AC30">
        <f t="shared" si="8"/>
        <v>0</v>
      </c>
      <c r="AD30">
        <f t="shared" si="9"/>
        <v>0</v>
      </c>
    </row>
    <row r="31" spans="2:30" x14ac:dyDescent="0.25">
      <c r="B31" s="1" t="s">
        <v>31</v>
      </c>
      <c r="C31" s="7">
        <v>115</v>
      </c>
      <c r="D31" t="s">
        <v>9</v>
      </c>
      <c r="E31" s="1" t="s">
        <v>198</v>
      </c>
      <c r="F31" s="19">
        <f>SQRT((C38*100)^2-F30^2)</f>
        <v>11.492193002208063</v>
      </c>
      <c r="G31" t="s">
        <v>15</v>
      </c>
      <c r="I31" s="27" t="s">
        <v>237</v>
      </c>
      <c r="J31" s="19">
        <f>J23+J25+J27+J29</f>
        <v>6.8466314648005193</v>
      </c>
      <c r="K31" s="19">
        <f>K23+K25+K27+K29</f>
        <v>6.8442000000000007</v>
      </c>
      <c r="M31" t="s">
        <v>269</v>
      </c>
      <c r="O31">
        <f>0.56+0.94*EXP(-0.38*O30)</f>
        <v>0.66767892915617766</v>
      </c>
      <c r="P31">
        <v>0.66767892915617766</v>
      </c>
      <c r="Q31">
        <v>0.66767892915617766</v>
      </c>
    </row>
    <row r="32" spans="2:30" x14ac:dyDescent="0.25">
      <c r="B32" s="17" t="s">
        <v>202</v>
      </c>
      <c r="C32" s="24" t="s">
        <v>203</v>
      </c>
      <c r="D32" t="s">
        <v>9</v>
      </c>
      <c r="E32" s="1" t="s">
        <v>199</v>
      </c>
      <c r="F32" s="19">
        <f>(F30*C31^2)/(100*C30)</f>
        <v>2.1160000000000001</v>
      </c>
      <c r="G32" t="s">
        <v>89</v>
      </c>
      <c r="I32" s="27" t="s">
        <v>238</v>
      </c>
      <c r="J32" s="19">
        <f>J24+J26+J28+J30</f>
        <v>16.71760481972861</v>
      </c>
      <c r="K32" s="19">
        <f>K24+K26+K28+K30</f>
        <v>16.704900000000002</v>
      </c>
      <c r="M32" t="s">
        <v>265</v>
      </c>
      <c r="O32">
        <f>O31*O24</f>
        <v>2.5298965105725055</v>
      </c>
      <c r="P32">
        <v>2.5298965105725055</v>
      </c>
      <c r="Q32">
        <v>2.5298965105725055</v>
      </c>
      <c r="S32" t="s">
        <v>287</v>
      </c>
    </row>
    <row r="33" spans="2:25" x14ac:dyDescent="0.25">
      <c r="B33" s="1" t="s">
        <v>33</v>
      </c>
      <c r="C33" s="7">
        <f>1.16*115</f>
        <v>133.39999999999998</v>
      </c>
      <c r="D33" t="s">
        <v>9</v>
      </c>
      <c r="E33" s="1" t="s">
        <v>200</v>
      </c>
      <c r="F33" s="19">
        <f>(F31*C31^2)/(100*C30)</f>
        <v>37.996063113550406</v>
      </c>
      <c r="G33" t="s">
        <v>89</v>
      </c>
      <c r="I33" s="27" t="s">
        <v>239</v>
      </c>
      <c r="J33" s="19">
        <f>SQRT(J31^2+J32^2)</f>
        <v>18.065289184605092</v>
      </c>
      <c r="K33" s="19">
        <f>SQRT(K31^2+K32^2)</f>
        <v>18.052610826415112</v>
      </c>
      <c r="M33" t="s">
        <v>266</v>
      </c>
      <c r="O33">
        <f>SQRT(2)*O24*EXP((-2*50*PI()*O26*$O$5))</f>
        <v>8.1302128491396366E-4</v>
      </c>
      <c r="P33">
        <v>2.7395623091440779E-2</v>
      </c>
      <c r="Q33">
        <v>0.102452699895778</v>
      </c>
      <c r="S33" s="1" t="s">
        <v>309</v>
      </c>
      <c r="T33" s="1">
        <v>1</v>
      </c>
      <c r="U33" s="1">
        <v>2</v>
      </c>
      <c r="V33" s="1">
        <v>3</v>
      </c>
      <c r="W33" s="1">
        <v>4</v>
      </c>
      <c r="X33" s="1">
        <v>5</v>
      </c>
      <c r="Y33" s="1">
        <v>6</v>
      </c>
    </row>
    <row r="34" spans="2:25" x14ac:dyDescent="0.25">
      <c r="B34" s="1" t="s">
        <v>34</v>
      </c>
      <c r="C34" s="7">
        <f>115*0.84</f>
        <v>96.6</v>
      </c>
      <c r="E34" s="1" t="s">
        <v>201</v>
      </c>
      <c r="F34" s="19">
        <f>C43*F33</f>
        <v>189.98031556775203</v>
      </c>
      <c r="G34" t="s">
        <v>89</v>
      </c>
      <c r="I34" s="27" t="s">
        <v>240</v>
      </c>
      <c r="J34" s="19">
        <f>1.1*$F$2/(SQRT(3)*J33)</f>
        <v>0.35155003034758858</v>
      </c>
      <c r="K34" s="19">
        <f>1.1*$F$2/(SQRT(3)*K33)</f>
        <v>0.35179692412097691</v>
      </c>
      <c r="M34" t="s">
        <v>255</v>
      </c>
      <c r="O34">
        <f>SQRT(O32^2+(O33/SQRT(2))^2)</f>
        <v>2.5298965758917387</v>
      </c>
      <c r="P34">
        <v>2.5299706745907597</v>
      </c>
      <c r="Q34">
        <v>2.5309335495158516</v>
      </c>
      <c r="S34" s="1">
        <v>1</v>
      </c>
      <c r="T34" s="19" t="str">
        <f>IMSUM(V28,V22)</f>
        <v>0,326710159368709-22,3727252696587j</v>
      </c>
      <c r="U34" s="19">
        <v>0</v>
      </c>
      <c r="V34" s="19">
        <v>0</v>
      </c>
      <c r="W34" s="19">
        <v>0</v>
      </c>
      <c r="X34" s="19" t="str">
        <f>IMPRODUCT(Z22,V22)</f>
        <v>-0,326710159368708+5,86751224320785j</v>
      </c>
      <c r="Y34" s="19">
        <v>0</v>
      </c>
    </row>
    <row r="35" spans="2:25" x14ac:dyDescent="0.25">
      <c r="B35" s="1" t="s">
        <v>35</v>
      </c>
      <c r="C35" s="7">
        <v>25</v>
      </c>
      <c r="E35" s="1" t="s">
        <v>204</v>
      </c>
      <c r="F35" s="19">
        <f>0.95*(1.1/(1+0.6*F31/100))</f>
        <v>0.9775919479411358</v>
      </c>
      <c r="G35" t="s">
        <v>16</v>
      </c>
      <c r="M35" t="s">
        <v>256</v>
      </c>
      <c r="O35">
        <f>(EXP(4*50*$O$5*LN(O27-1))-1)/(2*50*$O$5*LN(O27-1))</f>
        <v>0.12179239430929353</v>
      </c>
      <c r="P35">
        <v>0.20297666209635842</v>
      </c>
      <c r="Q35">
        <v>0.27048262410208157</v>
      </c>
      <c r="S35" s="1">
        <v>2</v>
      </c>
      <c r="T35" s="19">
        <v>0</v>
      </c>
      <c r="U35" s="19" t="str">
        <f>IMSUM(V23,V29,V21)</f>
        <v>0,799571235195601-6,78584716410655j</v>
      </c>
      <c r="V35" s="19" t="str">
        <f>IMPRODUCT(Y22,V21)</f>
        <v>-0,431213290083037+0,323163145140345j</v>
      </c>
      <c r="W35" s="19">
        <v>0</v>
      </c>
      <c r="X35" s="19" t="str">
        <f>IMPRODUCT(Z22,V23)</f>
        <v>-0,326710159368708+5,86751224320785j</v>
      </c>
      <c r="Y35" s="19">
        <v>0</v>
      </c>
    </row>
    <row r="36" spans="2:25" ht="15.75" thickBot="1" x14ac:dyDescent="0.3">
      <c r="B36" s="1" t="s">
        <v>36</v>
      </c>
      <c r="C36" s="7">
        <v>12</v>
      </c>
      <c r="D36" t="s">
        <v>9</v>
      </c>
      <c r="E36" s="1" t="s">
        <v>205</v>
      </c>
      <c r="F36" s="19">
        <f>F35*F32</f>
        <v>2.0685845618434433</v>
      </c>
      <c r="G36" t="s">
        <v>89</v>
      </c>
      <c r="I36" s="13" t="s">
        <v>241</v>
      </c>
      <c r="J36" s="13"/>
      <c r="K36" s="13"/>
      <c r="L36" s="13"/>
      <c r="M36" t="s">
        <v>257</v>
      </c>
      <c r="O36">
        <v>1</v>
      </c>
      <c r="P36">
        <v>1</v>
      </c>
      <c r="Q36">
        <v>1</v>
      </c>
      <c r="S36" s="1">
        <v>3</v>
      </c>
      <c r="T36" s="19">
        <v>0</v>
      </c>
      <c r="U36" s="19" t="str">
        <f>V35</f>
        <v>-0,431213290083037+0,323163145140345j</v>
      </c>
      <c r="V36" s="19" t="str">
        <f>IMSUM(V21,V25)</f>
        <v>0,480196246764032-0,87498868469191j</v>
      </c>
      <c r="W36" s="19">
        <v>0</v>
      </c>
      <c r="X36" s="19">
        <v>0</v>
      </c>
      <c r="Y36" s="19" t="str">
        <f>IMPRODUCT(Z22,V25)</f>
        <v>-0,0489829566809954+0,551825539551565j</v>
      </c>
    </row>
    <row r="37" spans="2:25" x14ac:dyDescent="0.25">
      <c r="B37" s="1" t="s">
        <v>37</v>
      </c>
      <c r="C37" s="7">
        <v>11</v>
      </c>
      <c r="D37" t="s">
        <v>15</v>
      </c>
      <c r="E37" s="1" t="s">
        <v>206</v>
      </c>
      <c r="F37" s="19">
        <f>F35*F33</f>
        <v>37.144645353270079</v>
      </c>
      <c r="G37" t="s">
        <v>89</v>
      </c>
      <c r="I37" s="27" t="s">
        <v>242</v>
      </c>
      <c r="J37" s="19">
        <f>J14+J20+J34</f>
        <v>19.983370672678053</v>
      </c>
      <c r="K37" s="19">
        <f>K14+K20+K34</f>
        <v>19.984800166387767</v>
      </c>
      <c r="M37" t="s">
        <v>267</v>
      </c>
      <c r="O37">
        <f>O24*SQRT(O35+O36)</f>
        <v>4.0132048719257272</v>
      </c>
      <c r="P37">
        <v>4.1558865770232032</v>
      </c>
      <c r="Q37">
        <v>4.27090046434874</v>
      </c>
      <c r="S37" s="1">
        <v>4</v>
      </c>
      <c r="T37" s="19">
        <v>0</v>
      </c>
      <c r="U37" s="19">
        <v>0</v>
      </c>
      <c r="V37" s="19">
        <v>0</v>
      </c>
      <c r="W37" s="19" t="str">
        <f>IMSUM(V30,V26)</f>
        <v>0,0787516088915635-0,622679656995608j</v>
      </c>
      <c r="X37" s="19">
        <v>0</v>
      </c>
      <c r="Y37" s="19" t="str">
        <f>IMPRODUCT(Z22,V26)</f>
        <v>-0,0489829566809954+0,551825539551565j</v>
      </c>
    </row>
    <row r="38" spans="2:25" x14ac:dyDescent="0.25">
      <c r="B38" s="1" t="s">
        <v>38</v>
      </c>
      <c r="C38" s="7">
        <f>(11+C2/100)%</f>
        <v>0.11509999999999999</v>
      </c>
      <c r="D38" t="s">
        <v>40</v>
      </c>
      <c r="E38" s="1" t="s">
        <v>207</v>
      </c>
      <c r="F38" s="19" t="str">
        <f>COMPLEX(F36,F37,"j")</f>
        <v>2,06858456184344+37,1446453532701j</v>
      </c>
      <c r="G38" t="s">
        <v>89</v>
      </c>
      <c r="S38" s="1">
        <v>5</v>
      </c>
      <c r="T38" s="19" t="str">
        <f>X34</f>
        <v>-0,326710159368708+5,86751224320785j</v>
      </c>
      <c r="U38" s="19" t="str">
        <f>X35</f>
        <v>-0,326710159368708+5,86751224320785j</v>
      </c>
      <c r="V38" s="19">
        <v>0</v>
      </c>
      <c r="W38" s="19">
        <v>0</v>
      </c>
      <c r="X38" s="19" t="str">
        <f>IMSUM(V22,V23,V24)</f>
        <v>0,653420865225019-11,7350250329033j</v>
      </c>
      <c r="Y38" s="19">
        <v>0</v>
      </c>
    </row>
    <row r="39" spans="2:25" ht="15.75" thickBot="1" x14ac:dyDescent="0.3">
      <c r="B39" s="1" t="s">
        <v>39</v>
      </c>
      <c r="C39" s="7">
        <f>(205+C2)</f>
        <v>256</v>
      </c>
      <c r="D39" t="s">
        <v>40</v>
      </c>
      <c r="E39" s="1" t="s">
        <v>208</v>
      </c>
      <c r="F39" s="19" t="str">
        <f>IMDIV(F38,COMPLEX(2,0))</f>
        <v>1,03429228092172+18,572322676635j</v>
      </c>
      <c r="G39" t="s">
        <v>89</v>
      </c>
      <c r="I39" s="13" t="s">
        <v>243</v>
      </c>
      <c r="J39" s="13"/>
      <c r="K39" s="13"/>
      <c r="L39" s="13"/>
      <c r="M39" s="13" t="s">
        <v>270</v>
      </c>
      <c r="N39" s="13"/>
      <c r="O39" s="13"/>
      <c r="S39" s="1">
        <v>6</v>
      </c>
      <c r="T39" s="19">
        <v>0</v>
      </c>
      <c r="U39" s="19">
        <v>0</v>
      </c>
      <c r="V39" s="19" t="str">
        <f>Y36</f>
        <v>-0,0489829566809954+0,551825539551565j</v>
      </c>
      <c r="W39" s="19" t="str">
        <f>Y37</f>
        <v>-0,0489829566809954+0,551825539551565j</v>
      </c>
      <c r="X39" s="19">
        <f>0</f>
        <v>0</v>
      </c>
      <c r="Y39" s="19" t="str">
        <f>IMSUM(V25,V26,V27)</f>
        <v>0,0979659183619908-1,10365108410313j</v>
      </c>
    </row>
    <row r="40" spans="2:25" x14ac:dyDescent="0.25">
      <c r="B40" s="1" t="s">
        <v>41</v>
      </c>
      <c r="C40" s="7">
        <f>(33+C2/10)</f>
        <v>38.1</v>
      </c>
      <c r="D40" t="s">
        <v>15</v>
      </c>
      <c r="E40" s="1" t="s">
        <v>209</v>
      </c>
      <c r="F40" s="19" t="str">
        <f>F39</f>
        <v>1,03429228092172+18,572322676635j</v>
      </c>
      <c r="G40" t="s">
        <v>89</v>
      </c>
      <c r="I40" s="27" t="s">
        <v>244</v>
      </c>
      <c r="J40" s="19">
        <f>1/((1/J13)+(1/J19)+(1/J33))</f>
        <v>0.31780689379740062</v>
      </c>
      <c r="K40" s="19">
        <f>1/((1/K13)+(1/K19)+(1/K33))</f>
        <v>0.31778416137316795</v>
      </c>
      <c r="M40" t="s">
        <v>239</v>
      </c>
      <c r="O40">
        <f>K33</f>
        <v>18.052610826415112</v>
      </c>
      <c r="P40">
        <v>18.052610826415112</v>
      </c>
      <c r="Q40">
        <v>18.052610826415112</v>
      </c>
    </row>
    <row r="41" spans="2:25" x14ac:dyDescent="0.25">
      <c r="B41" s="1" t="s">
        <v>42</v>
      </c>
      <c r="C41" s="7">
        <f>(0.5+C2/100)%</f>
        <v>1.01E-2</v>
      </c>
      <c r="E41" s="1" t="s">
        <v>210</v>
      </c>
      <c r="F41" s="19" t="s">
        <v>214</v>
      </c>
      <c r="G41" t="s">
        <v>89</v>
      </c>
      <c r="I41" s="27" t="s">
        <v>242</v>
      </c>
      <c r="J41" s="19">
        <f>1.1*$F$2/(SQRT(3)*J40)</f>
        <v>19.983370672678053</v>
      </c>
      <c r="K41" s="19">
        <f>1.1*$F$2/(SQRT(3)*K40)</f>
        <v>19.984800166387767</v>
      </c>
      <c r="M41" t="s">
        <v>240</v>
      </c>
      <c r="O41" s="30">
        <f>K34</f>
        <v>0.35179692412097691</v>
      </c>
      <c r="P41">
        <v>0.35179692412097691</v>
      </c>
      <c r="Q41">
        <v>0.35179692412097691</v>
      </c>
      <c r="S41" t="s">
        <v>310</v>
      </c>
    </row>
    <row r="42" spans="2:25" x14ac:dyDescent="0.25">
      <c r="B42" s="1" t="s">
        <v>43</v>
      </c>
      <c r="E42" s="1" t="s">
        <v>211</v>
      </c>
      <c r="F42" s="19" t="str">
        <f>F40</f>
        <v>1,03429228092172+18,572322676635j</v>
      </c>
      <c r="G42" t="s">
        <v>89</v>
      </c>
      <c r="M42" t="s">
        <v>271</v>
      </c>
      <c r="O42">
        <f>K31/K32</f>
        <v>0.40971212039581201</v>
      </c>
      <c r="P42">
        <v>0.40971212039581201</v>
      </c>
      <c r="Q42">
        <v>0.40971212039581201</v>
      </c>
      <c r="S42" s="1" t="s">
        <v>311</v>
      </c>
      <c r="T42" s="1">
        <v>1</v>
      </c>
      <c r="U42" s="1">
        <v>2</v>
      </c>
      <c r="V42" s="1">
        <v>3</v>
      </c>
      <c r="W42" s="1">
        <v>4</v>
      </c>
      <c r="X42" s="1">
        <v>5</v>
      </c>
      <c r="Y42" s="1">
        <v>6</v>
      </c>
    </row>
    <row r="43" spans="2:25" x14ac:dyDescent="0.25">
      <c r="B43" s="1" t="s">
        <v>197</v>
      </c>
      <c r="C43" s="7">
        <v>5</v>
      </c>
      <c r="E43" s="1" t="s">
        <v>212</v>
      </c>
      <c r="F43" s="19" t="s">
        <v>214</v>
      </c>
      <c r="G43" t="s">
        <v>89</v>
      </c>
      <c r="M43" t="s">
        <v>251</v>
      </c>
      <c r="O43">
        <f>1.02+0.98*EXP(-3*O42)</f>
        <v>1.3066942194947133</v>
      </c>
      <c r="P43">
        <v>1.3066942194947133</v>
      </c>
      <c r="Q43">
        <v>1.3066942194947133</v>
      </c>
      <c r="S43" s="1">
        <v>1</v>
      </c>
      <c r="T43" s="19" t="str">
        <f>IMSUM(W28,W22)</f>
        <v>0,326710159368709-22,3727252696587j</v>
      </c>
      <c r="U43" s="19">
        <v>0</v>
      </c>
      <c r="V43" s="19">
        <v>0</v>
      </c>
      <c r="W43" s="19">
        <v>0</v>
      </c>
      <c r="X43" s="19" t="str">
        <f>IMPRODUCT(Z22,W22)</f>
        <v>-0,326710159368708+5,86751224320785j</v>
      </c>
      <c r="Y43" s="19">
        <v>0</v>
      </c>
    </row>
    <row r="44" spans="2:25" x14ac:dyDescent="0.25">
      <c r="E44" s="1" t="s">
        <v>213</v>
      </c>
      <c r="F44" s="19" t="str">
        <f>IMDIV((IMPRODUCT(COMPLEX(0,F34),IMDIV(COMPLEX(F36,F37),(COMPLEX(2,0))))),IMSUM(COMPLEX(0,F34),IMDIV(COMPLEX(F36,F37),(COMPLEX(2,0)))))</f>
        <v>0,85825913597436+16,9226505281459i</v>
      </c>
      <c r="G44" t="s">
        <v>89</v>
      </c>
      <c r="M44" t="s">
        <v>272</v>
      </c>
      <c r="O44">
        <f>O43*SQRT(2)*O41</f>
        <v>0.65010125686183462</v>
      </c>
      <c r="P44">
        <v>0.65010125686183462</v>
      </c>
      <c r="Q44">
        <v>0.65010125686183462</v>
      </c>
      <c r="S44" s="1">
        <v>2</v>
      </c>
      <c r="T44" s="19">
        <v>0</v>
      </c>
      <c r="U44" s="19" t="str">
        <f>IMSUM(W23,W21)</f>
        <v>0,122159018009857-0,224809840149103j</v>
      </c>
      <c r="V44" s="19" t="str">
        <f>IMPRODUCT(Y22,W21)</f>
        <v>-0,122158471522254+0,2248092936615j</v>
      </c>
      <c r="W44" s="19">
        <v>0</v>
      </c>
      <c r="X44" s="19" t="str">
        <f>IMPRODUCT(Z22,W23)</f>
        <v>-5,46487603305785E-07+5,46487603305785E-07j</v>
      </c>
      <c r="Y44" s="19">
        <v>0</v>
      </c>
    </row>
    <row r="45" spans="2:25" x14ac:dyDescent="0.25">
      <c r="M45" t="s">
        <v>273</v>
      </c>
      <c r="O45">
        <f>F64/(SQRT(3)*F2)</f>
        <v>9.839527260171517E-2</v>
      </c>
      <c r="P45">
        <v>9.839527260171517E-2</v>
      </c>
      <c r="Q45">
        <v>9.839527260171517E-2</v>
      </c>
      <c r="S45" s="1">
        <v>3</v>
      </c>
      <c r="T45" s="19">
        <v>0</v>
      </c>
      <c r="U45" s="19" t="str">
        <f>V44</f>
        <v>-0,122158471522254+0,2248092936615j</v>
      </c>
      <c r="V45" s="19" t="str">
        <f>IMSUM(W21,W25)</f>
        <v>0,122158476522254-0,2248092986615j</v>
      </c>
      <c r="W45" s="19">
        <v>0</v>
      </c>
      <c r="X45" s="19">
        <v>0</v>
      </c>
      <c r="Y45" s="19" t="str">
        <f>IMPRODUCT($Z$22,W25)</f>
        <v>-0,000000005+0,000000005j</v>
      </c>
    </row>
    <row r="46" spans="2:25" x14ac:dyDescent="0.25">
      <c r="M46" t="s">
        <v>274</v>
      </c>
      <c r="O46">
        <f>O41/O45</f>
        <v>3.5753437621437576</v>
      </c>
      <c r="P46">
        <v>3.5753437621437576</v>
      </c>
      <c r="Q46">
        <v>3.5753437621437576</v>
      </c>
      <c r="S46" s="1">
        <v>4</v>
      </c>
      <c r="T46" s="19">
        <v>0</v>
      </c>
      <c r="U46" s="19">
        <v>0</v>
      </c>
      <c r="V46" s="19">
        <v>0</v>
      </c>
      <c r="W46" s="19" t="str">
        <f>W26</f>
        <v>0,0549898825804272-0,59698166644503j</v>
      </c>
      <c r="X46" s="19">
        <v>0</v>
      </c>
      <c r="Y46" s="19" t="str">
        <f>IMPRODUCT($Z$22,W26)</f>
        <v>-0,0549898825804272+0,59698166644503j</v>
      </c>
    </row>
    <row r="47" spans="2:25" ht="20.25" thickBot="1" x14ac:dyDescent="0.35">
      <c r="B47" s="9" t="s">
        <v>147</v>
      </c>
      <c r="E47" s="9" t="s">
        <v>222</v>
      </c>
      <c r="M47" t="s">
        <v>269</v>
      </c>
      <c r="O47">
        <f>0.56+0.94*EXP(-0.38*O46)</f>
        <v>0.80159173249010451</v>
      </c>
      <c r="P47">
        <v>0.80159173249010451</v>
      </c>
      <c r="Q47">
        <v>0.80159173249010451</v>
      </c>
      <c r="S47" s="1">
        <v>5</v>
      </c>
      <c r="T47" s="19" t="str">
        <f>X43</f>
        <v>-0,326710159368708+5,86751224320785j</v>
      </c>
      <c r="U47" s="19" t="str">
        <f>X44</f>
        <v>-5,46487603305785E-07+5,46487603305785E-07j</v>
      </c>
      <c r="V47" s="19">
        <v>0</v>
      </c>
      <c r="W47" s="19">
        <v>0</v>
      </c>
      <c r="X47" s="19" t="str">
        <f>IMSUM(W22,W23,W24)</f>
        <v>0,653548750888302-12,3105976340871j</v>
      </c>
      <c r="Y47" s="19">
        <v>0</v>
      </c>
    </row>
    <row r="48" spans="2:25" ht="15.75" thickTop="1" x14ac:dyDescent="0.25">
      <c r="B48" s="1" t="s">
        <v>45</v>
      </c>
      <c r="C48" s="7">
        <v>2000</v>
      </c>
      <c r="D48" t="s">
        <v>46</v>
      </c>
      <c r="E48" t="s">
        <v>216</v>
      </c>
      <c r="F48">
        <f>(C53/1000)*C49^2/(C48/1000)/(C48/1000)</f>
        <v>0.31724437499999997</v>
      </c>
      <c r="M48" t="s">
        <v>256</v>
      </c>
      <c r="O48">
        <f>C64/C63</f>
        <v>0.1255</v>
      </c>
      <c r="P48">
        <v>0.1255</v>
      </c>
      <c r="Q48">
        <v>0.1255</v>
      </c>
      <c r="S48" s="1">
        <v>6</v>
      </c>
      <c r="T48" s="19">
        <v>0</v>
      </c>
      <c r="U48" s="19">
        <v>0</v>
      </c>
      <c r="V48" s="19">
        <v>0</v>
      </c>
      <c r="W48" s="19">
        <v>0</v>
      </c>
      <c r="X48" s="19">
        <v>0</v>
      </c>
      <c r="Y48" s="19" t="str">
        <f>IMSUM(W25,W26,W27)</f>
        <v>0,103943730969743-1,1953865317268j</v>
      </c>
    </row>
    <row r="49" spans="2:17" x14ac:dyDescent="0.25">
      <c r="B49" s="1" t="s">
        <v>31</v>
      </c>
      <c r="C49" s="7">
        <v>10.5</v>
      </c>
      <c r="D49" t="s">
        <v>46</v>
      </c>
      <c r="E49" t="s">
        <v>217</v>
      </c>
      <c r="F49">
        <f>C52*C49^2/(C48/1000)</f>
        <v>3.5886374999999995</v>
      </c>
      <c r="M49" t="s">
        <v>278</v>
      </c>
      <c r="O49">
        <f>0.26+0.1*LN(O48)</f>
        <v>5.2455047958970158E-2</v>
      </c>
      <c r="P49">
        <v>5.2455047958970158E-2</v>
      </c>
      <c r="Q49">
        <v>5.2455047958970158E-2</v>
      </c>
    </row>
    <row r="50" spans="2:17" x14ac:dyDescent="0.25">
      <c r="B50" s="1" t="s">
        <v>37</v>
      </c>
      <c r="C50" s="7">
        <v>525</v>
      </c>
      <c r="D50" t="s">
        <v>47</v>
      </c>
      <c r="E50" t="s">
        <v>218</v>
      </c>
      <c r="F50">
        <f>C57*F49</f>
        <v>21.531824999999998</v>
      </c>
      <c r="M50" t="s">
        <v>279</v>
      </c>
      <c r="O50">
        <f>O47*O49</f>
        <v>4.2047532771282412E-2</v>
      </c>
      <c r="P50">
        <v>4.2047532771282412E-2</v>
      </c>
      <c r="Q50">
        <v>4.2047532771282412E-2</v>
      </c>
    </row>
    <row r="51" spans="2:17" x14ac:dyDescent="0.25">
      <c r="B51" s="1" t="s">
        <v>48</v>
      </c>
      <c r="E51" t="s">
        <v>219</v>
      </c>
      <c r="F51">
        <f>0.95*1.1/(1+0.6*C52)</f>
        <v>1.0057167054838025</v>
      </c>
      <c r="M51" t="s">
        <v>275</v>
      </c>
      <c r="O51">
        <f>O50*O41</f>
        <v>1.4792192695813128E-2</v>
      </c>
      <c r="P51">
        <v>1.4792192695813128E-2</v>
      </c>
      <c r="Q51">
        <v>1.4792192695813128E-2</v>
      </c>
    </row>
    <row r="52" spans="2:17" x14ac:dyDescent="0.25">
      <c r="B52" s="1" t="s">
        <v>38</v>
      </c>
      <c r="C52" s="25">
        <f>(6+C2/100)%</f>
        <v>6.5099999999999991E-2</v>
      </c>
      <c r="D52" t="s">
        <v>15</v>
      </c>
      <c r="E52" t="s">
        <v>220</v>
      </c>
      <c r="F52">
        <f>F51*F48</f>
        <v>0.31905796765826799</v>
      </c>
      <c r="M52" t="s">
        <v>276</v>
      </c>
      <c r="O52">
        <f>SQRT(2)*O41*EXP((-2*50*PI()*O42*$O$5))</f>
        <v>2.1714302205891586E-23</v>
      </c>
      <c r="P52">
        <v>1.9088435771138143E-14</v>
      </c>
      <c r="Q52">
        <v>4.3130005614326905E-11</v>
      </c>
    </row>
    <row r="53" spans="2:17" x14ac:dyDescent="0.25">
      <c r="B53" s="1" t="s">
        <v>39</v>
      </c>
      <c r="C53" s="7">
        <f>(11+C2/100)</f>
        <v>11.51</v>
      </c>
      <c r="D53" t="s">
        <v>40</v>
      </c>
      <c r="E53" t="s">
        <v>221</v>
      </c>
      <c r="F53">
        <f>F51*F49</f>
        <v>3.6091526836756289</v>
      </c>
      <c r="M53" t="s">
        <v>255</v>
      </c>
      <c r="O53">
        <f>SQRT(O51^2+(O52/SQRT(2))^2)</f>
        <v>1.4792192695813128E-2</v>
      </c>
      <c r="P53">
        <v>1.4792192695813128E-2</v>
      </c>
      <c r="Q53">
        <v>1.4792192695813128E-2</v>
      </c>
    </row>
    <row r="54" spans="2:17" x14ac:dyDescent="0.25">
      <c r="B54" s="1" t="s">
        <v>41</v>
      </c>
      <c r="C54" s="7">
        <f>(2.1+C2/100)</f>
        <v>2.6100000000000003</v>
      </c>
      <c r="D54" t="s">
        <v>40</v>
      </c>
      <c r="E54" s="1" t="s">
        <v>207</v>
      </c>
      <c r="F54" s="19" t="str">
        <f>COMPLEX(F52,F53,"j")</f>
        <v>0,319057967658268+3,60915268367563j</v>
      </c>
      <c r="G54" t="s">
        <v>89</v>
      </c>
      <c r="M54" t="s">
        <v>256</v>
      </c>
      <c r="O54">
        <f>(EXP(4*50*$O$5*LN(O43-1))-1)/(2*50*$O$5*LN(O43-1))</f>
        <v>2.1152309178066975E-2</v>
      </c>
      <c r="P54">
        <v>3.5253848630111627E-2</v>
      </c>
      <c r="Q54">
        <v>4.7005131506815498E-2</v>
      </c>
    </row>
    <row r="55" spans="2:17" x14ac:dyDescent="0.25">
      <c r="B55" s="1" t="s">
        <v>42</v>
      </c>
      <c r="C55" s="26">
        <f>(1+C2/100)%</f>
        <v>1.5100000000000001E-2</v>
      </c>
      <c r="D55" t="s">
        <v>15</v>
      </c>
      <c r="E55" s="1" t="s">
        <v>208</v>
      </c>
      <c r="F55" s="19" t="str">
        <f>IMDIV(F54,COMPLEX(2,0))</f>
        <v>0,159528983829134+1,80457634183781j</v>
      </c>
      <c r="G55" t="s">
        <v>89</v>
      </c>
      <c r="M55" t="s">
        <v>257</v>
      </c>
      <c r="O55">
        <v>1</v>
      </c>
      <c r="P55">
        <v>1</v>
      </c>
      <c r="Q55">
        <v>1</v>
      </c>
    </row>
    <row r="56" spans="2:17" x14ac:dyDescent="0.25">
      <c r="B56" s="1" t="s">
        <v>49</v>
      </c>
      <c r="C56" s="7"/>
      <c r="E56" s="1" t="s">
        <v>209</v>
      </c>
      <c r="F56" s="19" t="str">
        <f>F55</f>
        <v>0,159528983829134+1,80457634183781j</v>
      </c>
      <c r="G56" t="s">
        <v>89</v>
      </c>
      <c r="M56" t="s">
        <v>277</v>
      </c>
      <c r="O56">
        <f>O41*SQRT(O54+O55)</f>
        <v>0.35549811302024648</v>
      </c>
      <c r="P56">
        <v>0.35794431138694327</v>
      </c>
      <c r="Q56">
        <v>0.35997011190565603</v>
      </c>
    </row>
    <row r="57" spans="2:17" x14ac:dyDescent="0.25">
      <c r="B57" s="1" t="s">
        <v>215</v>
      </c>
      <c r="C57" s="7">
        <v>6</v>
      </c>
      <c r="E57" s="1" t="s">
        <v>210</v>
      </c>
      <c r="F57" s="19" t="s">
        <v>214</v>
      </c>
      <c r="G57" t="s">
        <v>89</v>
      </c>
    </row>
    <row r="58" spans="2:17" x14ac:dyDescent="0.25">
      <c r="B58" s="1"/>
      <c r="E58" s="1" t="s">
        <v>211</v>
      </c>
      <c r="F58" s="19" t="s">
        <v>214</v>
      </c>
      <c r="G58" t="s">
        <v>89</v>
      </c>
    </row>
    <row r="59" spans="2:17" x14ac:dyDescent="0.25">
      <c r="E59" s="1" t="s">
        <v>212</v>
      </c>
      <c r="F59" s="19" t="str">
        <f>F56</f>
        <v>0,159528983829134+1,80457634183781j</v>
      </c>
      <c r="G59" t="s">
        <v>89</v>
      </c>
    </row>
    <row r="60" spans="2:17" x14ac:dyDescent="0.25">
      <c r="E60" s="1" t="s">
        <v>213</v>
      </c>
      <c r="F60" s="19" t="str">
        <f>IMDIV((IMPRODUCT(COMPLEX(0,F50),IMDIV(COMPLEX(F52,F53),(COMPLEX(2,0))))),IMSUM(COMPLEX(0,F50),IMDIV(COMPLEX(F52,F53),(COMPLEX(2,0)))))</f>
        <v>0,135804204652974+1,66595895094844i</v>
      </c>
      <c r="G60" t="s">
        <v>89</v>
      </c>
    </row>
    <row r="62" spans="2:17" ht="20.25" thickBot="1" x14ac:dyDescent="0.35">
      <c r="B62" s="9" t="s">
        <v>50</v>
      </c>
      <c r="E62" s="9" t="s">
        <v>222</v>
      </c>
    </row>
    <row r="63" spans="2:17" ht="15.75" thickTop="1" x14ac:dyDescent="0.25">
      <c r="B63" s="1" t="s">
        <v>153</v>
      </c>
      <c r="C63" s="6">
        <v>2</v>
      </c>
      <c r="E63" s="1" t="s">
        <v>52</v>
      </c>
      <c r="F63" s="19">
        <f>6*C64</f>
        <v>1.506</v>
      </c>
    </row>
    <row r="64" spans="2:17" x14ac:dyDescent="0.25">
      <c r="B64" s="1" t="s">
        <v>52</v>
      </c>
      <c r="C64" s="7">
        <f>(0.2+C2/1000)</f>
        <v>0.251</v>
      </c>
      <c r="D64" t="s">
        <v>24</v>
      </c>
      <c r="E64" s="1" t="s">
        <v>187</v>
      </c>
      <c r="F64" s="19">
        <f>F63/(C67*C66)</f>
        <v>1.7042561137076058</v>
      </c>
    </row>
    <row r="65" spans="2:6" x14ac:dyDescent="0.25">
      <c r="B65" s="1" t="s">
        <v>53</v>
      </c>
      <c r="C65" s="7">
        <v>0.5</v>
      </c>
      <c r="D65" t="s">
        <v>9</v>
      </c>
      <c r="E65" s="1" t="s">
        <v>188</v>
      </c>
      <c r="F65" s="19">
        <f>C65^2/(C68*F64)</f>
        <v>3.2525846355892028E-2</v>
      </c>
    </row>
    <row r="66" spans="2:6" x14ac:dyDescent="0.25">
      <c r="B66" s="1" t="s">
        <v>10</v>
      </c>
      <c r="C66" s="7">
        <f>(0.86+C2/1000)</f>
        <v>0.91100000000000003</v>
      </c>
      <c r="D66" t="s">
        <v>16</v>
      </c>
      <c r="E66" s="1" t="s">
        <v>189</v>
      </c>
      <c r="F66" s="19">
        <f>0.922*F65</f>
        <v>2.9988830340132451E-2</v>
      </c>
    </row>
    <row r="67" spans="2:6" x14ac:dyDescent="0.25">
      <c r="B67" s="1" t="s">
        <v>54</v>
      </c>
      <c r="C67" s="7">
        <v>0.97</v>
      </c>
      <c r="E67" s="1" t="s">
        <v>190</v>
      </c>
      <c r="F67" s="19">
        <f>0.42*F66</f>
        <v>1.2595308742855629E-2</v>
      </c>
    </row>
    <row r="68" spans="2:6" x14ac:dyDescent="0.25">
      <c r="B68" s="1" t="s">
        <v>55</v>
      </c>
      <c r="C68" s="7">
        <f>4+C2/100</f>
        <v>4.51</v>
      </c>
      <c r="E68" s="1" t="s">
        <v>179</v>
      </c>
      <c r="F68" s="19">
        <f>C49/(C50/1000)</f>
        <v>20</v>
      </c>
    </row>
    <row r="70" spans="2:6" ht="20.25" thickBot="1" x14ac:dyDescent="0.35">
      <c r="B70" s="9" t="s">
        <v>56</v>
      </c>
      <c r="E70" s="9" t="s">
        <v>222</v>
      </c>
    </row>
    <row r="71" spans="2:6" ht="15.75" thickTop="1" x14ac:dyDescent="0.25">
      <c r="B71" s="1" t="s">
        <v>57</v>
      </c>
      <c r="C71" s="7">
        <v>0.44</v>
      </c>
      <c r="D71" t="s">
        <v>58</v>
      </c>
      <c r="E71" s="17" t="s">
        <v>71</v>
      </c>
      <c r="F71" s="19">
        <f>C76/C71</f>
        <v>1.3409090909090908</v>
      </c>
    </row>
    <row r="72" spans="2:6" x14ac:dyDescent="0.25">
      <c r="B72" s="1" t="s">
        <v>69</v>
      </c>
      <c r="C72" s="7">
        <v>0.37</v>
      </c>
      <c r="D72" t="s">
        <v>58</v>
      </c>
      <c r="E72" s="17" t="s">
        <v>85</v>
      </c>
      <c r="F72" s="19">
        <f>C71*C75</f>
        <v>1.1043999999999998</v>
      </c>
    </row>
    <row r="73" spans="2:6" x14ac:dyDescent="0.25">
      <c r="B73" s="1" t="s">
        <v>59</v>
      </c>
      <c r="C73" s="7">
        <v>3.2</v>
      </c>
      <c r="D73" t="s">
        <v>60</v>
      </c>
      <c r="E73" s="17" t="s">
        <v>86</v>
      </c>
      <c r="F73" s="19">
        <f>C72*C75</f>
        <v>0.92869999999999986</v>
      </c>
    </row>
    <row r="74" spans="2:6" x14ac:dyDescent="0.25">
      <c r="B74" s="1" t="s">
        <v>61</v>
      </c>
      <c r="C74" s="7">
        <v>290</v>
      </c>
      <c r="D74" t="s">
        <v>62</v>
      </c>
      <c r="E74" s="17" t="s">
        <v>191</v>
      </c>
      <c r="F74" s="19">
        <f>F72*F71</f>
        <v>1.4808999999999997</v>
      </c>
    </row>
    <row r="75" spans="2:6" x14ac:dyDescent="0.25">
      <c r="B75" s="1" t="s">
        <v>65</v>
      </c>
      <c r="C75" s="7">
        <f>(2+C2/100)</f>
        <v>2.5099999999999998</v>
      </c>
      <c r="D75" t="s">
        <v>63</v>
      </c>
      <c r="E75" s="17" t="s">
        <v>192</v>
      </c>
      <c r="F75" s="19">
        <f>F73*C77</f>
        <v>3.2504499999999994</v>
      </c>
    </row>
    <row r="76" spans="2:6" x14ac:dyDescent="0.25">
      <c r="B76" s="1" t="s">
        <v>64</v>
      </c>
      <c r="C76" s="7">
        <f>C71+0.15</f>
        <v>0.59</v>
      </c>
      <c r="D76" t="s">
        <v>66</v>
      </c>
      <c r="E76" s="17" t="s">
        <v>179</v>
      </c>
      <c r="F76" s="19">
        <v>1</v>
      </c>
    </row>
    <row r="77" spans="2:6" x14ac:dyDescent="0.25">
      <c r="B77" s="1" t="s">
        <v>67</v>
      </c>
      <c r="C77" s="7">
        <v>3.5</v>
      </c>
      <c r="D77" t="s">
        <v>16</v>
      </c>
    </row>
    <row r="79" spans="2:6" ht="20.25" thickBot="1" x14ac:dyDescent="0.35">
      <c r="B79" s="9" t="s">
        <v>68</v>
      </c>
      <c r="E79" s="9" t="s">
        <v>222</v>
      </c>
    </row>
    <row r="80" spans="2:6" ht="15.75" thickTop="1" x14ac:dyDescent="0.25">
      <c r="B80" s="1" t="s">
        <v>57</v>
      </c>
      <c r="C80" s="7">
        <v>0.255</v>
      </c>
      <c r="D80" t="s">
        <v>66</v>
      </c>
      <c r="E80" s="1" t="s">
        <v>193</v>
      </c>
      <c r="F80" s="19">
        <f>C80*C84</f>
        <v>0.38505</v>
      </c>
    </row>
    <row r="81" spans="2:18" x14ac:dyDescent="0.25">
      <c r="B81" s="1" t="s">
        <v>69</v>
      </c>
      <c r="C81" s="7">
        <v>0.122</v>
      </c>
      <c r="D81" t="s">
        <v>66</v>
      </c>
      <c r="E81" s="1" t="s">
        <v>194</v>
      </c>
      <c r="F81" s="19">
        <f>C81*C84</f>
        <v>0.18421999999999999</v>
      </c>
    </row>
    <row r="82" spans="2:18" x14ac:dyDescent="0.25">
      <c r="B82" s="1" t="s">
        <v>59</v>
      </c>
      <c r="C82" s="7">
        <v>72</v>
      </c>
      <c r="D82" t="s">
        <v>60</v>
      </c>
      <c r="E82" s="1" t="s">
        <v>195</v>
      </c>
      <c r="F82" s="19">
        <f>C85*F80</f>
        <v>0.38505</v>
      </c>
      <c r="Q82" s="1"/>
      <c r="R82" s="3"/>
    </row>
    <row r="83" spans="2:18" x14ac:dyDescent="0.25">
      <c r="B83" s="1" t="s">
        <v>61</v>
      </c>
      <c r="C83" s="7">
        <v>262</v>
      </c>
      <c r="D83" t="s">
        <v>62</v>
      </c>
      <c r="E83" s="1" t="s">
        <v>196</v>
      </c>
      <c r="F83" s="19">
        <f>C86*F81</f>
        <v>0.18421999999999999</v>
      </c>
      <c r="Q83" s="1"/>
    </row>
    <row r="84" spans="2:18" x14ac:dyDescent="0.25">
      <c r="B84" s="1" t="s">
        <v>70</v>
      </c>
      <c r="C84" s="7">
        <f>(1+C2/100)</f>
        <v>1.51</v>
      </c>
      <c r="D84" t="s">
        <v>63</v>
      </c>
      <c r="E84" s="17" t="s">
        <v>179</v>
      </c>
      <c r="F84" s="19">
        <v>1</v>
      </c>
      <c r="Q84" s="1"/>
    </row>
    <row r="85" spans="2:18" x14ac:dyDescent="0.25">
      <c r="B85" s="1" t="s">
        <v>71</v>
      </c>
      <c r="C85" s="7">
        <v>1</v>
      </c>
      <c r="Q85" s="1"/>
    </row>
    <row r="86" spans="2:18" x14ac:dyDescent="0.25">
      <c r="B86" s="1" t="s">
        <v>67</v>
      </c>
      <c r="C86" s="7">
        <v>1</v>
      </c>
    </row>
    <row r="87" spans="2:18" x14ac:dyDescent="0.25">
      <c r="B87" s="1" t="s">
        <v>72</v>
      </c>
    </row>
    <row r="89" spans="2:18" ht="20.25" thickBot="1" x14ac:dyDescent="0.35">
      <c r="B89" s="9" t="s">
        <v>73</v>
      </c>
      <c r="C89"/>
    </row>
    <row r="90" spans="2:18" ht="18.75" thickTop="1" thickBot="1" x14ac:dyDescent="0.35">
      <c r="B90" s="10" t="s">
        <v>151</v>
      </c>
      <c r="C90" s="10" t="s">
        <v>148</v>
      </c>
      <c r="D90" s="10" t="s">
        <v>149</v>
      </c>
      <c r="E90" s="10" t="s">
        <v>150</v>
      </c>
      <c r="F90" s="10"/>
    </row>
    <row r="91" spans="2:18" ht="15.75" thickTop="1" x14ac:dyDescent="0.25">
      <c r="B91" s="1" t="s">
        <v>74</v>
      </c>
      <c r="C91" s="4">
        <f>(C39/1000)/C30</f>
        <v>6.4000000000000003E-3</v>
      </c>
      <c r="D91" s="18">
        <f>C91</f>
        <v>6.4000000000000003E-3</v>
      </c>
      <c r="E91" s="22">
        <f>C91</f>
        <v>6.4000000000000003E-3</v>
      </c>
      <c r="F91" t="s">
        <v>80</v>
      </c>
    </row>
    <row r="92" spans="2:18" x14ac:dyDescent="0.25">
      <c r="B92" s="1" t="s">
        <v>75</v>
      </c>
      <c r="C92" s="18">
        <f>SQRT(C38^2-C91^2)</f>
        <v>0.11492193002208063</v>
      </c>
      <c r="D92" s="18">
        <f>C92</f>
        <v>0.11492193002208063</v>
      </c>
      <c r="E92" s="22">
        <f>C92</f>
        <v>0.11492193002208063</v>
      </c>
      <c r="F92" t="s">
        <v>80</v>
      </c>
    </row>
    <row r="93" spans="2:18" x14ac:dyDescent="0.25">
      <c r="B93" s="1" t="s">
        <v>76</v>
      </c>
      <c r="C93" s="18">
        <f>C91*C8^2/C30</f>
        <v>2.1160000000000001</v>
      </c>
      <c r="D93" s="18">
        <f>C93*($C$37/$C$8)^2</f>
        <v>1.9360000000000002E-2</v>
      </c>
      <c r="F93" t="s">
        <v>81</v>
      </c>
    </row>
    <row r="94" spans="2:18" x14ac:dyDescent="0.25">
      <c r="B94" s="1" t="s">
        <v>77</v>
      </c>
      <c r="C94" s="18">
        <f>C92*C8^2/C30</f>
        <v>37.996063113550413</v>
      </c>
      <c r="D94" s="18">
        <f>C94*($C$37/$C$8)^2</f>
        <v>0.34763883831679393</v>
      </c>
      <c r="F94" t="s">
        <v>81</v>
      </c>
    </row>
    <row r="95" spans="2:18" x14ac:dyDescent="0.25">
      <c r="B95" s="1" t="s">
        <v>78</v>
      </c>
      <c r="C95" s="18">
        <f>C40/C8^2*1000</f>
        <v>2.8809073724007561</v>
      </c>
      <c r="D95" s="18">
        <f>C95*($C$8/$C$37)^2</f>
        <v>314.87603305785126</v>
      </c>
      <c r="F95" t="s">
        <v>82</v>
      </c>
    </row>
    <row r="96" spans="2:18" x14ac:dyDescent="0.25">
      <c r="B96" s="1" t="s">
        <v>79</v>
      </c>
      <c r="C96" s="18">
        <f>-C41*C30/C8^2*1000000</f>
        <v>-30.548204158790167</v>
      </c>
      <c r="D96" s="18">
        <f>C96*($C$8/$C$37)^2</f>
        <v>-3338.8429752066118</v>
      </c>
      <c r="F96" t="s">
        <v>82</v>
      </c>
    </row>
    <row r="97" spans="2:6" x14ac:dyDescent="0.25">
      <c r="B97" s="1" t="s">
        <v>153</v>
      </c>
      <c r="C97" s="18">
        <f>0.16</f>
        <v>0.16</v>
      </c>
      <c r="D97" s="18"/>
    </row>
    <row r="98" spans="2:6" x14ac:dyDescent="0.25">
      <c r="B98" s="1" t="s">
        <v>154</v>
      </c>
      <c r="C98" s="18">
        <f>12</f>
        <v>12</v>
      </c>
      <c r="D98" s="18"/>
    </row>
    <row r="99" spans="2:6" x14ac:dyDescent="0.25">
      <c r="B99" s="1" t="s">
        <v>155</v>
      </c>
      <c r="C99" s="18">
        <f>C35</f>
        <v>25</v>
      </c>
      <c r="D99" s="18"/>
    </row>
    <row r="100" spans="2:6" x14ac:dyDescent="0.25">
      <c r="B100" s="1" t="s">
        <v>156</v>
      </c>
      <c r="C100" s="18">
        <v>11</v>
      </c>
      <c r="D100" s="18"/>
    </row>
    <row r="101" spans="2:6" x14ac:dyDescent="0.25">
      <c r="B101" s="1" t="s">
        <v>159</v>
      </c>
      <c r="C101" s="18">
        <f>C8/C37</f>
        <v>10.454545454545455</v>
      </c>
      <c r="D101" s="18"/>
    </row>
    <row r="102" spans="2:6" x14ac:dyDescent="0.25">
      <c r="B102" s="1" t="s">
        <v>157</v>
      </c>
      <c r="C102" s="18">
        <f>C101/C100</f>
        <v>0.95041322314049592</v>
      </c>
      <c r="D102" s="18"/>
    </row>
    <row r="103" spans="2:6" x14ac:dyDescent="0.25">
      <c r="B103" s="1" t="s">
        <v>158</v>
      </c>
      <c r="C103" s="18">
        <f>C97/C98</f>
        <v>1.3333333333333334E-2</v>
      </c>
      <c r="D103" s="18"/>
    </row>
    <row r="104" spans="2:6" x14ac:dyDescent="0.25">
      <c r="B104" s="1" t="s">
        <v>130</v>
      </c>
      <c r="C104" s="18">
        <f>C102-C103*C98</f>
        <v>0.79041322314049589</v>
      </c>
      <c r="D104" s="18"/>
    </row>
    <row r="105" spans="2:6" x14ac:dyDescent="0.25">
      <c r="B105" s="1" t="s">
        <v>131</v>
      </c>
      <c r="C105" s="18">
        <f>C102+C103*C98</f>
        <v>1.110413223140496</v>
      </c>
      <c r="D105" s="18"/>
    </row>
    <row r="106" spans="2:6" ht="20.25" thickBot="1" x14ac:dyDescent="0.35">
      <c r="B106" s="9" t="s">
        <v>83</v>
      </c>
      <c r="C106"/>
    </row>
    <row r="107" spans="2:6" ht="18.75" thickTop="1" thickBot="1" x14ac:dyDescent="0.35">
      <c r="B107" s="10" t="s">
        <v>151</v>
      </c>
      <c r="C107" s="10" t="s">
        <v>148</v>
      </c>
      <c r="D107" s="10" t="s">
        <v>149</v>
      </c>
      <c r="E107" s="10" t="s">
        <v>150</v>
      </c>
      <c r="F107" s="10"/>
    </row>
    <row r="108" spans="2:6" ht="15.75" thickTop="1" x14ac:dyDescent="0.25">
      <c r="B108" s="1" t="s">
        <v>74</v>
      </c>
      <c r="C108"/>
      <c r="D108" s="3">
        <f>C53/C48</f>
        <v>5.7549999999999997E-3</v>
      </c>
      <c r="F108" t="s">
        <v>80</v>
      </c>
    </row>
    <row r="109" spans="2:6" x14ac:dyDescent="0.25">
      <c r="B109" s="1" t="s">
        <v>75</v>
      </c>
      <c r="C109"/>
      <c r="D109" s="3">
        <f>SQRT(C52^2-D108^2)</f>
        <v>6.4845122985464368E-2</v>
      </c>
      <c r="F109" t="s">
        <v>80</v>
      </c>
    </row>
    <row r="110" spans="2:6" x14ac:dyDescent="0.25">
      <c r="B110" s="1" t="s">
        <v>76</v>
      </c>
      <c r="C110"/>
      <c r="D110" s="3">
        <f>D108*C49^2/(C48/1000)</f>
        <v>0.31724437499999997</v>
      </c>
      <c r="F110" t="s">
        <v>81</v>
      </c>
    </row>
    <row r="111" spans="2:6" x14ac:dyDescent="0.25">
      <c r="B111" s="1" t="s">
        <v>77</v>
      </c>
      <c r="C111"/>
      <c r="D111" s="3">
        <f>D109*C49^2/(C48/1000)</f>
        <v>3.5745874045737231</v>
      </c>
      <c r="F111" t="s">
        <v>81</v>
      </c>
    </row>
    <row r="112" spans="2:6" x14ac:dyDescent="0.25">
      <c r="B112" s="1" t="s">
        <v>78</v>
      </c>
      <c r="C112"/>
      <c r="D112" s="3">
        <f>C54/C49^2*1000</f>
        <v>23.673469387755105</v>
      </c>
      <c r="F112" t="s">
        <v>82</v>
      </c>
    </row>
    <row r="113" spans="2:6" x14ac:dyDescent="0.25">
      <c r="B113" s="1" t="s">
        <v>79</v>
      </c>
      <c r="C113"/>
      <c r="D113" s="3">
        <f>-C55*C48/C49^2*1000</f>
        <v>-273.92290249433108</v>
      </c>
      <c r="F113" t="s">
        <v>82</v>
      </c>
    </row>
    <row r="114" spans="2:6" x14ac:dyDescent="0.25">
      <c r="B114" s="1" t="s">
        <v>156</v>
      </c>
      <c r="C114"/>
      <c r="D114" s="3">
        <f>10/0.525</f>
        <v>19.047619047619047</v>
      </c>
    </row>
    <row r="115" spans="2:6" x14ac:dyDescent="0.25">
      <c r="B115" s="1" t="s">
        <v>156</v>
      </c>
      <c r="C115"/>
      <c r="D115" s="3">
        <f>C49/(C50/1000)</f>
        <v>20</v>
      </c>
    </row>
    <row r="116" spans="2:6" x14ac:dyDescent="0.25">
      <c r="B116" s="1" t="s">
        <v>157</v>
      </c>
      <c r="C116"/>
      <c r="D116" s="3">
        <f>D115/D114</f>
        <v>1.05</v>
      </c>
    </row>
    <row r="117" spans="2:6" x14ac:dyDescent="0.25">
      <c r="B117" s="1" t="s">
        <v>130</v>
      </c>
      <c r="C117"/>
      <c r="D117" s="3">
        <f>D116</f>
        <v>1.05</v>
      </c>
    </row>
    <row r="118" spans="2:6" x14ac:dyDescent="0.25">
      <c r="B118" s="1" t="s">
        <v>131</v>
      </c>
      <c r="C118"/>
      <c r="D118" s="3">
        <f>D116</f>
        <v>1.05</v>
      </c>
    </row>
    <row r="119" spans="2:6" ht="20.25" thickBot="1" x14ac:dyDescent="0.35">
      <c r="B119" s="9" t="s">
        <v>84</v>
      </c>
      <c r="C119"/>
    </row>
    <row r="120" spans="2:6" ht="18.75" thickTop="1" thickBot="1" x14ac:dyDescent="0.35">
      <c r="B120" s="10" t="s">
        <v>151</v>
      </c>
      <c r="C120" s="10" t="s">
        <v>148</v>
      </c>
      <c r="D120" s="10" t="s">
        <v>149</v>
      </c>
      <c r="E120" s="10" t="s">
        <v>150</v>
      </c>
      <c r="F120" s="10"/>
    </row>
    <row r="121" spans="2:6" ht="15.75" thickTop="1" x14ac:dyDescent="0.25">
      <c r="B121" s="1" t="s">
        <v>85</v>
      </c>
      <c r="C121">
        <f>C71*C75</f>
        <v>1.1043999999999998</v>
      </c>
      <c r="F121" t="s">
        <v>89</v>
      </c>
    </row>
    <row r="122" spans="2:6" x14ac:dyDescent="0.25">
      <c r="B122" s="1" t="s">
        <v>86</v>
      </c>
      <c r="C122">
        <f>C75*C72</f>
        <v>0.92869999999999986</v>
      </c>
      <c r="F122" t="s">
        <v>89</v>
      </c>
    </row>
    <row r="123" spans="2:6" x14ac:dyDescent="0.25">
      <c r="B123" s="1" t="s">
        <v>88</v>
      </c>
      <c r="C123">
        <v>0</v>
      </c>
      <c r="F123" t="s">
        <v>82</v>
      </c>
    </row>
    <row r="124" spans="2:6" x14ac:dyDescent="0.25">
      <c r="B124" s="1" t="s">
        <v>87</v>
      </c>
      <c r="C124">
        <f>C73*C75</f>
        <v>8.032</v>
      </c>
      <c r="F124" t="s">
        <v>82</v>
      </c>
    </row>
    <row r="125" spans="2:6" ht="20.25" thickBot="1" x14ac:dyDescent="0.35">
      <c r="B125" s="9" t="s">
        <v>90</v>
      </c>
      <c r="C125"/>
    </row>
    <row r="126" spans="2:6" ht="18.75" thickTop="1" thickBot="1" x14ac:dyDescent="0.35">
      <c r="B126" s="10" t="s">
        <v>151</v>
      </c>
      <c r="C126" s="10" t="s">
        <v>148</v>
      </c>
      <c r="D126" s="10" t="s">
        <v>149</v>
      </c>
      <c r="E126" s="10" t="s">
        <v>150</v>
      </c>
      <c r="F126" s="10"/>
    </row>
    <row r="127" spans="2:6" ht="15.75" thickTop="1" x14ac:dyDescent="0.25">
      <c r="B127" s="1" t="s">
        <v>85</v>
      </c>
      <c r="C127">
        <f>C80*C84</f>
        <v>0.38505</v>
      </c>
      <c r="F127" t="s">
        <v>89</v>
      </c>
    </row>
    <row r="128" spans="2:6" x14ac:dyDescent="0.25">
      <c r="B128" s="1" t="s">
        <v>86</v>
      </c>
      <c r="C128">
        <f>C81*C84</f>
        <v>0.18421999999999999</v>
      </c>
      <c r="F128" t="s">
        <v>89</v>
      </c>
    </row>
    <row r="129" spans="2:6" x14ac:dyDescent="0.25">
      <c r="B129" s="1" t="s">
        <v>88</v>
      </c>
      <c r="C129">
        <v>0</v>
      </c>
      <c r="F129" t="s">
        <v>82</v>
      </c>
    </row>
    <row r="130" spans="2:6" x14ac:dyDescent="0.25">
      <c r="B130" s="1" t="s">
        <v>87</v>
      </c>
      <c r="C130">
        <f>C84*C82</f>
        <v>108.72</v>
      </c>
      <c r="F130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4FAF-7A94-40B7-BCA4-5D482706FB65}">
  <dimension ref="B2:Q109"/>
  <sheetViews>
    <sheetView topLeftCell="A34" zoomScale="70" zoomScaleNormal="70" workbookViewId="0">
      <selection activeCell="B1" sqref="B1:C1048576"/>
    </sheetView>
  </sheetViews>
  <sheetFormatPr defaultRowHeight="15" x14ac:dyDescent="0.25"/>
  <cols>
    <col min="2" max="2" width="27.5703125" customWidth="1"/>
    <col min="3" max="3" width="16.5703125" style="3" customWidth="1"/>
    <col min="5" max="7" width="9.28515625" bestFit="1" customWidth="1"/>
    <col min="8" max="8" width="10.7109375" bestFit="1" customWidth="1"/>
    <col min="9" max="12" width="9.28515625" bestFit="1" customWidth="1"/>
    <col min="13" max="13" width="11" bestFit="1" customWidth="1"/>
    <col min="14" max="14" width="14.7109375" bestFit="1" customWidth="1"/>
    <col min="15" max="15" width="9.28515625" bestFit="1" customWidth="1"/>
  </cols>
  <sheetData>
    <row r="2" spans="2:4" x14ac:dyDescent="0.25">
      <c r="B2" s="1" t="s">
        <v>0</v>
      </c>
      <c r="C2" s="6">
        <v>51</v>
      </c>
    </row>
    <row r="3" spans="2:4" x14ac:dyDescent="0.25">
      <c r="B3" s="1"/>
      <c r="C3" s="2"/>
    </row>
    <row r="4" spans="2:4" ht="20.25" thickBot="1" x14ac:dyDescent="0.35">
      <c r="B4" s="9" t="s">
        <v>1</v>
      </c>
    </row>
    <row r="5" spans="2:4" ht="15.75" thickTop="1" x14ac:dyDescent="0.25">
      <c r="B5" s="1" t="s">
        <v>2</v>
      </c>
      <c r="C5" s="7">
        <f>1500+10*$C$2</f>
        <v>2010</v>
      </c>
      <c r="D5" t="s">
        <v>3</v>
      </c>
    </row>
    <row r="6" spans="2:4" x14ac:dyDescent="0.25">
      <c r="B6" s="1" t="s">
        <v>4</v>
      </c>
      <c r="C6" s="7">
        <f>(1+C2/100)*C7</f>
        <v>9.9990547263681613</v>
      </c>
    </row>
    <row r="7" spans="2:4" x14ac:dyDescent="0.25">
      <c r="B7" s="1" t="s">
        <v>5</v>
      </c>
      <c r="C7" s="7">
        <f>1.1*110^2/C5</f>
        <v>6.6218905472636829</v>
      </c>
    </row>
    <row r="8" spans="2:4" x14ac:dyDescent="0.25">
      <c r="B8" s="17" t="s">
        <v>152</v>
      </c>
      <c r="C8" s="7">
        <v>115</v>
      </c>
      <c r="D8" t="s">
        <v>9</v>
      </c>
    </row>
    <row r="9" spans="2:4" ht="20.25" thickBot="1" x14ac:dyDescent="0.35">
      <c r="B9" s="9" t="s">
        <v>6</v>
      </c>
    </row>
    <row r="10" spans="2:4" ht="15.75" thickTop="1" x14ac:dyDescent="0.25">
      <c r="B10" s="1" t="s">
        <v>7</v>
      </c>
      <c r="C10" s="7">
        <f>(11+C2/100)</f>
        <v>11.51</v>
      </c>
      <c r="D10" t="s">
        <v>3</v>
      </c>
    </row>
    <row r="11" spans="2:4" x14ac:dyDescent="0.25">
      <c r="B11" s="1" t="s">
        <v>8</v>
      </c>
      <c r="C11" s="7">
        <v>10.5</v>
      </c>
      <c r="D11" t="s">
        <v>9</v>
      </c>
    </row>
    <row r="12" spans="2:4" x14ac:dyDescent="0.25">
      <c r="B12" s="1" t="s">
        <v>10</v>
      </c>
      <c r="C12" s="7">
        <v>0.8</v>
      </c>
      <c r="D12" t="s">
        <v>16</v>
      </c>
    </row>
    <row r="13" spans="2:4" x14ac:dyDescent="0.25">
      <c r="B13" s="1" t="s">
        <v>19</v>
      </c>
      <c r="C13" s="7">
        <f>SQRT(1-C12^2)</f>
        <v>0.59999999999999987</v>
      </c>
      <c r="D13" t="s">
        <v>16</v>
      </c>
    </row>
    <row r="14" spans="2:4" x14ac:dyDescent="0.25">
      <c r="B14" s="1" t="s">
        <v>11</v>
      </c>
      <c r="C14" s="7">
        <v>2.33</v>
      </c>
      <c r="D14" t="s">
        <v>15</v>
      </c>
    </row>
    <row r="15" spans="2:4" x14ac:dyDescent="0.25">
      <c r="B15" s="1" t="s">
        <v>12</v>
      </c>
      <c r="C15" s="7">
        <f>(24+C2/100)%</f>
        <v>0.24510000000000001</v>
      </c>
      <c r="D15" t="s">
        <v>15</v>
      </c>
    </row>
    <row r="16" spans="2:4" x14ac:dyDescent="0.25">
      <c r="B16" s="1" t="s">
        <v>13</v>
      </c>
      <c r="C16" s="7">
        <f>(8+C2/100)</f>
        <v>8.51</v>
      </c>
      <c r="D16" t="s">
        <v>14</v>
      </c>
    </row>
    <row r="17" spans="2:16" x14ac:dyDescent="0.25">
      <c r="B17" s="1" t="s">
        <v>17</v>
      </c>
    </row>
    <row r="18" spans="2:16" x14ac:dyDescent="0.25">
      <c r="B18" s="1" t="s">
        <v>18</v>
      </c>
      <c r="C18" s="7">
        <f>-C10*C13/10</f>
        <v>-0.69059999999999977</v>
      </c>
      <c r="D18" t="s">
        <v>21</v>
      </c>
    </row>
    <row r="19" spans="2:16" x14ac:dyDescent="0.25">
      <c r="B19" s="1" t="s">
        <v>20</v>
      </c>
      <c r="C19" s="7">
        <f>1.1*C10*C13</f>
        <v>7.5965999999999996</v>
      </c>
      <c r="D19" t="s">
        <v>21</v>
      </c>
    </row>
    <row r="21" spans="2:16" ht="18" thickBot="1" x14ac:dyDescent="0.35">
      <c r="B21" s="10" t="s">
        <v>22</v>
      </c>
    </row>
    <row r="22" spans="2:16" ht="15.75" thickTop="1" x14ac:dyDescent="0.25">
      <c r="B22" s="1" t="s">
        <v>23</v>
      </c>
      <c r="C22" s="7">
        <f>(0.5+C2/1000)</f>
        <v>0.55100000000000005</v>
      </c>
      <c r="D22" t="s">
        <v>24</v>
      </c>
    </row>
    <row r="23" spans="2:16" x14ac:dyDescent="0.25">
      <c r="B23" s="1" t="s">
        <v>25</v>
      </c>
      <c r="C23" s="7">
        <f>(0.2+C2/1000)</f>
        <v>0.251</v>
      </c>
      <c r="D23" t="s">
        <v>21</v>
      </c>
    </row>
    <row r="25" spans="2:16" ht="20.25" thickBot="1" x14ac:dyDescent="0.35">
      <c r="B25" s="9" t="s">
        <v>26</v>
      </c>
    </row>
    <row r="26" spans="2:16" ht="15.75" thickTop="1" x14ac:dyDescent="0.25">
      <c r="B26" s="1" t="s">
        <v>27</v>
      </c>
      <c r="C26" s="7">
        <v>-2</v>
      </c>
      <c r="D26" t="s">
        <v>21</v>
      </c>
      <c r="E26" t="s">
        <v>28</v>
      </c>
    </row>
    <row r="28" spans="2:16" ht="20.25" thickBot="1" x14ac:dyDescent="0.35">
      <c r="B28" s="9" t="s">
        <v>29</v>
      </c>
    </row>
    <row r="29" spans="2:16" ht="15.75" thickTop="1" x14ac:dyDescent="0.25">
      <c r="B29" s="1" t="s">
        <v>30</v>
      </c>
      <c r="C29" s="7">
        <v>40</v>
      </c>
      <c r="D29" t="s">
        <v>3</v>
      </c>
    </row>
    <row r="30" spans="2:16" x14ac:dyDescent="0.25">
      <c r="B30" s="1" t="s">
        <v>31</v>
      </c>
      <c r="C30" s="7" t="s">
        <v>32</v>
      </c>
      <c r="D30" t="s">
        <v>9</v>
      </c>
    </row>
    <row r="31" spans="2:16" ht="20.25" thickBot="1" x14ac:dyDescent="0.35">
      <c r="B31" s="1" t="s">
        <v>33</v>
      </c>
      <c r="C31" s="7">
        <f>1.16*115</f>
        <v>133.39999999999998</v>
      </c>
      <c r="D31" t="s">
        <v>9</v>
      </c>
      <c r="L31" s="9" t="s">
        <v>73</v>
      </c>
    </row>
    <row r="32" spans="2:16" ht="18.75" thickTop="1" thickBot="1" x14ac:dyDescent="0.35">
      <c r="B32" s="1" t="s">
        <v>34</v>
      </c>
      <c r="C32" s="7">
        <f>115*0.84</f>
        <v>96.6</v>
      </c>
      <c r="D32" t="s">
        <v>9</v>
      </c>
      <c r="L32" s="10" t="s">
        <v>151</v>
      </c>
      <c r="M32" s="10" t="s">
        <v>148</v>
      </c>
      <c r="N32" s="10" t="s">
        <v>149</v>
      </c>
      <c r="O32" s="10" t="s">
        <v>150</v>
      </c>
      <c r="P32" s="10"/>
    </row>
    <row r="33" spans="2:16" ht="15.75" thickTop="1" x14ac:dyDescent="0.25">
      <c r="B33" s="1" t="s">
        <v>35</v>
      </c>
      <c r="C33" s="7">
        <v>25</v>
      </c>
      <c r="L33" s="1" t="s">
        <v>74</v>
      </c>
      <c r="M33" s="4">
        <f>(C37/1000)/C29</f>
        <v>6.4000000000000003E-3</v>
      </c>
      <c r="N33" s="18">
        <f>M33</f>
        <v>6.4000000000000003E-3</v>
      </c>
      <c r="O33" s="22">
        <f>M33</f>
        <v>6.4000000000000003E-3</v>
      </c>
      <c r="P33" t="s">
        <v>80</v>
      </c>
    </row>
    <row r="34" spans="2:16" x14ac:dyDescent="0.25">
      <c r="B34" s="1" t="s">
        <v>36</v>
      </c>
      <c r="C34" s="7">
        <v>12</v>
      </c>
      <c r="L34" s="1" t="s">
        <v>75</v>
      </c>
      <c r="M34" s="18">
        <f>SQRT(C36^2-M33^2)</f>
        <v>0.11492193002208063</v>
      </c>
      <c r="N34" s="18">
        <f>M34</f>
        <v>0.11492193002208063</v>
      </c>
      <c r="O34" s="22">
        <f>M34</f>
        <v>0.11492193002208063</v>
      </c>
      <c r="P34" t="s">
        <v>80</v>
      </c>
    </row>
    <row r="35" spans="2:16" x14ac:dyDescent="0.25">
      <c r="B35" s="1" t="s">
        <v>37</v>
      </c>
      <c r="C35" s="7">
        <v>11</v>
      </c>
      <c r="D35" t="s">
        <v>9</v>
      </c>
      <c r="L35" s="1" t="s">
        <v>76</v>
      </c>
      <c r="M35" s="18">
        <f>M33*C8^2/C29</f>
        <v>2.1160000000000001</v>
      </c>
      <c r="N35" s="18">
        <f>M35*($C$35/$C$8)^2</f>
        <v>1.9360000000000002E-2</v>
      </c>
      <c r="P35" t="s">
        <v>81</v>
      </c>
    </row>
    <row r="36" spans="2:16" x14ac:dyDescent="0.25">
      <c r="B36" s="1" t="s">
        <v>38</v>
      </c>
      <c r="C36" s="7">
        <f>(11+C2/100)%</f>
        <v>0.11509999999999999</v>
      </c>
      <c r="D36" t="s">
        <v>15</v>
      </c>
      <c r="L36" s="1" t="s">
        <v>77</v>
      </c>
      <c r="M36" s="18">
        <f>M34*C8^2/C29</f>
        <v>37.996063113550413</v>
      </c>
      <c r="N36" s="18">
        <f t="shared" ref="N36" si="0">M36*($C$35/$C$8)^2</f>
        <v>0.34763883831679393</v>
      </c>
      <c r="P36" t="s">
        <v>81</v>
      </c>
    </row>
    <row r="37" spans="2:16" x14ac:dyDescent="0.25">
      <c r="B37" s="1" t="s">
        <v>39</v>
      </c>
      <c r="C37" s="7">
        <f>(205+C2)</f>
        <v>256</v>
      </c>
      <c r="D37" t="s">
        <v>40</v>
      </c>
      <c r="L37" s="1" t="s">
        <v>78</v>
      </c>
      <c r="M37" s="18">
        <f>C38/C8^2*1000</f>
        <v>2.8809073724007561</v>
      </c>
      <c r="N37" s="18">
        <f>M37*($C$8/$C$35)^2</f>
        <v>314.87603305785126</v>
      </c>
      <c r="P37" t="s">
        <v>82</v>
      </c>
    </row>
    <row r="38" spans="2:16" x14ac:dyDescent="0.25">
      <c r="B38" s="1" t="s">
        <v>41</v>
      </c>
      <c r="C38" s="7">
        <f>(33+C2/10)</f>
        <v>38.1</v>
      </c>
      <c r="D38" t="s">
        <v>40</v>
      </c>
      <c r="L38" s="1" t="s">
        <v>79</v>
      </c>
      <c r="M38" s="18">
        <f>-C39*C29/C8^2*1000000</f>
        <v>-30.548204158790167</v>
      </c>
      <c r="N38" s="18">
        <f>M38*($C$8/$C$35)^2</f>
        <v>-3338.8429752066118</v>
      </c>
      <c r="P38" t="s">
        <v>82</v>
      </c>
    </row>
    <row r="39" spans="2:16" x14ac:dyDescent="0.25">
      <c r="B39" s="1" t="s">
        <v>42</v>
      </c>
      <c r="C39" s="7">
        <f>(0.5+C2/100)%</f>
        <v>1.01E-2</v>
      </c>
      <c r="D39" t="s">
        <v>15</v>
      </c>
      <c r="L39" s="1" t="s">
        <v>153</v>
      </c>
      <c r="M39" s="18">
        <f>0.16</f>
        <v>0.16</v>
      </c>
      <c r="N39" s="18"/>
    </row>
    <row r="40" spans="2:16" x14ac:dyDescent="0.25">
      <c r="B40" s="1" t="s">
        <v>43</v>
      </c>
      <c r="L40" s="1" t="s">
        <v>154</v>
      </c>
      <c r="M40" s="18">
        <f>12</f>
        <v>12</v>
      </c>
      <c r="N40" s="18"/>
    </row>
    <row r="41" spans="2:16" x14ac:dyDescent="0.25">
      <c r="B41" s="1" t="s">
        <v>44</v>
      </c>
      <c r="C41" s="7">
        <f>5*C42</f>
        <v>0</v>
      </c>
      <c r="L41" s="1" t="s">
        <v>155</v>
      </c>
      <c r="M41" s="18">
        <f>C33</f>
        <v>25</v>
      </c>
      <c r="N41" s="18"/>
    </row>
    <row r="42" spans="2:16" x14ac:dyDescent="0.25">
      <c r="B42" s="1" t="s">
        <v>5</v>
      </c>
      <c r="L42" s="1" t="s">
        <v>156</v>
      </c>
      <c r="M42" s="18">
        <v>11</v>
      </c>
      <c r="N42" s="18"/>
    </row>
    <row r="43" spans="2:16" x14ac:dyDescent="0.25">
      <c r="L43" s="1" t="s">
        <v>159</v>
      </c>
      <c r="M43" s="18">
        <f>C8/C35</f>
        <v>10.454545454545455</v>
      </c>
      <c r="N43" s="18"/>
    </row>
    <row r="44" spans="2:16" ht="20.25" thickBot="1" x14ac:dyDescent="0.35">
      <c r="B44" s="9" t="s">
        <v>147</v>
      </c>
      <c r="L44" s="1" t="s">
        <v>157</v>
      </c>
      <c r="M44" s="18">
        <f>M43/M42</f>
        <v>0.95041322314049592</v>
      </c>
      <c r="N44" s="18"/>
    </row>
    <row r="45" spans="2:16" ht="15.75" thickTop="1" x14ac:dyDescent="0.25">
      <c r="B45" s="1" t="s">
        <v>45</v>
      </c>
      <c r="C45" s="7">
        <v>2000</v>
      </c>
      <c r="D45" t="s">
        <v>46</v>
      </c>
      <c r="L45" s="1" t="s">
        <v>158</v>
      </c>
      <c r="M45" s="18">
        <f>M39/M40</f>
        <v>1.3333333333333334E-2</v>
      </c>
      <c r="N45" s="18"/>
    </row>
    <row r="46" spans="2:16" x14ac:dyDescent="0.25">
      <c r="B46" s="1" t="s">
        <v>31</v>
      </c>
      <c r="C46" s="7">
        <v>10.5</v>
      </c>
      <c r="D46" t="s">
        <v>46</v>
      </c>
      <c r="L46" s="1" t="s">
        <v>130</v>
      </c>
      <c r="M46" s="18">
        <f>M44-M45*M40</f>
        <v>0.79041322314049589</v>
      </c>
      <c r="N46" s="18"/>
    </row>
    <row r="47" spans="2:16" x14ac:dyDescent="0.25">
      <c r="B47" s="1" t="s">
        <v>37</v>
      </c>
      <c r="C47" s="7">
        <v>525</v>
      </c>
      <c r="D47" t="s">
        <v>47</v>
      </c>
      <c r="L47" s="1" t="s">
        <v>131</v>
      </c>
      <c r="M47" s="18">
        <f>M44+M45*M40</f>
        <v>1.110413223140496</v>
      </c>
      <c r="N47" s="18"/>
    </row>
    <row r="48" spans="2:16" ht="20.25" thickBot="1" x14ac:dyDescent="0.35">
      <c r="B48" s="1" t="s">
        <v>48</v>
      </c>
      <c r="L48" s="9" t="s">
        <v>83</v>
      </c>
    </row>
    <row r="49" spans="2:16" ht="18.75" thickTop="1" thickBot="1" x14ac:dyDescent="0.35">
      <c r="B49" s="1" t="s">
        <v>38</v>
      </c>
      <c r="C49" s="8">
        <f>(6+C2/100)%</f>
        <v>6.5099999999999991E-2</v>
      </c>
      <c r="D49" t="s">
        <v>15</v>
      </c>
      <c r="L49" s="10" t="s">
        <v>151</v>
      </c>
      <c r="M49" s="10" t="s">
        <v>148</v>
      </c>
      <c r="N49" s="10" t="s">
        <v>149</v>
      </c>
      <c r="O49" s="10" t="s">
        <v>150</v>
      </c>
      <c r="P49" s="10"/>
    </row>
    <row r="50" spans="2:16" ht="15.75" thickTop="1" x14ac:dyDescent="0.25">
      <c r="B50" s="1" t="s">
        <v>39</v>
      </c>
      <c r="C50" s="7">
        <f>(11+C2/100)</f>
        <v>11.51</v>
      </c>
      <c r="D50" t="s">
        <v>40</v>
      </c>
      <c r="L50" s="1" t="s">
        <v>74</v>
      </c>
      <c r="N50" s="3">
        <f>C50/C45</f>
        <v>5.7549999999999997E-3</v>
      </c>
      <c r="P50" t="s">
        <v>80</v>
      </c>
    </row>
    <row r="51" spans="2:16" x14ac:dyDescent="0.25">
      <c r="B51" s="1" t="s">
        <v>41</v>
      </c>
      <c r="C51" s="7">
        <f>(2.1+C2/100)</f>
        <v>2.6100000000000003</v>
      </c>
      <c r="D51" t="s">
        <v>40</v>
      </c>
      <c r="L51" s="1" t="s">
        <v>75</v>
      </c>
      <c r="N51" s="3">
        <f>SQRT(C49^2-N50^2)</f>
        <v>6.4845122985464368E-2</v>
      </c>
      <c r="P51" t="s">
        <v>80</v>
      </c>
    </row>
    <row r="52" spans="2:16" x14ac:dyDescent="0.25">
      <c r="B52" s="1" t="s">
        <v>42</v>
      </c>
      <c r="C52" s="8">
        <f>(1+C2/100)%</f>
        <v>1.5100000000000001E-2</v>
      </c>
      <c r="D52" t="s">
        <v>15</v>
      </c>
      <c r="L52" s="1" t="s">
        <v>76</v>
      </c>
      <c r="N52" s="3">
        <f>N50*C46^2/(C45/1000)</f>
        <v>0.31724437499999997</v>
      </c>
      <c r="P52" t="s">
        <v>81</v>
      </c>
    </row>
    <row r="53" spans="2:16" x14ac:dyDescent="0.25">
      <c r="B53" s="1" t="s">
        <v>49</v>
      </c>
      <c r="C53" s="7"/>
      <c r="L53" s="1" t="s">
        <v>77</v>
      </c>
      <c r="N53" s="3">
        <f>N51*C46^2/(C45/1000)</f>
        <v>3.5745874045737231</v>
      </c>
      <c r="P53" t="s">
        <v>81</v>
      </c>
    </row>
    <row r="54" spans="2:16" x14ac:dyDescent="0.25">
      <c r="B54" s="1" t="s">
        <v>44</v>
      </c>
      <c r="C54" s="7">
        <f>6*C55</f>
        <v>0</v>
      </c>
      <c r="L54" s="1" t="s">
        <v>78</v>
      </c>
      <c r="N54" s="3">
        <f>C51/C46^2*1000</f>
        <v>23.673469387755105</v>
      </c>
      <c r="P54" t="s">
        <v>82</v>
      </c>
    </row>
    <row r="55" spans="2:16" x14ac:dyDescent="0.25">
      <c r="B55" s="1" t="s">
        <v>5</v>
      </c>
      <c r="L55" s="1" t="s">
        <v>79</v>
      </c>
      <c r="N55" s="3">
        <f>-C52*C45/C46^2*1000</f>
        <v>-273.92290249433108</v>
      </c>
      <c r="P55" t="s">
        <v>82</v>
      </c>
    </row>
    <row r="56" spans="2:16" x14ac:dyDescent="0.25">
      <c r="L56" s="1" t="s">
        <v>156</v>
      </c>
      <c r="N56" s="3">
        <f>10/0.525</f>
        <v>19.047619047619047</v>
      </c>
    </row>
    <row r="57" spans="2:16" ht="20.25" thickBot="1" x14ac:dyDescent="0.35">
      <c r="B57" s="9" t="s">
        <v>50</v>
      </c>
      <c r="L57" s="1" t="s">
        <v>156</v>
      </c>
      <c r="N57" s="3">
        <f>C46/(C47/1000)</f>
        <v>20</v>
      </c>
    </row>
    <row r="58" spans="2:16" ht="15.75" thickTop="1" x14ac:dyDescent="0.25">
      <c r="B58" s="1" t="s">
        <v>51</v>
      </c>
      <c r="L58" s="1" t="s">
        <v>157</v>
      </c>
      <c r="N58" s="3">
        <f>N57/N56</f>
        <v>1.05</v>
      </c>
    </row>
    <row r="59" spans="2:16" x14ac:dyDescent="0.25">
      <c r="B59" s="1" t="s">
        <v>52</v>
      </c>
      <c r="C59" s="7">
        <f>(0.2+C2/1000)</f>
        <v>0.251</v>
      </c>
      <c r="D59" t="s">
        <v>24</v>
      </c>
      <c r="L59" s="1" t="s">
        <v>130</v>
      </c>
      <c r="N59" s="3">
        <f>N58</f>
        <v>1.05</v>
      </c>
    </row>
    <row r="60" spans="2:16" x14ac:dyDescent="0.25">
      <c r="B60" s="1" t="s">
        <v>53</v>
      </c>
      <c r="C60" s="7">
        <v>0.5</v>
      </c>
      <c r="D60" t="s">
        <v>9</v>
      </c>
      <c r="L60" s="1" t="s">
        <v>131</v>
      </c>
      <c r="N60" s="3">
        <f>N58</f>
        <v>1.05</v>
      </c>
    </row>
    <row r="61" spans="2:16" ht="20.25" thickBot="1" x14ac:dyDescent="0.35">
      <c r="B61" s="1" t="s">
        <v>10</v>
      </c>
      <c r="C61" s="7">
        <f>(0.86+C2/1000)</f>
        <v>0.91100000000000003</v>
      </c>
      <c r="D61" t="s">
        <v>16</v>
      </c>
      <c r="L61" s="9" t="s">
        <v>84</v>
      </c>
    </row>
    <row r="62" spans="2:16" ht="18.75" thickTop="1" thickBot="1" x14ac:dyDescent="0.35">
      <c r="B62" s="1" t="s">
        <v>54</v>
      </c>
      <c r="C62" s="7">
        <v>0.97</v>
      </c>
      <c r="L62" s="10" t="s">
        <v>151</v>
      </c>
      <c r="M62" s="10" t="s">
        <v>148</v>
      </c>
      <c r="N62" s="10" t="s">
        <v>149</v>
      </c>
      <c r="O62" s="10" t="s">
        <v>150</v>
      </c>
      <c r="P62" s="10"/>
    </row>
    <row r="63" spans="2:16" ht="15.75" thickTop="1" x14ac:dyDescent="0.25">
      <c r="B63" s="1" t="s">
        <v>55</v>
      </c>
      <c r="C63" s="7">
        <f>4+C2/100</f>
        <v>4.51</v>
      </c>
      <c r="L63" s="1" t="s">
        <v>85</v>
      </c>
      <c r="M63">
        <f>C66*C70</f>
        <v>1.1043999999999998</v>
      </c>
      <c r="P63" t="s">
        <v>89</v>
      </c>
    </row>
    <row r="64" spans="2:16" x14ac:dyDescent="0.25">
      <c r="L64" s="1" t="s">
        <v>86</v>
      </c>
      <c r="M64">
        <f>C70*C67</f>
        <v>0.92869999999999986</v>
      </c>
      <c r="P64" t="s">
        <v>89</v>
      </c>
    </row>
    <row r="65" spans="2:16" ht="20.25" thickBot="1" x14ac:dyDescent="0.35">
      <c r="B65" s="9" t="s">
        <v>56</v>
      </c>
      <c r="L65" s="1" t="s">
        <v>88</v>
      </c>
      <c r="M65">
        <v>0</v>
      </c>
      <c r="P65" t="s">
        <v>82</v>
      </c>
    </row>
    <row r="66" spans="2:16" ht="15.75" thickTop="1" x14ac:dyDescent="0.25">
      <c r="B66" s="1" t="s">
        <v>57</v>
      </c>
      <c r="C66" s="7">
        <v>0.44</v>
      </c>
      <c r="D66" t="s">
        <v>58</v>
      </c>
      <c r="L66" s="1" t="s">
        <v>87</v>
      </c>
      <c r="M66">
        <f>C68*C70</f>
        <v>8.032</v>
      </c>
      <c r="P66" t="s">
        <v>82</v>
      </c>
    </row>
    <row r="67" spans="2:16" ht="20.25" thickBot="1" x14ac:dyDescent="0.35">
      <c r="B67" s="1" t="s">
        <v>69</v>
      </c>
      <c r="C67" s="7">
        <v>0.37</v>
      </c>
      <c r="D67" t="s">
        <v>58</v>
      </c>
      <c r="L67" s="9" t="s">
        <v>90</v>
      </c>
    </row>
    <row r="68" spans="2:16" ht="18.75" thickTop="1" thickBot="1" x14ac:dyDescent="0.35">
      <c r="B68" s="1" t="s">
        <v>59</v>
      </c>
      <c r="C68" s="7">
        <v>3.2</v>
      </c>
      <c r="D68" t="s">
        <v>60</v>
      </c>
      <c r="L68" s="10" t="s">
        <v>151</v>
      </c>
      <c r="M68" s="10" t="s">
        <v>148</v>
      </c>
      <c r="N68" s="10" t="s">
        <v>149</v>
      </c>
      <c r="O68" s="10" t="s">
        <v>150</v>
      </c>
      <c r="P68" s="10"/>
    </row>
    <row r="69" spans="2:16" ht="15.75" thickTop="1" x14ac:dyDescent="0.25">
      <c r="B69" s="1" t="s">
        <v>61</v>
      </c>
      <c r="C69" s="7">
        <v>290</v>
      </c>
      <c r="D69" t="s">
        <v>62</v>
      </c>
      <c r="L69" s="1" t="s">
        <v>85</v>
      </c>
      <c r="M69">
        <f>C75*C79</f>
        <v>0.38505</v>
      </c>
      <c r="P69" t="s">
        <v>89</v>
      </c>
    </row>
    <row r="70" spans="2:16" x14ac:dyDescent="0.25">
      <c r="B70" s="1" t="s">
        <v>65</v>
      </c>
      <c r="C70" s="7">
        <f>(2+C2/100)</f>
        <v>2.5099999999999998</v>
      </c>
      <c r="D70" t="s">
        <v>63</v>
      </c>
      <c r="L70" s="1" t="s">
        <v>86</v>
      </c>
      <c r="M70">
        <f>C76*C79</f>
        <v>0.18421999999999999</v>
      </c>
      <c r="P70" t="s">
        <v>89</v>
      </c>
    </row>
    <row r="71" spans="2:16" x14ac:dyDescent="0.25">
      <c r="B71" s="1" t="s">
        <v>64</v>
      </c>
      <c r="C71" s="7">
        <f>C66+0.15</f>
        <v>0.59</v>
      </c>
      <c r="D71" t="s">
        <v>66</v>
      </c>
      <c r="L71" s="1" t="s">
        <v>88</v>
      </c>
      <c r="M71">
        <v>0</v>
      </c>
      <c r="P71" t="s">
        <v>82</v>
      </c>
    </row>
    <row r="72" spans="2:16" x14ac:dyDescent="0.25">
      <c r="B72" s="1" t="s">
        <v>67</v>
      </c>
      <c r="C72" s="7">
        <v>3.5</v>
      </c>
      <c r="D72" t="s">
        <v>16</v>
      </c>
      <c r="L72" s="1" t="s">
        <v>87</v>
      </c>
      <c r="M72">
        <f>C79*C77</f>
        <v>108.72</v>
      </c>
      <c r="P72" t="s">
        <v>82</v>
      </c>
    </row>
    <row r="74" spans="2:16" ht="20.25" thickBot="1" x14ac:dyDescent="0.35">
      <c r="B74" s="9" t="s">
        <v>68</v>
      </c>
    </row>
    <row r="75" spans="2:16" ht="15.75" thickTop="1" x14ac:dyDescent="0.25">
      <c r="B75" s="1" t="s">
        <v>57</v>
      </c>
      <c r="C75" s="7">
        <v>0.255</v>
      </c>
      <c r="D75" t="s">
        <v>66</v>
      </c>
    </row>
    <row r="76" spans="2:16" x14ac:dyDescent="0.25">
      <c r="B76" s="1" t="s">
        <v>69</v>
      </c>
      <c r="C76" s="7">
        <v>0.122</v>
      </c>
      <c r="D76" t="s">
        <v>66</v>
      </c>
    </row>
    <row r="77" spans="2:16" x14ac:dyDescent="0.25">
      <c r="B77" s="1" t="s">
        <v>59</v>
      </c>
      <c r="C77" s="7">
        <v>72</v>
      </c>
      <c r="D77" t="s">
        <v>60</v>
      </c>
    </row>
    <row r="78" spans="2:16" x14ac:dyDescent="0.25">
      <c r="B78" s="1" t="s">
        <v>61</v>
      </c>
      <c r="C78" s="7">
        <v>262</v>
      </c>
      <c r="D78" t="s">
        <v>62</v>
      </c>
    </row>
    <row r="79" spans="2:16" x14ac:dyDescent="0.25">
      <c r="B79" s="1" t="s">
        <v>70</v>
      </c>
      <c r="C79" s="7">
        <f>(1+C2/100)</f>
        <v>1.51</v>
      </c>
      <c r="D79" t="s">
        <v>63</v>
      </c>
    </row>
    <row r="80" spans="2:16" x14ac:dyDescent="0.25">
      <c r="B80" s="1" t="s">
        <v>71</v>
      </c>
      <c r="C80" s="7">
        <v>1</v>
      </c>
    </row>
    <row r="81" spans="2:17" x14ac:dyDescent="0.25">
      <c r="B81" s="1" t="s">
        <v>67</v>
      </c>
      <c r="C81" s="7">
        <v>1</v>
      </c>
      <c r="L81" s="1"/>
      <c r="M81" s="3"/>
    </row>
    <row r="82" spans="2:17" x14ac:dyDescent="0.25">
      <c r="B82" s="1" t="s">
        <v>72</v>
      </c>
      <c r="L82" s="1"/>
    </row>
    <row r="83" spans="2:17" x14ac:dyDescent="0.25">
      <c r="L83" s="1"/>
    </row>
    <row r="84" spans="2:17" x14ac:dyDescent="0.25">
      <c r="L84" s="1"/>
    </row>
    <row r="88" spans="2:17" ht="20.25" thickBot="1" x14ac:dyDescent="0.35">
      <c r="B88" s="11" t="s">
        <v>136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2:17" ht="15.75" thickTop="1" x14ac:dyDescent="0.25">
      <c r="B89" s="12" t="s">
        <v>137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2:17" ht="15.75" thickBot="1" x14ac:dyDescent="0.3">
      <c r="B90" s="13" t="s">
        <v>91</v>
      </c>
      <c r="C90" s="14" t="s">
        <v>92</v>
      </c>
      <c r="D90" s="14" t="s">
        <v>93</v>
      </c>
      <c r="E90" s="14" t="s">
        <v>94</v>
      </c>
      <c r="F90" s="14" t="s">
        <v>95</v>
      </c>
      <c r="G90" s="14" t="s">
        <v>96</v>
      </c>
      <c r="H90" s="14" t="s">
        <v>97</v>
      </c>
      <c r="I90" s="14" t="s">
        <v>98</v>
      </c>
      <c r="J90" s="14" t="s">
        <v>99</v>
      </c>
      <c r="K90" s="14" t="s">
        <v>100</v>
      </c>
      <c r="L90" s="14" t="s">
        <v>101</v>
      </c>
      <c r="M90" s="14" t="s">
        <v>102</v>
      </c>
      <c r="N90" s="14" t="s">
        <v>103</v>
      </c>
      <c r="O90" s="14" t="s">
        <v>104</v>
      </c>
      <c r="P90" s="5"/>
      <c r="Q90" s="5"/>
    </row>
    <row r="91" spans="2:17" x14ac:dyDescent="0.25">
      <c r="B91" s="5" t="s">
        <v>138</v>
      </c>
      <c r="C91" s="15">
        <v>3</v>
      </c>
      <c r="D91" s="15">
        <v>110</v>
      </c>
      <c r="E91" s="15">
        <v>1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0</v>
      </c>
      <c r="O91" s="15">
        <v>0</v>
      </c>
      <c r="P91" s="5"/>
      <c r="Q91" s="5"/>
    </row>
    <row r="92" spans="2:17" x14ac:dyDescent="0.25">
      <c r="B92" s="5" t="s">
        <v>139</v>
      </c>
      <c r="C92" s="15">
        <v>1</v>
      </c>
      <c r="D92" s="15">
        <v>110</v>
      </c>
      <c r="E92" s="15">
        <v>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5"/>
      <c r="Q92" s="5"/>
    </row>
    <row r="93" spans="2:17" x14ac:dyDescent="0.25">
      <c r="B93" s="5" t="s">
        <v>140</v>
      </c>
      <c r="C93" s="15">
        <v>1</v>
      </c>
      <c r="D93" s="15">
        <v>10</v>
      </c>
      <c r="E93" s="15">
        <v>1.05</v>
      </c>
      <c r="F93" s="15">
        <v>0</v>
      </c>
      <c r="G93" s="16">
        <f>C22</f>
        <v>0.55100000000000005</v>
      </c>
      <c r="H93" s="16">
        <f>C23</f>
        <v>0.251</v>
      </c>
      <c r="I93" s="16">
        <v>0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6">
        <f>C26</f>
        <v>-2</v>
      </c>
      <c r="P93" s="5"/>
      <c r="Q93" s="5"/>
    </row>
    <row r="94" spans="2:17" x14ac:dyDescent="0.25">
      <c r="B94" s="5" t="s">
        <v>141</v>
      </c>
      <c r="C94" s="15">
        <v>2</v>
      </c>
      <c r="D94" s="15">
        <v>10</v>
      </c>
      <c r="E94" s="15">
        <v>1</v>
      </c>
      <c r="F94" s="15">
        <v>0</v>
      </c>
      <c r="G94" s="15">
        <v>0</v>
      </c>
      <c r="H94" s="15">
        <v>0</v>
      </c>
      <c r="I94" s="16">
        <f>C10*C12</f>
        <v>9.2080000000000002</v>
      </c>
      <c r="J94" s="16">
        <f>C10*C13</f>
        <v>6.9059999999999979</v>
      </c>
      <c r="K94" s="15">
        <v>0</v>
      </c>
      <c r="L94" s="15">
        <v>0</v>
      </c>
      <c r="M94" s="16">
        <f>C18</f>
        <v>-0.69059999999999977</v>
      </c>
      <c r="N94" s="16">
        <f>C19</f>
        <v>7.5965999999999996</v>
      </c>
      <c r="O94" s="15">
        <v>0</v>
      </c>
      <c r="P94" s="5"/>
      <c r="Q94" s="5"/>
    </row>
    <row r="95" spans="2:17" x14ac:dyDescent="0.25">
      <c r="B95" s="5" t="s">
        <v>142</v>
      </c>
      <c r="C95" s="15">
        <v>1</v>
      </c>
      <c r="D95" s="15">
        <v>10</v>
      </c>
      <c r="E95" s="15">
        <v>1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0</v>
      </c>
      <c r="O95" s="15">
        <v>0</v>
      </c>
      <c r="P95" s="5"/>
      <c r="Q95" s="5"/>
    </row>
    <row r="96" spans="2:17" x14ac:dyDescent="0.25">
      <c r="B96" s="5" t="s">
        <v>143</v>
      </c>
      <c r="C96" s="15">
        <v>1</v>
      </c>
      <c r="D96" s="15">
        <v>10</v>
      </c>
      <c r="E96" s="15">
        <v>1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0</v>
      </c>
      <c r="P96" s="5"/>
      <c r="Q96" s="5"/>
    </row>
    <row r="97" spans="2:17" x14ac:dyDescent="0.25">
      <c r="B97" s="5" t="s">
        <v>144</v>
      </c>
      <c r="C97" s="15">
        <v>1</v>
      </c>
      <c r="D97" s="15">
        <v>0.52500000000000002</v>
      </c>
      <c r="E97" s="15">
        <v>1</v>
      </c>
      <c r="F97" s="15">
        <v>0</v>
      </c>
      <c r="G97" s="16">
        <f>6*C59/C62</f>
        <v>1.5525773195876289</v>
      </c>
      <c r="H97" s="16">
        <f>6*C59/C62*SQRT(1-C61^2)</f>
        <v>0.64029275013151177</v>
      </c>
      <c r="I97" s="15">
        <v>0</v>
      </c>
      <c r="J97" s="15">
        <v>0</v>
      </c>
      <c r="K97" s="15">
        <v>0</v>
      </c>
      <c r="L97" s="15">
        <v>0</v>
      </c>
      <c r="M97" s="15">
        <v>0</v>
      </c>
      <c r="N97" s="15">
        <v>0</v>
      </c>
      <c r="O97" s="15">
        <v>0</v>
      </c>
      <c r="P97" s="5"/>
      <c r="Q97" s="5"/>
    </row>
    <row r="98" spans="2:17" x14ac:dyDescent="0.25">
      <c r="B98" s="12" t="s">
        <v>145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2:17" ht="15.75" thickBot="1" x14ac:dyDescent="0.3">
      <c r="B99" s="14" t="s">
        <v>111</v>
      </c>
      <c r="C99" s="14" t="s">
        <v>112</v>
      </c>
      <c r="D99" s="14" t="s">
        <v>113</v>
      </c>
      <c r="E99" s="14" t="s">
        <v>114</v>
      </c>
      <c r="F99" s="14" t="s">
        <v>115</v>
      </c>
      <c r="G99" s="14" t="s">
        <v>116</v>
      </c>
      <c r="H99" s="14" t="s">
        <v>117</v>
      </c>
      <c r="I99" s="14" t="s">
        <v>118</v>
      </c>
      <c r="J99" s="14" t="s">
        <v>119</v>
      </c>
      <c r="K99" s="14" t="s">
        <v>120</v>
      </c>
      <c r="L99" s="14" t="s">
        <v>121</v>
      </c>
      <c r="M99" s="5"/>
      <c r="N99" s="5"/>
      <c r="O99" s="5"/>
      <c r="P99" s="5"/>
      <c r="Q99" s="5"/>
    </row>
    <row r="100" spans="2:17" x14ac:dyDescent="0.25">
      <c r="B100" t="s">
        <v>122</v>
      </c>
      <c r="C100" s="5" t="s">
        <v>105</v>
      </c>
      <c r="D100" s="5" t="s">
        <v>106</v>
      </c>
      <c r="E100" s="5">
        <v>0</v>
      </c>
      <c r="F100" s="16">
        <f>C7</f>
        <v>6.6218905472636829</v>
      </c>
      <c r="G100" s="5">
        <v>0</v>
      </c>
      <c r="H100" s="5">
        <v>0</v>
      </c>
      <c r="I100" s="5">
        <v>9999</v>
      </c>
      <c r="J100" s="5">
        <v>1</v>
      </c>
      <c r="K100" s="5">
        <v>0</v>
      </c>
      <c r="L100" s="5">
        <v>0</v>
      </c>
      <c r="M100" s="5"/>
      <c r="N100" s="5"/>
      <c r="O100" s="5"/>
      <c r="P100" s="5"/>
      <c r="Q100" s="5"/>
    </row>
    <row r="101" spans="2:17" x14ac:dyDescent="0.25">
      <c r="B101" t="s">
        <v>123</v>
      </c>
      <c r="C101" s="5" t="s">
        <v>107</v>
      </c>
      <c r="D101" s="5" t="s">
        <v>108</v>
      </c>
      <c r="E101">
        <v>0</v>
      </c>
      <c r="F101" s="5">
        <v>1E-3</v>
      </c>
      <c r="G101" s="5" t="s">
        <v>124</v>
      </c>
      <c r="H101" s="5">
        <v>0</v>
      </c>
      <c r="I101" s="5">
        <v>9999</v>
      </c>
      <c r="J101" s="5">
        <v>1</v>
      </c>
      <c r="K101" s="5">
        <v>0</v>
      </c>
      <c r="L101" s="5">
        <v>0</v>
      </c>
      <c r="N101" s="5"/>
      <c r="O101" s="5"/>
      <c r="P101" s="5"/>
      <c r="Q101" s="5"/>
    </row>
    <row r="102" spans="2:17" x14ac:dyDescent="0.25">
      <c r="B102" t="s">
        <v>125</v>
      </c>
      <c r="C102" s="5" t="s">
        <v>107</v>
      </c>
      <c r="D102" s="5" t="s">
        <v>109</v>
      </c>
      <c r="E102" s="19">
        <f>M63</f>
        <v>1.1043999999999998</v>
      </c>
      <c r="F102" s="16">
        <f>M64</f>
        <v>0.92869999999999986</v>
      </c>
      <c r="G102" s="16">
        <f>M65</f>
        <v>0</v>
      </c>
      <c r="H102" s="16">
        <f>M66</f>
        <v>8.032</v>
      </c>
      <c r="I102" s="16">
        <f>C69</f>
        <v>290</v>
      </c>
      <c r="J102" s="15">
        <v>1</v>
      </c>
      <c r="K102" s="16">
        <f>C70</f>
        <v>2.5099999999999998</v>
      </c>
      <c r="L102" s="15">
        <v>0</v>
      </c>
      <c r="N102" s="5"/>
      <c r="O102" s="5"/>
      <c r="P102" s="5"/>
      <c r="Q102" s="5"/>
    </row>
    <row r="103" spans="2:17" x14ac:dyDescent="0.25">
      <c r="B103" t="s">
        <v>126</v>
      </c>
      <c r="C103" s="5" t="s">
        <v>109</v>
      </c>
      <c r="D103" s="5" t="s">
        <v>110</v>
      </c>
      <c r="E103" s="19">
        <f>M69</f>
        <v>0.38505</v>
      </c>
      <c r="F103" s="16">
        <f>M70</f>
        <v>0.18421999999999999</v>
      </c>
      <c r="G103" s="16">
        <f>M71</f>
        <v>0</v>
      </c>
      <c r="H103" s="16">
        <f>M72</f>
        <v>108.72</v>
      </c>
      <c r="I103" s="16">
        <f>C78</f>
        <v>262</v>
      </c>
      <c r="J103" s="15">
        <v>1</v>
      </c>
      <c r="K103" s="16">
        <f>C79</f>
        <v>1.51</v>
      </c>
      <c r="L103" s="15">
        <v>0</v>
      </c>
      <c r="N103" s="5"/>
      <c r="O103" s="5"/>
      <c r="P103" s="5"/>
      <c r="Q103" s="5"/>
    </row>
    <row r="104" spans="2:17" x14ac:dyDescent="0.25">
      <c r="B104" s="12" t="s">
        <v>146</v>
      </c>
      <c r="C104" s="5"/>
      <c r="D104" s="5"/>
      <c r="P104" s="5"/>
      <c r="Q104" s="5"/>
    </row>
    <row r="105" spans="2:17" ht="15.75" thickBot="1" x14ac:dyDescent="0.3">
      <c r="B105" s="14" t="s">
        <v>112</v>
      </c>
      <c r="C105" s="14" t="s">
        <v>113</v>
      </c>
      <c r="D105" s="13" t="s">
        <v>113</v>
      </c>
      <c r="E105" s="14" t="s">
        <v>114</v>
      </c>
      <c r="F105" s="14" t="s">
        <v>115</v>
      </c>
      <c r="G105" s="14" t="s">
        <v>116</v>
      </c>
      <c r="H105" s="14" t="s">
        <v>117</v>
      </c>
      <c r="I105" s="14" t="s">
        <v>127</v>
      </c>
      <c r="J105" s="14" t="s">
        <v>128</v>
      </c>
      <c r="K105" s="14" t="s">
        <v>129</v>
      </c>
      <c r="L105" s="14" t="s">
        <v>130</v>
      </c>
      <c r="M105" s="14" t="s">
        <v>131</v>
      </c>
      <c r="N105" s="14" t="s">
        <v>132</v>
      </c>
      <c r="O105" s="14" t="s">
        <v>119</v>
      </c>
      <c r="P105" s="5"/>
      <c r="Q105" s="5"/>
    </row>
    <row r="106" spans="2:17" x14ac:dyDescent="0.25">
      <c r="B106" s="5" t="s">
        <v>133</v>
      </c>
      <c r="C106" s="5" t="s">
        <v>106</v>
      </c>
      <c r="D106" s="5" t="s">
        <v>107</v>
      </c>
      <c r="E106" s="7">
        <f>M35</f>
        <v>2.1160000000000001</v>
      </c>
      <c r="F106" s="7">
        <f>M36</f>
        <v>37.996063113550413</v>
      </c>
      <c r="G106" s="7">
        <f>M37</f>
        <v>2.8809073724007561</v>
      </c>
      <c r="H106" s="7">
        <f>M38</f>
        <v>-30.548204158790167</v>
      </c>
      <c r="I106" s="7">
        <f>C29</f>
        <v>40</v>
      </c>
      <c r="J106" s="7">
        <f>M44</f>
        <v>0.95041322314049592</v>
      </c>
      <c r="K106" s="7">
        <v>0</v>
      </c>
      <c r="L106" s="7">
        <f>M46</f>
        <v>0.79041322314049589</v>
      </c>
      <c r="M106" s="7">
        <f>M47</f>
        <v>1.110413223140496</v>
      </c>
      <c r="N106" s="7">
        <f>M45</f>
        <v>1.3333333333333334E-2</v>
      </c>
      <c r="O106" s="7">
        <v>1</v>
      </c>
      <c r="P106" s="5"/>
      <c r="Q106" s="5"/>
    </row>
    <row r="107" spans="2:17" x14ac:dyDescent="0.25">
      <c r="B107" s="5" t="s">
        <v>134</v>
      </c>
      <c r="C107" s="5" t="s">
        <v>110</v>
      </c>
      <c r="D107" s="5" t="s">
        <v>135</v>
      </c>
      <c r="E107" s="7">
        <f>N52</f>
        <v>0.31724437499999997</v>
      </c>
      <c r="F107" s="7">
        <f>N53</f>
        <v>3.5745874045737231</v>
      </c>
      <c r="G107" s="7">
        <f>N54</f>
        <v>23.673469387755105</v>
      </c>
      <c r="H107" s="7">
        <f>N55</f>
        <v>-273.92290249433108</v>
      </c>
      <c r="I107" s="7">
        <f>C45/1000</f>
        <v>2</v>
      </c>
      <c r="J107" s="7">
        <f>N58</f>
        <v>1.05</v>
      </c>
      <c r="K107" s="7">
        <v>0</v>
      </c>
      <c r="L107" s="7">
        <f>N59</f>
        <v>1.05</v>
      </c>
      <c r="M107" s="7">
        <f>N60</f>
        <v>1.05</v>
      </c>
      <c r="N107" s="7">
        <v>0</v>
      </c>
      <c r="O107" s="7">
        <v>0</v>
      </c>
      <c r="P107" s="5"/>
      <c r="Q107" s="5"/>
    </row>
    <row r="108" spans="2:17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2:17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5C2F-6AE6-4A60-887F-33E2321EFDDE}">
  <dimension ref="A3:P27"/>
  <sheetViews>
    <sheetView zoomScale="85" zoomScaleNormal="85" workbookViewId="0">
      <selection activeCell="A33" sqref="A33"/>
    </sheetView>
  </sheetViews>
  <sheetFormatPr defaultRowHeight="15" x14ac:dyDescent="0.25"/>
  <cols>
    <col min="1" max="16384" width="9.140625" style="20"/>
  </cols>
  <sheetData>
    <row r="3" spans="1:16" x14ac:dyDescent="0.25">
      <c r="A3" s="21" t="s">
        <v>160</v>
      </c>
    </row>
    <row r="5" spans="1:16" x14ac:dyDescent="0.25">
      <c r="A5" s="21" t="s">
        <v>161</v>
      </c>
    </row>
    <row r="6" spans="1:16" x14ac:dyDescent="0.25">
      <c r="A6" s="21" t="s">
        <v>163</v>
      </c>
      <c r="B6" s="21" t="s">
        <v>92</v>
      </c>
      <c r="C6" s="21" t="s">
        <v>164</v>
      </c>
      <c r="D6" s="21" t="s">
        <v>94</v>
      </c>
      <c r="E6" s="21" t="s">
        <v>95</v>
      </c>
      <c r="F6" s="21" t="s">
        <v>96</v>
      </c>
      <c r="G6" s="21" t="s">
        <v>97</v>
      </c>
      <c r="H6" s="21" t="s">
        <v>98</v>
      </c>
      <c r="I6" s="21" t="s">
        <v>99</v>
      </c>
      <c r="J6" s="21" t="s">
        <v>100</v>
      </c>
      <c r="K6" s="21" t="s">
        <v>101</v>
      </c>
      <c r="L6" s="21" t="s">
        <v>102</v>
      </c>
      <c r="M6" s="21" t="s">
        <v>103</v>
      </c>
      <c r="N6" s="21" t="s">
        <v>165</v>
      </c>
      <c r="O6" s="21" t="s">
        <v>166</v>
      </c>
      <c r="P6" s="21" t="s">
        <v>167</v>
      </c>
    </row>
    <row r="7" spans="1:16" x14ac:dyDescent="0.25">
      <c r="A7" s="20" t="s">
        <v>16</v>
      </c>
      <c r="B7" s="20" t="s">
        <v>16</v>
      </c>
      <c r="C7" s="20" t="s">
        <v>9</v>
      </c>
      <c r="D7" s="20" t="s">
        <v>16</v>
      </c>
      <c r="E7" s="20" t="s">
        <v>119</v>
      </c>
      <c r="F7" s="20" t="s">
        <v>168</v>
      </c>
      <c r="G7" s="20" t="s">
        <v>168</v>
      </c>
      <c r="H7" s="20" t="s">
        <v>168</v>
      </c>
      <c r="I7" s="20" t="s">
        <v>168</v>
      </c>
      <c r="J7" s="20" t="s">
        <v>168</v>
      </c>
      <c r="K7" s="20" t="s">
        <v>168</v>
      </c>
      <c r="L7" s="20" t="s">
        <v>168</v>
      </c>
      <c r="M7" s="20" t="s">
        <v>168</v>
      </c>
      <c r="N7" s="20" t="s">
        <v>168</v>
      </c>
      <c r="O7" s="20" t="s">
        <v>168</v>
      </c>
      <c r="P7" s="20" t="s">
        <v>168</v>
      </c>
    </row>
    <row r="8" spans="1:16" x14ac:dyDescent="0.25">
      <c r="A8" s="20">
        <v>1</v>
      </c>
      <c r="B8" s="20">
        <v>2</v>
      </c>
      <c r="C8" s="20">
        <v>3</v>
      </c>
      <c r="D8" s="20">
        <v>4</v>
      </c>
      <c r="E8" s="20">
        <v>5</v>
      </c>
      <c r="F8" s="20">
        <v>6</v>
      </c>
      <c r="G8" s="20">
        <v>7</v>
      </c>
      <c r="H8" s="20">
        <v>8</v>
      </c>
      <c r="I8" s="20">
        <v>9</v>
      </c>
      <c r="J8" s="20">
        <v>10</v>
      </c>
      <c r="K8" s="20">
        <v>11</v>
      </c>
      <c r="L8" s="20">
        <v>12</v>
      </c>
      <c r="M8" s="20">
        <v>13</v>
      </c>
      <c r="N8" s="20">
        <v>14</v>
      </c>
      <c r="O8" s="20">
        <v>15</v>
      </c>
      <c r="P8" s="20">
        <v>16</v>
      </c>
    </row>
    <row r="9" spans="1:16" x14ac:dyDescent="0.25">
      <c r="A9" s="20">
        <v>1</v>
      </c>
      <c r="B9" s="20">
        <v>3</v>
      </c>
      <c r="C9" s="20">
        <v>110</v>
      </c>
      <c r="D9" s="20">
        <v>1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</row>
    <row r="10" spans="1:16" x14ac:dyDescent="0.25">
      <c r="A10" s="20">
        <v>2</v>
      </c>
      <c r="B10" s="20">
        <v>1</v>
      </c>
      <c r="C10" s="20">
        <v>110</v>
      </c>
      <c r="D10" s="20">
        <v>1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</row>
    <row r="11" spans="1:16" x14ac:dyDescent="0.25">
      <c r="A11" s="20">
        <v>3</v>
      </c>
      <c r="B11" s="20">
        <v>1</v>
      </c>
      <c r="C11" s="20">
        <v>10</v>
      </c>
      <c r="D11" s="20">
        <v>1.05</v>
      </c>
      <c r="E11" s="20">
        <v>0</v>
      </c>
      <c r="F11" s="20">
        <v>5.5100000000000001E-3</v>
      </c>
      <c r="G11" s="20">
        <v>2.5100000000000001E-3</v>
      </c>
      <c r="H11" s="20">
        <v>0</v>
      </c>
      <c r="I11" s="20">
        <v>0</v>
      </c>
      <c r="J11" s="20">
        <v>0</v>
      </c>
      <c r="K11" s="20">
        <v>0.02</v>
      </c>
      <c r="L11" s="20">
        <v>0</v>
      </c>
      <c r="M11" s="20">
        <v>0</v>
      </c>
      <c r="N11" s="20">
        <v>-0.02</v>
      </c>
      <c r="O11" s="20">
        <v>0</v>
      </c>
      <c r="P11" s="20">
        <v>0</v>
      </c>
    </row>
    <row r="12" spans="1:16" x14ac:dyDescent="0.25">
      <c r="A12" s="20">
        <v>4</v>
      </c>
      <c r="B12" s="20">
        <v>2</v>
      </c>
      <c r="C12" s="20">
        <v>10</v>
      </c>
      <c r="D12" s="20">
        <v>1</v>
      </c>
      <c r="E12" s="20">
        <v>0</v>
      </c>
      <c r="F12" s="20">
        <v>0</v>
      </c>
      <c r="G12" s="20">
        <v>0</v>
      </c>
      <c r="H12" s="20">
        <v>9.2100000000000001E-2</v>
      </c>
      <c r="I12" s="20">
        <v>6.9099999999999995E-2</v>
      </c>
      <c r="J12" s="20">
        <v>0</v>
      </c>
      <c r="K12" s="20">
        <v>0</v>
      </c>
      <c r="L12" s="20">
        <v>-6.9100000000000003E-3</v>
      </c>
      <c r="M12" s="20">
        <v>7.5969999999999996E-2</v>
      </c>
      <c r="N12" s="20">
        <v>0</v>
      </c>
      <c r="O12" s="20">
        <v>0</v>
      </c>
      <c r="P12" s="20">
        <v>9.2100000000000001E-2</v>
      </c>
    </row>
    <row r="13" spans="1:16" x14ac:dyDescent="0.25">
      <c r="A13" s="20">
        <v>5</v>
      </c>
      <c r="B13" s="20">
        <v>1</v>
      </c>
      <c r="C13" s="20">
        <v>10</v>
      </c>
      <c r="D13" s="20">
        <v>1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</row>
    <row r="14" spans="1:16" x14ac:dyDescent="0.25">
      <c r="A14" s="20">
        <v>6</v>
      </c>
      <c r="B14" s="20">
        <v>1</v>
      </c>
      <c r="C14" s="20">
        <v>10</v>
      </c>
      <c r="D14" s="20">
        <v>1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</row>
    <row r="15" spans="1:16" x14ac:dyDescent="0.25">
      <c r="A15" s="20">
        <v>7</v>
      </c>
      <c r="B15" s="20">
        <v>1</v>
      </c>
      <c r="C15" s="20">
        <v>0.52500000000000002</v>
      </c>
      <c r="D15" s="20">
        <v>1</v>
      </c>
      <c r="E15" s="20">
        <v>0</v>
      </c>
      <c r="F15" s="20">
        <v>1.553E-2</v>
      </c>
      <c r="G15" s="20">
        <v>6.4000000000000003E-3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</row>
    <row r="18" spans="1:15" x14ac:dyDescent="0.25">
      <c r="A18" s="21" t="s">
        <v>162</v>
      </c>
    </row>
    <row r="19" spans="1:15" x14ac:dyDescent="0.25">
      <c r="A19" s="21" t="s">
        <v>169</v>
      </c>
      <c r="B19" s="21" t="s">
        <v>170</v>
      </c>
      <c r="C19" s="21" t="s">
        <v>114</v>
      </c>
      <c r="D19" s="21" t="s">
        <v>115</v>
      </c>
      <c r="E19" s="21" t="s">
        <v>116</v>
      </c>
      <c r="F19" s="21" t="s">
        <v>117</v>
      </c>
      <c r="G19" s="21" t="s">
        <v>171</v>
      </c>
      <c r="H19" s="21" t="s">
        <v>172</v>
      </c>
      <c r="I19" s="21" t="s">
        <v>129</v>
      </c>
      <c r="J19" s="21" t="s">
        <v>130</v>
      </c>
      <c r="K19" s="21" t="s">
        <v>131</v>
      </c>
      <c r="L19" s="21" t="s">
        <v>132</v>
      </c>
      <c r="M19" s="21" t="s">
        <v>119</v>
      </c>
      <c r="N19" s="21" t="s">
        <v>120</v>
      </c>
      <c r="O19" s="21" t="s">
        <v>121</v>
      </c>
    </row>
    <row r="20" spans="1:15" x14ac:dyDescent="0.25">
      <c r="A20" s="20" t="s">
        <v>16</v>
      </c>
      <c r="B20" s="20" t="s">
        <v>16</v>
      </c>
      <c r="C20" s="20" t="s">
        <v>168</v>
      </c>
      <c r="D20" s="20" t="s">
        <v>168</v>
      </c>
      <c r="E20" s="20" t="s">
        <v>168</v>
      </c>
      <c r="F20" s="20" t="s">
        <v>168</v>
      </c>
      <c r="G20" s="20" t="s">
        <v>173</v>
      </c>
      <c r="H20" s="20" t="s">
        <v>168</v>
      </c>
      <c r="I20" s="20" t="s">
        <v>168</v>
      </c>
      <c r="J20" s="20" t="s">
        <v>168</v>
      </c>
      <c r="K20" s="20" t="s">
        <v>168</v>
      </c>
      <c r="L20" s="20" t="s">
        <v>168</v>
      </c>
      <c r="M20" s="20" t="s">
        <v>16</v>
      </c>
      <c r="N20" s="20" t="s">
        <v>63</v>
      </c>
      <c r="O20" s="20" t="s">
        <v>174</v>
      </c>
    </row>
    <row r="21" spans="1:15" x14ac:dyDescent="0.25">
      <c r="A21" s="20">
        <v>1</v>
      </c>
      <c r="B21" s="20">
        <v>2</v>
      </c>
      <c r="C21" s="20">
        <v>3</v>
      </c>
      <c r="D21" s="20">
        <v>4</v>
      </c>
      <c r="E21" s="20">
        <v>5</v>
      </c>
      <c r="F21" s="20">
        <v>6</v>
      </c>
      <c r="G21" s="20">
        <v>7</v>
      </c>
      <c r="H21" s="20">
        <v>8</v>
      </c>
      <c r="I21" s="20">
        <v>9</v>
      </c>
      <c r="J21" s="20">
        <v>10</v>
      </c>
      <c r="K21" s="20">
        <v>11</v>
      </c>
      <c r="L21" s="20">
        <v>12</v>
      </c>
      <c r="M21" s="20">
        <v>13</v>
      </c>
      <c r="N21" s="20">
        <v>14</v>
      </c>
      <c r="O21" s="20">
        <v>15</v>
      </c>
    </row>
    <row r="22" spans="1:15" x14ac:dyDescent="0.25">
      <c r="A22" s="20">
        <v>1</v>
      </c>
      <c r="B22" s="20">
        <v>2</v>
      </c>
      <c r="C22" s="20">
        <v>0</v>
      </c>
      <c r="D22" s="20">
        <v>5.4730000000000001E-2</v>
      </c>
      <c r="E22" s="20">
        <v>0</v>
      </c>
      <c r="F22" s="20">
        <v>0</v>
      </c>
      <c r="G22" s="20">
        <v>9999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1</v>
      </c>
      <c r="N22" s="20">
        <v>0</v>
      </c>
      <c r="O22" s="20">
        <v>0</v>
      </c>
    </row>
    <row r="23" spans="1:15" x14ac:dyDescent="0.25">
      <c r="A23" s="20">
        <v>3</v>
      </c>
      <c r="B23" s="20">
        <v>4</v>
      </c>
      <c r="C23" s="20">
        <v>0</v>
      </c>
      <c r="D23" s="20">
        <v>1E-4</v>
      </c>
      <c r="E23" s="20">
        <v>0</v>
      </c>
      <c r="F23" s="20">
        <v>0</v>
      </c>
      <c r="G23" s="20">
        <v>9999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1</v>
      </c>
      <c r="N23" s="20">
        <v>0</v>
      </c>
      <c r="O23" s="20">
        <v>0</v>
      </c>
    </row>
    <row r="24" spans="1:15" x14ac:dyDescent="0.25">
      <c r="A24" s="20">
        <v>3</v>
      </c>
      <c r="B24" s="20">
        <v>5</v>
      </c>
      <c r="C24" s="20">
        <v>1.1044</v>
      </c>
      <c r="D24" s="20">
        <v>0.92900000000000005</v>
      </c>
      <c r="E24" s="20">
        <v>0</v>
      </c>
      <c r="F24" s="20">
        <v>1.0000000000000001E-5</v>
      </c>
      <c r="G24" s="20">
        <v>290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1</v>
      </c>
      <c r="N24" s="20">
        <v>2.5099999999999998</v>
      </c>
      <c r="O24" s="20">
        <v>70</v>
      </c>
    </row>
    <row r="25" spans="1:15" x14ac:dyDescent="0.25">
      <c r="A25" s="20">
        <v>5</v>
      </c>
      <c r="B25" s="20">
        <v>6</v>
      </c>
      <c r="C25" s="20">
        <v>0.38500000000000001</v>
      </c>
      <c r="D25" s="20">
        <v>0.184</v>
      </c>
      <c r="E25" s="20">
        <v>0</v>
      </c>
      <c r="F25" s="20">
        <v>1.1E-4</v>
      </c>
      <c r="G25" s="20">
        <v>262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1</v>
      </c>
      <c r="N25" s="20">
        <v>1.51</v>
      </c>
      <c r="O25" s="20">
        <v>120</v>
      </c>
    </row>
    <row r="26" spans="1:15" x14ac:dyDescent="0.25">
      <c r="A26" s="20">
        <v>2</v>
      </c>
      <c r="B26" s="20">
        <v>3</v>
      </c>
      <c r="C26" s="20">
        <v>1.9359999999999999E-2</v>
      </c>
      <c r="D26" s="20">
        <v>0.34765000000000001</v>
      </c>
      <c r="E26" s="20">
        <v>2.7E-4</v>
      </c>
      <c r="F26" s="20">
        <v>-3.3400000000000001E-3</v>
      </c>
      <c r="G26" s="20">
        <v>40</v>
      </c>
      <c r="H26" s="20">
        <v>0.95040000000000002</v>
      </c>
      <c r="I26" s="20">
        <v>0</v>
      </c>
      <c r="J26" s="20">
        <v>0.79039999999999999</v>
      </c>
      <c r="K26" s="20">
        <v>1.1104000000000001</v>
      </c>
      <c r="L26" s="20">
        <v>1.3299999999999999E-2</v>
      </c>
      <c r="M26" s="20">
        <v>1</v>
      </c>
      <c r="N26" s="20">
        <v>0</v>
      </c>
      <c r="O26" s="20">
        <v>0</v>
      </c>
    </row>
    <row r="27" spans="1:15" x14ac:dyDescent="0.25">
      <c r="A27" s="20">
        <v>6</v>
      </c>
      <c r="B27" s="20">
        <v>7</v>
      </c>
      <c r="C27" s="20">
        <v>0.26250000000000001</v>
      </c>
      <c r="D27" s="20">
        <v>3.2444000000000002</v>
      </c>
      <c r="E27" s="20">
        <v>3.0000000000000001E-5</v>
      </c>
      <c r="F27" s="20">
        <v>-2.9999999999999997E-4</v>
      </c>
      <c r="G27" s="20">
        <v>2</v>
      </c>
      <c r="H27" s="20">
        <v>1.05</v>
      </c>
      <c r="I27" s="20">
        <v>0</v>
      </c>
      <c r="J27" s="20">
        <v>1.05</v>
      </c>
      <c r="K27" s="20">
        <v>1.05</v>
      </c>
      <c r="L27" s="20">
        <v>0</v>
      </c>
      <c r="M27" s="20">
        <v>1</v>
      </c>
      <c r="N27" s="20">
        <v>0</v>
      </c>
      <c r="O27" s="20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C32910E3E7645A837B915B27411C0" ma:contentTypeVersion="8" ma:contentTypeDescription="Create a new document." ma:contentTypeScope="" ma:versionID="ae2d7adcdd245ccae5512c4be348b15c">
  <xsd:schema xmlns:xsd="http://www.w3.org/2001/XMLSchema" xmlns:xs="http://www.w3.org/2001/XMLSchema" xmlns:p="http://schemas.microsoft.com/office/2006/metadata/properties" xmlns:ns3="60bc125f-eb64-41fb-a234-ea5e69369081" targetNamespace="http://schemas.microsoft.com/office/2006/metadata/properties" ma:root="true" ma:fieldsID="9246728645d02ee3c13b927d4758b2a4" ns3:_="">
    <xsd:import namespace="60bc125f-eb64-41fb-a234-ea5e693690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bc125f-eb64-41fb-a234-ea5e693690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6F106D-A5E9-452B-96F2-2572A5A8E6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bc125f-eb64-41fb-a234-ea5e693690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C9AFB3-D6D1-438E-BBF1-CB6BA7F88E0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23AC676-BE6F-4003-A104-A901D6BBC6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cw13</vt:lpstr>
      <vt:lpstr>cw12</vt:lpstr>
      <vt:lpstr>cw11</vt:lpstr>
      <vt:lpstr>az</vt:lpstr>
      <vt:lpstr>arm</vt:lpstr>
      <vt:lpstr>cw3-wyniki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2020-03-02T17:55:23Z</dcterms:created>
  <dcterms:modified xsi:type="dcterms:W3CDTF">2020-05-14T13:05:35Z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0x010100021C32910E3E7645A837B915B27411C0</vt:lpwstr>
  </property>
</Properties>
</file>