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45365_student_pwr_edu_pl/Documents/studia/Systemy elektroenergetyczne 2/projekt3/"/>
    </mc:Choice>
  </mc:AlternateContent>
  <xr:revisionPtr revIDLastSave="302" documentId="8_{0CE0A55D-6EFE-4414-BD55-710A1D99EC87}" xr6:coauthVersionLast="45" xr6:coauthVersionMax="45" xr10:uidLastSave="{72335C0D-DAB8-435B-816A-0317A88724EB}"/>
  <bookViews>
    <workbookView xWindow="-120" yWindow="480" windowWidth="29040" windowHeight="15840" xr2:uid="{DC6AC2C9-1566-4D65-B216-3B479AEC9A2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3" i="1" l="1"/>
  <c r="J49" i="1"/>
  <c r="J47" i="1"/>
  <c r="J46" i="1"/>
  <c r="F62" i="1"/>
  <c r="F61" i="1"/>
  <c r="F60" i="1"/>
  <c r="F59" i="1"/>
  <c r="F58" i="1"/>
  <c r="F57" i="1"/>
  <c r="F56" i="1"/>
  <c r="F55" i="1"/>
  <c r="F53" i="1"/>
  <c r="F52" i="1"/>
  <c r="F51" i="1"/>
  <c r="F50" i="1"/>
  <c r="F49" i="1"/>
  <c r="F48" i="1"/>
  <c r="F47" i="1"/>
  <c r="F46" i="1"/>
  <c r="B64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8" i="1"/>
  <c r="B47" i="1"/>
  <c r="B46" i="1"/>
  <c r="F38" i="1" l="1"/>
  <c r="F39" i="1"/>
  <c r="F36" i="1"/>
  <c r="F34" i="1"/>
  <c r="B34" i="1"/>
  <c r="B35" i="1"/>
  <c r="F28" i="1"/>
  <c r="B37" i="1"/>
  <c r="B36" i="1"/>
  <c r="B31" i="1"/>
  <c r="B30" i="1"/>
  <c r="B25" i="1"/>
  <c r="B24" i="1"/>
  <c r="B29" i="1" s="1"/>
  <c r="N18" i="1"/>
  <c r="N17" i="1"/>
  <c r="N16" i="1"/>
  <c r="N15" i="1"/>
  <c r="J18" i="1"/>
  <c r="B39" i="1" s="1"/>
  <c r="B40" i="1" s="1"/>
  <c r="F15" i="1"/>
  <c r="B33" i="1" s="1"/>
  <c r="B21" i="1"/>
  <c r="B15" i="1"/>
  <c r="B28" i="1" s="1"/>
  <c r="B42" i="1" l="1"/>
  <c r="B43" i="1" s="1"/>
  <c r="F31" i="1" l="1"/>
  <c r="F32" i="1" s="1"/>
  <c r="F29" i="1"/>
</calcChain>
</file>

<file path=xl/sharedStrings.xml><?xml version="1.0" encoding="utf-8"?>
<sst xmlns="http://schemas.openxmlformats.org/spreadsheetml/2006/main" count="190" uniqueCount="115">
  <si>
    <t>Systemy Elektroenergetyczne 2 - projekt 3</t>
  </si>
  <si>
    <t>a=</t>
  </si>
  <si>
    <t>Parametry systemu</t>
  </si>
  <si>
    <t xml:space="preserve">Parametry generatora </t>
  </si>
  <si>
    <t>Parametry Transformatora</t>
  </si>
  <si>
    <t>Parametry linii</t>
  </si>
  <si>
    <t>SNG</t>
  </si>
  <si>
    <t>UNG</t>
  </si>
  <si>
    <t>cos(fin)</t>
  </si>
  <si>
    <t>xd</t>
  </si>
  <si>
    <t>x'd</t>
  </si>
  <si>
    <t>x''d</t>
  </si>
  <si>
    <t>Tm</t>
  </si>
  <si>
    <t>D</t>
  </si>
  <si>
    <t>X0</t>
  </si>
  <si>
    <t>SNT</t>
  </si>
  <si>
    <t>PCU</t>
  </si>
  <si>
    <t>Pfe</t>
  </si>
  <si>
    <t>UNH</t>
  </si>
  <si>
    <t>UNL</t>
  </si>
  <si>
    <t>Typ</t>
  </si>
  <si>
    <t>Xmi0/XT</t>
  </si>
  <si>
    <t>r'</t>
  </si>
  <si>
    <t>x'</t>
  </si>
  <si>
    <t>b</t>
  </si>
  <si>
    <t>l</t>
  </si>
  <si>
    <t>Xo/X1</t>
  </si>
  <si>
    <t>P</t>
  </si>
  <si>
    <t>Q</t>
  </si>
  <si>
    <t>US</t>
  </si>
  <si>
    <t>SkQ</t>
  </si>
  <si>
    <t>X0/X1</t>
  </si>
  <si>
    <t>MVA</t>
  </si>
  <si>
    <t>kV</t>
  </si>
  <si>
    <t>inf</t>
  </si>
  <si>
    <t>-</t>
  </si>
  <si>
    <t>%</t>
  </si>
  <si>
    <t>s</t>
  </si>
  <si>
    <t>Ω</t>
  </si>
  <si>
    <t>uk</t>
  </si>
  <si>
    <t>I0</t>
  </si>
  <si>
    <t>Ynd</t>
  </si>
  <si>
    <t>MW</t>
  </si>
  <si>
    <t>Ω/km</t>
  </si>
  <si>
    <t>S/km</t>
  </si>
  <si>
    <t>km</t>
  </si>
  <si>
    <t>Mvar</t>
  </si>
  <si>
    <t>Dane wejściowe systemu</t>
  </si>
  <si>
    <t>XNGS</t>
  </si>
  <si>
    <t>XG</t>
  </si>
  <si>
    <t>XNTB</t>
  </si>
  <si>
    <t>Xmi0TB</t>
  </si>
  <si>
    <t>XTB(0)</t>
  </si>
  <si>
    <t>XL</t>
  </si>
  <si>
    <t>XQ</t>
  </si>
  <si>
    <t>XQ(0)</t>
  </si>
  <si>
    <t>Generator</t>
  </si>
  <si>
    <t>Transformator</t>
  </si>
  <si>
    <t>Linia 400kV</t>
  </si>
  <si>
    <t>System zewnętrzny</t>
  </si>
  <si>
    <t>XL(0)</t>
  </si>
  <si>
    <t>XTB</t>
  </si>
  <si>
    <t>Składowa symetryczna</t>
  </si>
  <si>
    <t>XTH</t>
  </si>
  <si>
    <t>Składowa zerowa</t>
  </si>
  <si>
    <t>Xkk(0)</t>
  </si>
  <si>
    <t>Xkk(1)</t>
  </si>
  <si>
    <t>UNS</t>
  </si>
  <si>
    <t>KG</t>
  </si>
  <si>
    <t>sin(fin)</t>
  </si>
  <si>
    <t>XGSK</t>
  </si>
  <si>
    <t>KT</t>
  </si>
  <si>
    <t>Zwarcie 3-f</t>
  </si>
  <si>
    <t>Ik"</t>
  </si>
  <si>
    <t>UNk</t>
  </si>
  <si>
    <t>Zwarcie 1-f</t>
  </si>
  <si>
    <t>Ik1"</t>
  </si>
  <si>
    <t>kA</t>
  </si>
  <si>
    <t>Skuteczność uziemienia</t>
  </si>
  <si>
    <t>Skuteczność</t>
  </si>
  <si>
    <t>Schemat zastępczy i obliczenia zwarć</t>
  </si>
  <si>
    <t>Schemat zastępczy i obliczenia stabilności</t>
  </si>
  <si>
    <t>Wartości bazowe dla jednostek względnych</t>
  </si>
  <si>
    <t>Sb</t>
  </si>
  <si>
    <t>Ub</t>
  </si>
  <si>
    <t>Zb</t>
  </si>
  <si>
    <t>Przeliczenie wielkości mianowanych na jedn. Wzgl.</t>
  </si>
  <si>
    <t>tN</t>
  </si>
  <si>
    <t>US20kV</t>
  </si>
  <si>
    <t>XL400kV</t>
  </si>
  <si>
    <t>XL20kV</t>
  </si>
  <si>
    <t>XT20kV</t>
  </si>
  <si>
    <t>XT</t>
  </si>
  <si>
    <t>Xd</t>
  </si>
  <si>
    <t>Xd'</t>
  </si>
  <si>
    <t>XRRN</t>
  </si>
  <si>
    <t>XARN</t>
  </si>
  <si>
    <t>RRN - przypadek ręcznej reg. Napięcia</t>
  </si>
  <si>
    <t>Ua</t>
  </si>
  <si>
    <t>R</t>
  </si>
  <si>
    <t>E</t>
  </si>
  <si>
    <t>delta deg</t>
  </si>
  <si>
    <t>delta rad</t>
  </si>
  <si>
    <t>Pgr</t>
  </si>
  <si>
    <t>PgrMW_RRN</t>
  </si>
  <si>
    <t>kp</t>
  </si>
  <si>
    <t>rad</t>
  </si>
  <si>
    <t>deg</t>
  </si>
  <si>
    <t>ARN - przypadek automatycznej reg. Napięcia</t>
  </si>
  <si>
    <t>E'</t>
  </si>
  <si>
    <t>PgrMW_ARN</t>
  </si>
  <si>
    <t>Kąt wirnika po wyłączeniu zwarcia</t>
  </si>
  <si>
    <t>delta1</t>
  </si>
  <si>
    <t>Krytyczny czas trwania zwarcia</t>
  </si>
  <si>
    <t>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</si>
</sst>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"/>
    <numFmt numFmtId="166" formatCode="0.000000000"/>
  </numFmts>
  <fonts count="8" x14ac:knownFonts="1"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3" applyNumberFormat="0" applyAlignment="0" applyProtection="0"/>
    <xf numFmtId="0" fontId="6" fillId="3" borderId="4" applyNumberFormat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2" fillId="0" borderId="1" xfId="2"/>
    <xf numFmtId="0" fontId="5" fillId="2" borderId="3" xfId="5"/>
    <xf numFmtId="0" fontId="3" fillId="0" borderId="2" xfId="3"/>
    <xf numFmtId="0" fontId="6" fillId="3" borderId="4" xfId="6"/>
    <xf numFmtId="0" fontId="4" fillId="0" borderId="0" xfId="4"/>
    <xf numFmtId="0" fontId="7" fillId="0" borderId="0" xfId="7"/>
    <xf numFmtId="0" fontId="4" fillId="0" borderId="0" xfId="4" applyFill="1" applyBorder="1"/>
    <xf numFmtId="0" fontId="7" fillId="0" borderId="0" xfId="7" applyFill="1" applyBorder="1"/>
    <xf numFmtId="0" fontId="2" fillId="0" borderId="1" xfId="2" applyFill="1"/>
    <xf numFmtId="0" fontId="3" fillId="0" borderId="2" xfId="3" applyFill="1"/>
    <xf numFmtId="164" fontId="6" fillId="3" borderId="4" xfId="6" applyNumberFormat="1"/>
    <xf numFmtId="165" fontId="6" fillId="3" borderId="4" xfId="6" applyNumberFormat="1"/>
    <xf numFmtId="166" fontId="6" fillId="3" borderId="4" xfId="6" applyNumberFormat="1"/>
  </cellXfs>
  <cellStyles count="8">
    <cellStyle name="Dane wejściowe" xfId="5" builtinId="20"/>
    <cellStyle name="Dane wyjściowe" xfId="6" builtinId="21"/>
    <cellStyle name="Nagłówek 1" xfId="2" builtinId="16"/>
    <cellStyle name="Nagłówek 2" xfId="3" builtinId="17"/>
    <cellStyle name="Nagłówek 4" xfId="4" builtinId="19"/>
    <cellStyle name="Normalny" xfId="0" builtinId="0"/>
    <cellStyle name="Tekst objaśnienia" xfId="7" builtinId="53"/>
    <cellStyle name="Tytuł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0</xdr:rowOff>
    </xdr:from>
    <xdr:to>
      <xdr:col>9</xdr:col>
      <xdr:colOff>219076</xdr:colOff>
      <xdr:row>11</xdr:row>
      <xdr:rowOff>170269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7CA22EF3-FCCD-4CEB-B7D7-FD4058A67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52450"/>
          <a:ext cx="6096000" cy="1894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07B8A-8FCC-4C50-B31F-6B77E4FE644B}">
  <dimension ref="A1:P64"/>
  <sheetViews>
    <sheetView tabSelected="1" topLeftCell="A37" workbookViewId="0">
      <selection activeCell="J62" sqref="J62"/>
    </sheetView>
  </sheetViews>
  <sheetFormatPr defaultRowHeight="15" x14ac:dyDescent="0.25"/>
  <cols>
    <col min="2" max="2" width="11.5703125" bestFit="1" customWidth="1"/>
    <col min="6" max="6" width="12.5703125" bestFit="1" customWidth="1"/>
  </cols>
  <sheetData>
    <row r="1" spans="1:16" ht="23.25" x14ac:dyDescent="0.35">
      <c r="A1" s="1" t="s">
        <v>0</v>
      </c>
    </row>
    <row r="2" spans="1:16" ht="20.25" thickBot="1" x14ac:dyDescent="0.35">
      <c r="A2" s="2" t="s">
        <v>1</v>
      </c>
      <c r="B2" s="3">
        <v>12</v>
      </c>
    </row>
    <row r="3" spans="1:16" ht="15.75" thickTop="1" x14ac:dyDescent="0.25"/>
    <row r="13" spans="1:16" ht="20.25" thickBot="1" x14ac:dyDescent="0.35">
      <c r="A13" s="2" t="s">
        <v>47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18.75" thickTop="1" thickBot="1" x14ac:dyDescent="0.35">
      <c r="A14" s="4" t="s">
        <v>3</v>
      </c>
      <c r="B14" s="4"/>
      <c r="C14" s="4"/>
      <c r="D14" s="4"/>
      <c r="E14" s="4" t="s">
        <v>4</v>
      </c>
      <c r="F14" s="4"/>
      <c r="G14" s="4"/>
      <c r="H14" s="4"/>
      <c r="I14" s="4" t="s">
        <v>5</v>
      </c>
      <c r="J14" s="4"/>
      <c r="K14" s="4"/>
      <c r="L14" s="4"/>
      <c r="M14" s="4" t="s">
        <v>2</v>
      </c>
      <c r="N14" s="4"/>
      <c r="O14" s="4"/>
      <c r="P14" s="4"/>
    </row>
    <row r="15" spans="1:16" ht="15.75" thickTop="1" x14ac:dyDescent="0.25">
      <c r="A15" s="6" t="s">
        <v>6</v>
      </c>
      <c r="B15" s="5">
        <f>200+B2</f>
        <v>212</v>
      </c>
      <c r="C15" s="7" t="s">
        <v>32</v>
      </c>
      <c r="E15" s="6" t="s">
        <v>15</v>
      </c>
      <c r="F15" s="5">
        <f>200+B2</f>
        <v>212</v>
      </c>
      <c r="G15" s="7" t="s">
        <v>32</v>
      </c>
      <c r="I15" s="6" t="s">
        <v>22</v>
      </c>
      <c r="J15" s="5">
        <v>0</v>
      </c>
      <c r="K15" s="7" t="s">
        <v>43</v>
      </c>
      <c r="M15" s="6" t="s">
        <v>27</v>
      </c>
      <c r="N15" s="5">
        <f>80+B2</f>
        <v>92</v>
      </c>
      <c r="O15" s="7" t="s">
        <v>42</v>
      </c>
    </row>
    <row r="16" spans="1:16" x14ac:dyDescent="0.25">
      <c r="A16" s="6" t="s">
        <v>7</v>
      </c>
      <c r="B16" s="5">
        <v>25</v>
      </c>
      <c r="C16" s="7" t="s">
        <v>33</v>
      </c>
      <c r="E16" s="6" t="s">
        <v>16</v>
      </c>
      <c r="F16" s="5">
        <v>0</v>
      </c>
      <c r="G16" s="7" t="s">
        <v>42</v>
      </c>
      <c r="I16" s="6" t="s">
        <v>23</v>
      </c>
      <c r="J16" s="5">
        <v>0.4</v>
      </c>
      <c r="K16" s="7" t="s">
        <v>43</v>
      </c>
      <c r="M16" s="6" t="s">
        <v>28</v>
      </c>
      <c r="N16" s="5">
        <f>20+B2</f>
        <v>32</v>
      </c>
      <c r="O16" s="7" t="s">
        <v>46</v>
      </c>
    </row>
    <row r="17" spans="1:15" x14ac:dyDescent="0.25">
      <c r="A17" s="6" t="s">
        <v>8</v>
      </c>
      <c r="B17" s="5">
        <v>0.9</v>
      </c>
      <c r="C17" s="7" t="s">
        <v>35</v>
      </c>
      <c r="E17" s="6" t="s">
        <v>39</v>
      </c>
      <c r="F17" s="5">
        <v>10.5</v>
      </c>
      <c r="G17" s="7" t="s">
        <v>36</v>
      </c>
      <c r="I17" s="6" t="s">
        <v>24</v>
      </c>
      <c r="J17" s="5">
        <v>0</v>
      </c>
      <c r="K17" s="7" t="s">
        <v>44</v>
      </c>
      <c r="M17" s="6" t="s">
        <v>29</v>
      </c>
      <c r="N17" s="5">
        <f>350+B2</f>
        <v>362</v>
      </c>
      <c r="O17" s="7" t="s">
        <v>33</v>
      </c>
    </row>
    <row r="18" spans="1:15" x14ac:dyDescent="0.25">
      <c r="A18" s="6" t="s">
        <v>9</v>
      </c>
      <c r="B18" s="5">
        <v>250</v>
      </c>
      <c r="C18" s="7" t="s">
        <v>36</v>
      </c>
      <c r="E18" s="6" t="s">
        <v>17</v>
      </c>
      <c r="F18" s="5">
        <v>0</v>
      </c>
      <c r="G18" s="7" t="s">
        <v>42</v>
      </c>
      <c r="I18" s="6" t="s">
        <v>25</v>
      </c>
      <c r="J18" s="5">
        <f>B2</f>
        <v>12</v>
      </c>
      <c r="K18" s="7" t="s">
        <v>45</v>
      </c>
      <c r="M18" s="6" t="s">
        <v>30</v>
      </c>
      <c r="N18" s="5">
        <f>10000+50*B2</f>
        <v>10600</v>
      </c>
      <c r="O18" s="7" t="s">
        <v>32</v>
      </c>
    </row>
    <row r="19" spans="1:15" x14ac:dyDescent="0.25">
      <c r="A19" s="6" t="s">
        <v>10</v>
      </c>
      <c r="B19" s="5">
        <v>25</v>
      </c>
      <c r="C19" s="7" t="s">
        <v>36</v>
      </c>
      <c r="E19" s="8" t="s">
        <v>40</v>
      </c>
      <c r="F19" s="5">
        <v>0</v>
      </c>
      <c r="G19" s="7" t="s">
        <v>36</v>
      </c>
      <c r="I19" s="6" t="s">
        <v>26</v>
      </c>
      <c r="J19" s="5">
        <v>2</v>
      </c>
      <c r="K19" s="7" t="s">
        <v>35</v>
      </c>
      <c r="M19" s="6" t="s">
        <v>31</v>
      </c>
      <c r="N19" s="5">
        <v>2.5</v>
      </c>
      <c r="O19" s="7" t="s">
        <v>35</v>
      </c>
    </row>
    <row r="20" spans="1:15" x14ac:dyDescent="0.25">
      <c r="A20" s="6" t="s">
        <v>11</v>
      </c>
      <c r="B20" s="5">
        <v>12</v>
      </c>
      <c r="C20" s="7" t="s">
        <v>36</v>
      </c>
      <c r="E20" s="6" t="s">
        <v>18</v>
      </c>
      <c r="F20" s="5">
        <v>420</v>
      </c>
      <c r="G20" s="7" t="s">
        <v>33</v>
      </c>
      <c r="I20" s="6" t="s">
        <v>74</v>
      </c>
      <c r="J20" s="5">
        <v>400</v>
      </c>
      <c r="K20" s="7" t="s">
        <v>33</v>
      </c>
    </row>
    <row r="21" spans="1:15" x14ac:dyDescent="0.25">
      <c r="A21" s="6" t="s">
        <v>12</v>
      </c>
      <c r="B21" s="5">
        <f>10+B2/10</f>
        <v>11.2</v>
      </c>
      <c r="C21" s="7" t="s">
        <v>37</v>
      </c>
      <c r="E21" s="6" t="s">
        <v>19</v>
      </c>
      <c r="F21" s="5">
        <v>22</v>
      </c>
      <c r="G21" s="7" t="s">
        <v>33</v>
      </c>
    </row>
    <row r="22" spans="1:15" x14ac:dyDescent="0.25">
      <c r="A22" s="6" t="s">
        <v>13</v>
      </c>
      <c r="B22" s="5">
        <v>0</v>
      </c>
      <c r="C22" s="7" t="s">
        <v>35</v>
      </c>
      <c r="E22" s="6" t="s">
        <v>20</v>
      </c>
      <c r="F22" s="5" t="s">
        <v>41</v>
      </c>
      <c r="G22" s="9" t="s">
        <v>35</v>
      </c>
    </row>
    <row r="23" spans="1:15" x14ac:dyDescent="0.25">
      <c r="A23" s="6" t="s">
        <v>14</v>
      </c>
      <c r="B23" s="5" t="s">
        <v>34</v>
      </c>
      <c r="C23" s="7" t="s">
        <v>38</v>
      </c>
      <c r="E23" s="6" t="s">
        <v>21</v>
      </c>
      <c r="F23" s="5">
        <v>6</v>
      </c>
      <c r="G23" s="9" t="s">
        <v>35</v>
      </c>
    </row>
    <row r="24" spans="1:15" x14ac:dyDescent="0.25">
      <c r="A24" s="6" t="s">
        <v>67</v>
      </c>
      <c r="B24" s="5">
        <f>20</f>
        <v>20</v>
      </c>
      <c r="C24" s="7" t="s">
        <v>33</v>
      </c>
    </row>
    <row r="25" spans="1:15" x14ac:dyDescent="0.25">
      <c r="A25" s="6" t="s">
        <v>69</v>
      </c>
      <c r="B25" s="5">
        <f>SQRT(1-B17^2)</f>
        <v>0.43588989435406728</v>
      </c>
      <c r="C25" s="7"/>
    </row>
    <row r="26" spans="1:15" ht="20.25" thickBot="1" x14ac:dyDescent="0.35">
      <c r="A26" s="10" t="s">
        <v>80</v>
      </c>
      <c r="B26" s="2"/>
      <c r="C26" s="2"/>
      <c r="D26" s="2"/>
      <c r="E26" s="2"/>
      <c r="F26" s="2"/>
      <c r="G26" s="2"/>
      <c r="H26" s="2"/>
    </row>
    <row r="27" spans="1:15" ht="18.75" thickTop="1" thickBot="1" x14ac:dyDescent="0.35">
      <c r="A27" s="11" t="s">
        <v>56</v>
      </c>
      <c r="B27" s="4"/>
      <c r="C27" s="4"/>
      <c r="D27" s="4"/>
      <c r="E27" s="11" t="s">
        <v>62</v>
      </c>
      <c r="F27" s="4"/>
      <c r="G27" s="4"/>
      <c r="H27" s="4"/>
    </row>
    <row r="28" spans="1:15" ht="15.75" thickTop="1" x14ac:dyDescent="0.25">
      <c r="A28" s="8" t="s">
        <v>48</v>
      </c>
      <c r="B28" s="13">
        <f>B20/100*B16^2/B15</f>
        <v>0.35377358490566035</v>
      </c>
      <c r="C28" s="7" t="s">
        <v>38</v>
      </c>
      <c r="E28" s="8" t="s">
        <v>63</v>
      </c>
      <c r="F28" s="14">
        <f>((B31+B35)*(B39+B42))/(B31+B35+B39+B42)</f>
        <v>16.802959700525761</v>
      </c>
      <c r="G28" s="7" t="s">
        <v>38</v>
      </c>
    </row>
    <row r="29" spans="1:15" x14ac:dyDescent="0.25">
      <c r="A29" s="8" t="s">
        <v>68</v>
      </c>
      <c r="B29" s="13">
        <f>(B24/B16)*(1.1/(1+(B20/100)*B25))</f>
        <v>0.83625802912389346</v>
      </c>
      <c r="C29" s="7" t="s">
        <v>35</v>
      </c>
      <c r="E29" s="6" t="s">
        <v>66</v>
      </c>
      <c r="F29" s="14">
        <f>F28</f>
        <v>16.802959700525761</v>
      </c>
      <c r="G29" s="7" t="s">
        <v>38</v>
      </c>
    </row>
    <row r="30" spans="1:15" ht="18" thickBot="1" x14ac:dyDescent="0.35">
      <c r="A30" s="8" t="s">
        <v>70</v>
      </c>
      <c r="B30" s="13">
        <f>B29*B28</f>
        <v>0.29584600086930191</v>
      </c>
      <c r="E30" s="4" t="s">
        <v>64</v>
      </c>
      <c r="F30" s="4"/>
      <c r="G30" s="4"/>
      <c r="H30" s="4"/>
    </row>
    <row r="31" spans="1:15" ht="15.75" thickTop="1" x14ac:dyDescent="0.25">
      <c r="A31" s="8" t="s">
        <v>49</v>
      </c>
      <c r="B31" s="12">
        <f>B30*(F20/F21)^2</f>
        <v>107.82486477963812</v>
      </c>
      <c r="C31" s="7" t="s">
        <v>38</v>
      </c>
      <c r="E31" s="6" t="s">
        <v>63</v>
      </c>
      <c r="F31" s="13">
        <f>(B37*(B40+B43))/(B37+B40+B43)</f>
        <v>28.533975113426404</v>
      </c>
      <c r="G31" s="7" t="s">
        <v>38</v>
      </c>
    </row>
    <row r="32" spans="1:15" ht="18" thickBot="1" x14ac:dyDescent="0.35">
      <c r="A32" s="11" t="s">
        <v>57</v>
      </c>
      <c r="B32" s="4"/>
      <c r="C32" s="4"/>
      <c r="D32" s="4"/>
      <c r="E32" s="6" t="s">
        <v>65</v>
      </c>
      <c r="F32" s="13">
        <f>F31</f>
        <v>28.533975113426404</v>
      </c>
      <c r="G32" s="7" t="s">
        <v>38</v>
      </c>
    </row>
    <row r="33" spans="1:16" ht="18.75" thickTop="1" thickBot="1" x14ac:dyDescent="0.35">
      <c r="A33" s="8" t="s">
        <v>50</v>
      </c>
      <c r="B33" s="13">
        <f>F17/100*F20^2/F15</f>
        <v>87.367924528301884</v>
      </c>
      <c r="C33" s="7" t="s">
        <v>38</v>
      </c>
      <c r="E33" s="11" t="s">
        <v>72</v>
      </c>
      <c r="F33" s="4"/>
      <c r="G33" s="4"/>
      <c r="H33" s="4"/>
    </row>
    <row r="34" spans="1:16" ht="15.75" thickTop="1" x14ac:dyDescent="0.25">
      <c r="A34" s="8" t="s">
        <v>71</v>
      </c>
      <c r="B34" s="13">
        <f>0.95*1.1/(1+0.6*(F17/100))</f>
        <v>0.98306679209783632</v>
      </c>
      <c r="E34" s="8" t="s">
        <v>73</v>
      </c>
      <c r="F34" s="5">
        <f>(1.1*J20)/(SQRT(3)*F29)</f>
        <v>15.118415027531531</v>
      </c>
      <c r="G34" s="9" t="s">
        <v>77</v>
      </c>
    </row>
    <row r="35" spans="1:16" ht="18" thickBot="1" x14ac:dyDescent="0.35">
      <c r="A35" s="8" t="s">
        <v>61</v>
      </c>
      <c r="B35" s="13">
        <f>B34*B33</f>
        <v>85.888505298283604</v>
      </c>
      <c r="E35" s="11" t="s">
        <v>75</v>
      </c>
      <c r="F35" s="4"/>
      <c r="G35" s="4"/>
      <c r="H35" s="4"/>
    </row>
    <row r="36" spans="1:16" ht="15.75" thickTop="1" x14ac:dyDescent="0.25">
      <c r="A36" s="8" t="s">
        <v>51</v>
      </c>
      <c r="B36" s="13">
        <f>F23*B35</f>
        <v>515.33103178970168</v>
      </c>
      <c r="C36" s="7" t="s">
        <v>38</v>
      </c>
      <c r="E36" s="8" t="s">
        <v>76</v>
      </c>
      <c r="F36" s="5">
        <f>(1.1*SQRT(3)*J20)/(2*F29+F32)</f>
        <v>12.264300756943582</v>
      </c>
      <c r="G36" s="9" t="s">
        <v>77</v>
      </c>
    </row>
    <row r="37" spans="1:16" ht="18" thickBot="1" x14ac:dyDescent="0.35">
      <c r="A37" s="8" t="s">
        <v>52</v>
      </c>
      <c r="B37" s="13">
        <f>0.5*B35+((0.5*B35*B36)/(0.5*B35+B36))</f>
        <v>82.585101248349616</v>
      </c>
      <c r="C37" s="7" t="s">
        <v>38</v>
      </c>
      <c r="E37" s="11" t="s">
        <v>78</v>
      </c>
      <c r="F37" s="4"/>
      <c r="G37" s="4"/>
      <c r="H37" s="4"/>
    </row>
    <row r="38" spans="1:16" ht="18.75" thickTop="1" thickBot="1" x14ac:dyDescent="0.35">
      <c r="A38" s="11" t="s">
        <v>58</v>
      </c>
      <c r="B38" s="4"/>
      <c r="C38" s="4"/>
      <c r="D38" s="4"/>
      <c r="E38" s="8" t="s">
        <v>31</v>
      </c>
      <c r="F38" s="5">
        <f>F32/F29</f>
        <v>1.6981517317174535</v>
      </c>
    </row>
    <row r="39" spans="1:16" ht="15.75" thickTop="1" x14ac:dyDescent="0.25">
      <c r="A39" s="8" t="s">
        <v>53</v>
      </c>
      <c r="B39" s="5">
        <f>J16*J18</f>
        <v>4.8000000000000007</v>
      </c>
      <c r="C39" s="7" t="s">
        <v>38</v>
      </c>
      <c r="E39" s="8" t="s">
        <v>79</v>
      </c>
      <c r="F39" s="5" t="str">
        <f>IF(AND(F38&gt;=1,F38&lt;=2),"TAK","NIE")</f>
        <v>TAK</v>
      </c>
    </row>
    <row r="40" spans="1:16" x14ac:dyDescent="0.25">
      <c r="A40" s="8" t="s">
        <v>60</v>
      </c>
      <c r="B40" s="5">
        <f>J19*B39</f>
        <v>9.6000000000000014</v>
      </c>
      <c r="C40" s="7" t="s">
        <v>38</v>
      </c>
    </row>
    <row r="41" spans="1:16" ht="18" thickBot="1" x14ac:dyDescent="0.35">
      <c r="A41" s="11" t="s">
        <v>59</v>
      </c>
      <c r="B41" s="4"/>
      <c r="C41" s="4"/>
      <c r="D41" s="4"/>
    </row>
    <row r="42" spans="1:16" ht="15.75" thickTop="1" x14ac:dyDescent="0.25">
      <c r="A42" s="8" t="s">
        <v>54</v>
      </c>
      <c r="B42" s="5">
        <f>1.1*N17^2/N18</f>
        <v>13.59890566037736</v>
      </c>
      <c r="C42" s="7" t="s">
        <v>38</v>
      </c>
    </row>
    <row r="43" spans="1:16" x14ac:dyDescent="0.25">
      <c r="A43" s="8" t="s">
        <v>55</v>
      </c>
      <c r="B43" s="5">
        <f>N19*B42</f>
        <v>33.997264150943401</v>
      </c>
      <c r="C43" s="7" t="s">
        <v>38</v>
      </c>
    </row>
    <row r="44" spans="1:16" ht="20.25" thickBot="1" x14ac:dyDescent="0.35">
      <c r="A44" s="10" t="s">
        <v>81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18.75" thickTop="1" thickBot="1" x14ac:dyDescent="0.35">
      <c r="A45" s="11" t="s">
        <v>82</v>
      </c>
      <c r="B45" s="4"/>
      <c r="C45" s="4"/>
      <c r="D45" s="4"/>
      <c r="E45" s="4" t="s">
        <v>97</v>
      </c>
      <c r="F45" s="4"/>
      <c r="G45" s="4"/>
      <c r="H45" s="4"/>
      <c r="I45" s="4" t="s">
        <v>111</v>
      </c>
      <c r="J45" s="4"/>
      <c r="K45" s="4"/>
      <c r="L45" s="4"/>
    </row>
    <row r="46" spans="1:16" ht="15.75" thickTop="1" x14ac:dyDescent="0.25">
      <c r="A46" t="s">
        <v>83</v>
      </c>
      <c r="B46" s="3">
        <f>B15</f>
        <v>212</v>
      </c>
      <c r="C46" s="7" t="s">
        <v>32</v>
      </c>
      <c r="E46" s="6" t="s">
        <v>98</v>
      </c>
      <c r="F46" s="5">
        <f>(B60*B64+B61*B62)/B52</f>
        <v>0.51459269570208799</v>
      </c>
      <c r="G46" s="7" t="s">
        <v>35</v>
      </c>
      <c r="I46" s="6" t="s">
        <v>112</v>
      </c>
      <c r="J46" s="5">
        <f>ACOS(PI()*SIN(F58)-2*F58*SIN(F58)-COS(F58))</f>
        <v>1.9448579198265188</v>
      </c>
      <c r="K46" s="7" t="s">
        <v>106</v>
      </c>
    </row>
    <row r="47" spans="1:16" x14ac:dyDescent="0.25">
      <c r="A47" t="s">
        <v>84</v>
      </c>
      <c r="B47" s="3">
        <f>B16</f>
        <v>25</v>
      </c>
      <c r="C47" s="7" t="s">
        <v>33</v>
      </c>
      <c r="E47" s="6" t="s">
        <v>84</v>
      </c>
      <c r="F47" s="5">
        <f>(B60*B62-B61*B64)/B52</f>
        <v>1.479454000143503</v>
      </c>
      <c r="G47" s="7" t="s">
        <v>35</v>
      </c>
      <c r="I47" s="6" t="s">
        <v>112</v>
      </c>
      <c r="J47" s="5">
        <f>DEGREES(J46)</f>
        <v>111.43215055865215</v>
      </c>
      <c r="K47" s="7" t="s">
        <v>107</v>
      </c>
    </row>
    <row r="48" spans="1:16" ht="18" thickBot="1" x14ac:dyDescent="0.35">
      <c r="A48" t="s">
        <v>85</v>
      </c>
      <c r="B48" s="3">
        <f>B47^2/B46</f>
        <v>2.9481132075471699</v>
      </c>
      <c r="C48" s="7" t="s">
        <v>38</v>
      </c>
      <c r="E48" s="6" t="s">
        <v>100</v>
      </c>
      <c r="F48" s="14">
        <f>SQRT((B52+F46)^2+F47^2)</f>
        <v>1.9517911075460446</v>
      </c>
      <c r="G48" s="7" t="s">
        <v>35</v>
      </c>
      <c r="I48" s="4" t="s">
        <v>113</v>
      </c>
      <c r="J48" s="4"/>
      <c r="K48" s="4"/>
      <c r="L48" s="4"/>
    </row>
    <row r="49" spans="1:11" ht="18.75" thickTop="1" thickBot="1" x14ac:dyDescent="0.35">
      <c r="A49" s="4" t="s">
        <v>86</v>
      </c>
      <c r="B49" s="4"/>
      <c r="C49" s="4"/>
      <c r="D49" s="4"/>
      <c r="E49" s="6" t="s">
        <v>102</v>
      </c>
      <c r="F49" s="5">
        <f>ATAN(F47/(F46+B52))</f>
        <v>0.86023846541662952</v>
      </c>
      <c r="G49" s="7" t="s">
        <v>106</v>
      </c>
      <c r="I49" s="6" t="s">
        <v>114</v>
      </c>
      <c r="J49" s="5">
        <f>SQRT((2*(J46-F58)*B21)/(100*PI()*B60))</f>
        <v>0.53100715839724844</v>
      </c>
      <c r="K49" s="7" t="s">
        <v>37</v>
      </c>
    </row>
    <row r="50" spans="1:11" ht="15.75" thickTop="1" x14ac:dyDescent="0.25">
      <c r="A50" s="6" t="s">
        <v>87</v>
      </c>
      <c r="B50" s="5">
        <f>F20/F21</f>
        <v>19.09090909090909</v>
      </c>
      <c r="C50" s="7" t="s">
        <v>35</v>
      </c>
      <c r="E50" s="6" t="s">
        <v>101</v>
      </c>
      <c r="F50" s="5">
        <f>DEGREES(F49)</f>
        <v>49.288033443183501</v>
      </c>
      <c r="G50" s="7" t="s">
        <v>107</v>
      </c>
    </row>
    <row r="51" spans="1:11" x14ac:dyDescent="0.25">
      <c r="A51" s="6" t="s">
        <v>88</v>
      </c>
      <c r="B51" s="5">
        <f>N17/B50</f>
        <v>18.961904761904762</v>
      </c>
      <c r="C51" s="7" t="s">
        <v>33</v>
      </c>
      <c r="E51" s="6" t="s">
        <v>103</v>
      </c>
      <c r="F51" s="5">
        <f>F48*B52/B62</f>
        <v>0.57251099939450767</v>
      </c>
      <c r="G51" s="7" t="s">
        <v>35</v>
      </c>
    </row>
    <row r="52" spans="1:11" x14ac:dyDescent="0.25">
      <c r="A52" s="6" t="s">
        <v>29</v>
      </c>
      <c r="B52" s="5">
        <f>B51/B47</f>
        <v>0.75847619047619053</v>
      </c>
      <c r="C52" s="7" t="s">
        <v>35</v>
      </c>
      <c r="E52" s="6" t="s">
        <v>104</v>
      </c>
      <c r="F52" s="5">
        <f>F51*B15</f>
        <v>121.37233187163562</v>
      </c>
      <c r="G52" s="7" t="s">
        <v>42</v>
      </c>
    </row>
    <row r="53" spans="1:11" x14ac:dyDescent="0.25">
      <c r="A53" s="6" t="s">
        <v>89</v>
      </c>
      <c r="B53" s="5">
        <f>J16*J18</f>
        <v>4.8000000000000007</v>
      </c>
      <c r="C53" s="7" t="s">
        <v>38</v>
      </c>
      <c r="E53" s="6" t="s">
        <v>105</v>
      </c>
      <c r="F53" s="5">
        <f>(F51-B60)/F51</f>
        <v>0.24200187488117178</v>
      </c>
      <c r="G53" s="7" t="s">
        <v>35</v>
      </c>
    </row>
    <row r="54" spans="1:11" ht="18" thickBot="1" x14ac:dyDescent="0.35">
      <c r="A54" s="6" t="s">
        <v>90</v>
      </c>
      <c r="B54" s="5">
        <f>B53/B50^2</f>
        <v>1.3170068027210888E-2</v>
      </c>
      <c r="C54" s="7" t="s">
        <v>38</v>
      </c>
      <c r="E54" s="4" t="s">
        <v>108</v>
      </c>
      <c r="F54" s="4"/>
      <c r="G54" s="4"/>
      <c r="H54" s="4"/>
    </row>
    <row r="55" spans="1:11" ht="15.75" thickTop="1" x14ac:dyDescent="0.25">
      <c r="A55" s="6" t="s">
        <v>53</v>
      </c>
      <c r="B55" s="5">
        <f>B54/B48</f>
        <v>4.4672870748299334E-3</v>
      </c>
      <c r="C55" s="7" t="s">
        <v>35</v>
      </c>
      <c r="E55" s="8" t="s">
        <v>98</v>
      </c>
      <c r="F55">
        <f>(B60*B64+B61*B63)/B52</f>
        <v>6.6823015158509774E-2</v>
      </c>
    </row>
    <row r="56" spans="1:11" x14ac:dyDescent="0.25">
      <c r="A56" s="6" t="s">
        <v>91</v>
      </c>
      <c r="B56" s="5">
        <f>F17/100*F21^2/F15</f>
        <v>0.23971698113207549</v>
      </c>
      <c r="C56" s="7" t="s">
        <v>38</v>
      </c>
      <c r="E56" s="8" t="s">
        <v>84</v>
      </c>
      <c r="F56">
        <f>(B60*B63-B61*B64)/B52</f>
        <v>0.19211616858071562</v>
      </c>
    </row>
    <row r="57" spans="1:11" x14ac:dyDescent="0.25">
      <c r="A57" s="6" t="s">
        <v>92</v>
      </c>
      <c r="B57" s="5">
        <f>B56/B48</f>
        <v>8.1312000000000009E-2</v>
      </c>
      <c r="C57" s="7" t="s">
        <v>35</v>
      </c>
      <c r="E57" s="8" t="s">
        <v>109</v>
      </c>
      <c r="F57">
        <f>SQRT((B52+F55)^2+F56^2)</f>
        <v>0.84736497511485642</v>
      </c>
    </row>
    <row r="58" spans="1:11" x14ac:dyDescent="0.25">
      <c r="A58" s="6" t="s">
        <v>93</v>
      </c>
      <c r="B58" s="5">
        <f>B18/100</f>
        <v>2.5</v>
      </c>
      <c r="C58" s="7" t="s">
        <v>35</v>
      </c>
      <c r="E58" s="8" t="s">
        <v>102</v>
      </c>
      <c r="F58">
        <f>ATAN(F56/(F55+B52))</f>
        <v>0.22871057675643974</v>
      </c>
    </row>
    <row r="59" spans="1:11" x14ac:dyDescent="0.25">
      <c r="A59" s="8" t="s">
        <v>94</v>
      </c>
      <c r="B59" s="5">
        <f>B19/100</f>
        <v>0.25</v>
      </c>
      <c r="C59" s="9" t="s">
        <v>35</v>
      </c>
      <c r="E59" s="8" t="s">
        <v>101</v>
      </c>
      <c r="F59">
        <f>DEGREES(F58)</f>
        <v>13.104150778146863</v>
      </c>
    </row>
    <row r="60" spans="1:11" x14ac:dyDescent="0.25">
      <c r="A60" s="8" t="s">
        <v>27</v>
      </c>
      <c r="B60" s="5">
        <f>N15/B15</f>
        <v>0.43396226415094341</v>
      </c>
      <c r="C60" s="9" t="s">
        <v>35</v>
      </c>
      <c r="E60" s="8" t="s">
        <v>103</v>
      </c>
      <c r="F60">
        <f>F57*B52/B63</f>
        <v>1.9140732707697912</v>
      </c>
    </row>
    <row r="61" spans="1:11" x14ac:dyDescent="0.25">
      <c r="A61" s="8" t="s">
        <v>28</v>
      </c>
      <c r="B61" s="5">
        <f>N16/B15</f>
        <v>0.15094339622641509</v>
      </c>
      <c r="C61" s="9" t="s">
        <v>35</v>
      </c>
      <c r="E61" s="8" t="s">
        <v>110</v>
      </c>
      <c r="F61">
        <f>F60*B15</f>
        <v>405.78353340319575</v>
      </c>
    </row>
    <row r="62" spans="1:11" x14ac:dyDescent="0.25">
      <c r="A62" s="8" t="s">
        <v>95</v>
      </c>
      <c r="B62" s="5">
        <f>B58+B57+B55</f>
        <v>2.5857792870748302</v>
      </c>
      <c r="C62" s="9" t="s">
        <v>35</v>
      </c>
      <c r="E62" s="8" t="s">
        <v>105</v>
      </c>
      <c r="F62">
        <f>(F60-B60)/F60</f>
        <v>0.77327813371720355</v>
      </c>
    </row>
    <row r="63" spans="1:11" x14ac:dyDescent="0.25">
      <c r="A63" s="8" t="s">
        <v>96</v>
      </c>
      <c r="B63" s="5">
        <f>B59+B57+B55</f>
        <v>0.3357792870748299</v>
      </c>
      <c r="C63" s="9" t="s">
        <v>35</v>
      </c>
    </row>
    <row r="64" spans="1:11" x14ac:dyDescent="0.25">
      <c r="A64" s="8" t="s">
        <v>99</v>
      </c>
      <c r="B64" s="5">
        <f>0</f>
        <v>0</v>
      </c>
      <c r="C64" s="9" t="s">
        <v>35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Borucki</dc:creator>
  <cp:lastModifiedBy>Kacper Borucki</cp:lastModifiedBy>
  <dcterms:created xsi:type="dcterms:W3CDTF">2020-04-03T08:51:02Z</dcterms:created>
  <dcterms:modified xsi:type="dcterms:W3CDTF">2020-04-10T10:37:16Z</dcterms:modified>
</cp:coreProperties>
</file>