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_semestr VI/Urządzenia elektryczne 3/5-koncepcja-zasilania/"/>
    </mc:Choice>
  </mc:AlternateContent>
  <xr:revisionPtr revIDLastSave="2859" documentId="8_{B4160818-7511-4212-BFBE-DA2DEF542853}" xr6:coauthVersionLast="45" xr6:coauthVersionMax="45" xr10:uidLastSave="{F36AC680-F6BF-47B1-87F2-CD8702C234A2}"/>
  <bookViews>
    <workbookView xWindow="38280" yWindow="-120" windowWidth="29040" windowHeight="16440" tabRatio="951" xr2:uid="{11590330-7094-4274-9DCC-9AFDFCCA8A60}"/>
  </bookViews>
  <sheets>
    <sheet name="Instalacja 3-fazowa" sheetId="7" r:id="rId1"/>
    <sheet name="Dobór WLZ" sheetId="6" r:id="rId2"/>
    <sheet name="Wariant 1 - kompensacja miejsc." sheetId="4" r:id="rId3"/>
    <sheet name="Wariant 1 - kompensacja SO" sheetId="1" r:id="rId4"/>
    <sheet name="Wariant 2" sheetId="3" r:id="rId5"/>
    <sheet name="Wariant 3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7" l="1"/>
  <c r="B57" i="7"/>
  <c r="B56" i="7"/>
  <c r="G91" i="7" l="1"/>
  <c r="F105" i="7"/>
  <c r="G34" i="7"/>
  <c r="D18" i="7"/>
  <c r="D19" i="7"/>
  <c r="D20" i="7"/>
  <c r="D21" i="7"/>
  <c r="D22" i="7"/>
  <c r="D23" i="7"/>
  <c r="D24" i="7"/>
  <c r="D25" i="7"/>
  <c r="D26" i="7"/>
  <c r="D27" i="7"/>
  <c r="D28" i="7"/>
  <c r="D17" i="7"/>
  <c r="G112" i="7" l="1"/>
  <c r="C19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3" i="7"/>
  <c r="G40" i="7"/>
  <c r="B48" i="7"/>
  <c r="C38" i="7"/>
  <c r="D38" i="7"/>
  <c r="E38" i="7"/>
  <c r="F38" i="7"/>
  <c r="G38" i="7"/>
  <c r="B38" i="7"/>
  <c r="D107" i="7"/>
  <c r="E107" i="7"/>
  <c r="B107" i="7"/>
  <c r="I37" i="7"/>
  <c r="B105" i="7"/>
  <c r="F134" i="7" l="1"/>
  <c r="G134" i="7"/>
  <c r="C129" i="7"/>
  <c r="D129" i="7"/>
  <c r="E129" i="7"/>
  <c r="F129" i="7"/>
  <c r="G129" i="7"/>
  <c r="B129" i="7"/>
  <c r="C127" i="7"/>
  <c r="D127" i="7"/>
  <c r="E127" i="7"/>
  <c r="F127" i="7"/>
  <c r="G127" i="7"/>
  <c r="B127" i="7"/>
  <c r="C126" i="7"/>
  <c r="D126" i="7"/>
  <c r="E126" i="7"/>
  <c r="F126" i="7"/>
  <c r="G126" i="7"/>
  <c r="B126" i="7"/>
  <c r="C125" i="7"/>
  <c r="D125" i="7"/>
  <c r="E125" i="7"/>
  <c r="F125" i="7"/>
  <c r="G125" i="7"/>
  <c r="B125" i="7"/>
  <c r="C122" i="7"/>
  <c r="D122" i="7"/>
  <c r="E122" i="7"/>
  <c r="F122" i="7"/>
  <c r="G122" i="7"/>
  <c r="B122" i="7"/>
  <c r="C120" i="7"/>
  <c r="D120" i="7"/>
  <c r="E120" i="7"/>
  <c r="F120" i="7"/>
  <c r="G120" i="7"/>
  <c r="B120" i="7"/>
  <c r="C119" i="7"/>
  <c r="D119" i="7"/>
  <c r="E119" i="7"/>
  <c r="F119" i="7"/>
  <c r="G119" i="7"/>
  <c r="B119" i="7"/>
  <c r="B99" i="6"/>
  <c r="C114" i="7" l="1"/>
  <c r="C115" i="7" s="1"/>
  <c r="D114" i="7"/>
  <c r="D115" i="7" s="1"/>
  <c r="E114" i="7"/>
  <c r="E115" i="7" s="1"/>
  <c r="F114" i="7"/>
  <c r="F115" i="7" s="1"/>
  <c r="G114" i="7"/>
  <c r="G115" i="7" s="1"/>
  <c r="B114" i="7"/>
  <c r="B115" i="7" s="1"/>
  <c r="C112" i="7"/>
  <c r="D112" i="7"/>
  <c r="E112" i="7"/>
  <c r="F112" i="7"/>
  <c r="B112" i="7"/>
  <c r="G106" i="7"/>
  <c r="F106" i="7"/>
  <c r="E106" i="7"/>
  <c r="C106" i="7"/>
  <c r="D106" i="7"/>
  <c r="B106" i="7"/>
  <c r="C97" i="7"/>
  <c r="D97" i="7"/>
  <c r="E97" i="7"/>
  <c r="F97" i="7"/>
  <c r="G97" i="7"/>
  <c r="B97" i="7"/>
  <c r="C88" i="7"/>
  <c r="D88" i="7"/>
  <c r="E88" i="7"/>
  <c r="F88" i="7"/>
  <c r="G88" i="7"/>
  <c r="B88" i="7"/>
  <c r="C86" i="7"/>
  <c r="D86" i="7"/>
  <c r="E86" i="7"/>
  <c r="F86" i="7"/>
  <c r="G86" i="7"/>
  <c r="B86" i="7"/>
  <c r="C74" i="7"/>
  <c r="C107" i="7" s="1"/>
  <c r="D74" i="7"/>
  <c r="E74" i="7"/>
  <c r="F74" i="7"/>
  <c r="F107" i="7" s="1"/>
  <c r="G74" i="7"/>
  <c r="G107" i="7" s="1"/>
  <c r="B74" i="7"/>
  <c r="F82" i="7"/>
  <c r="G82" i="7"/>
  <c r="G35" i="7"/>
  <c r="G105" i="7" l="1"/>
  <c r="F108" i="7"/>
  <c r="B108" i="7"/>
  <c r="E108" i="7"/>
  <c r="C108" i="7"/>
  <c r="D108" i="7"/>
  <c r="G108" i="7"/>
  <c r="F83" i="7"/>
  <c r="G83" i="7"/>
  <c r="E40" i="7"/>
  <c r="E82" i="7" s="1"/>
  <c r="E105" i="7" s="1"/>
  <c r="C40" i="7"/>
  <c r="C56" i="7" s="1"/>
  <c r="D40" i="7"/>
  <c r="D56" i="7" s="1"/>
  <c r="B40" i="7"/>
  <c r="E83" i="7" l="1"/>
  <c r="C82" i="7"/>
  <c r="C105" i="7" s="1"/>
  <c r="B82" i="7"/>
  <c r="D46" i="7"/>
  <c r="D82" i="7"/>
  <c r="D105" i="7" s="1"/>
  <c r="D57" i="7"/>
  <c r="C46" i="7"/>
  <c r="B46" i="7"/>
  <c r="E18" i="7"/>
  <c r="E17" i="7"/>
  <c r="C16" i="7"/>
  <c r="E16" i="7" s="1"/>
  <c r="C14" i="7"/>
  <c r="E14" i="7" s="1"/>
  <c r="C12" i="7"/>
  <c r="E12" i="7" s="1"/>
  <c r="C15" i="7"/>
  <c r="E15" i="7" s="1"/>
  <c r="C13" i="7"/>
  <c r="E13" i="7" s="1"/>
  <c r="C11" i="7"/>
  <c r="E11" i="7" s="1"/>
  <c r="C10" i="7"/>
  <c r="E10" i="7" s="1"/>
  <c r="C6" i="7"/>
  <c r="E6" i="7" s="1"/>
  <c r="C5" i="7"/>
  <c r="C7" i="7" s="1"/>
  <c r="E7" i="7" s="1"/>
  <c r="E34" i="7" s="1"/>
  <c r="C4" i="7"/>
  <c r="E4" i="7" s="1"/>
  <c r="C3" i="7"/>
  <c r="E3" i="7" s="1"/>
  <c r="B34" i="7" s="1"/>
  <c r="B93" i="7" l="1"/>
  <c r="B123" i="7" s="1"/>
  <c r="B94" i="7"/>
  <c r="E93" i="7"/>
  <c r="E123" i="7" s="1"/>
  <c r="E94" i="7"/>
  <c r="E24" i="7"/>
  <c r="E20" i="7"/>
  <c r="E27" i="7"/>
  <c r="B92" i="7"/>
  <c r="B121" i="7" s="1"/>
  <c r="E19" i="7"/>
  <c r="E23" i="7"/>
  <c r="E92" i="7"/>
  <c r="E121" i="7" s="1"/>
  <c r="C48" i="7"/>
  <c r="B83" i="7"/>
  <c r="D83" i="7"/>
  <c r="C83" i="7"/>
  <c r="D48" i="7"/>
  <c r="E5" i="7"/>
  <c r="C34" i="7" s="1"/>
  <c r="C8" i="7"/>
  <c r="C104" i="6"/>
  <c r="B110" i="6"/>
  <c r="B102" i="6"/>
  <c r="B100" i="6"/>
  <c r="C72" i="6"/>
  <c r="B72" i="6"/>
  <c r="B111" i="6"/>
  <c r="E104" i="6"/>
  <c r="E103" i="6"/>
  <c r="B93" i="6"/>
  <c r="B81" i="6"/>
  <c r="B83" i="6"/>
  <c r="B58" i="6"/>
  <c r="C58" i="6"/>
  <c r="B118" i="7" l="1"/>
  <c r="B95" i="7"/>
  <c r="B130" i="7" s="1"/>
  <c r="B128" i="7"/>
  <c r="B91" i="7"/>
  <c r="B98" i="7" s="1"/>
  <c r="E118" i="7"/>
  <c r="C93" i="7"/>
  <c r="C123" i="7" s="1"/>
  <c r="C94" i="7"/>
  <c r="E95" i="7"/>
  <c r="E130" i="7" s="1"/>
  <c r="E128" i="7"/>
  <c r="B101" i="7"/>
  <c r="B102" i="7" s="1"/>
  <c r="E26" i="7"/>
  <c r="E25" i="7"/>
  <c r="E21" i="7"/>
  <c r="F34" i="7" s="1"/>
  <c r="C92" i="7"/>
  <c r="C121" i="7" s="1"/>
  <c r="E91" i="7"/>
  <c r="E98" i="7" s="1"/>
  <c r="E22" i="7"/>
  <c r="E8" i="7"/>
  <c r="C9" i="7"/>
  <c r="E9" i="7" s="1"/>
  <c r="D34" i="7" s="1"/>
  <c r="B41" i="6"/>
  <c r="B43" i="6" s="1"/>
  <c r="C81" i="6"/>
  <c r="C84" i="6" s="1"/>
  <c r="C107" i="6"/>
  <c r="C93" i="6"/>
  <c r="C82" i="6"/>
  <c r="C83" i="6" s="1"/>
  <c r="C71" i="6"/>
  <c r="C67" i="6"/>
  <c r="C64" i="6"/>
  <c r="C41" i="6"/>
  <c r="C43" i="6" s="1"/>
  <c r="B107" i="6"/>
  <c r="B38" i="6"/>
  <c r="B82" i="6"/>
  <c r="B124" i="7" l="1"/>
  <c r="B131" i="7" s="1"/>
  <c r="B132" i="7" s="1"/>
  <c r="B135" i="7" s="1"/>
  <c r="E124" i="7"/>
  <c r="E131" i="7" s="1"/>
  <c r="E132" i="7" s="1"/>
  <c r="E135" i="7" s="1"/>
  <c r="C118" i="7"/>
  <c r="C95" i="7"/>
  <c r="C130" i="7" s="1"/>
  <c r="C128" i="7"/>
  <c r="D93" i="7"/>
  <c r="D123" i="7" s="1"/>
  <c r="D94" i="7"/>
  <c r="F93" i="7"/>
  <c r="F123" i="7" s="1"/>
  <c r="F94" i="7"/>
  <c r="F92" i="7"/>
  <c r="F121" i="7" s="1"/>
  <c r="E28" i="7"/>
  <c r="G94" i="7" s="1"/>
  <c r="D92" i="7"/>
  <c r="D121" i="7" s="1"/>
  <c r="C101" i="7"/>
  <c r="C102" i="7" s="1"/>
  <c r="C91" i="7"/>
  <c r="C98" i="7" s="1"/>
  <c r="B95" i="6"/>
  <c r="C95" i="6"/>
  <c r="C110" i="6"/>
  <c r="C109" i="6"/>
  <c r="C86" i="6"/>
  <c r="F118" i="7" l="1"/>
  <c r="C124" i="7"/>
  <c r="C131" i="7" s="1"/>
  <c r="C132" i="7" s="1"/>
  <c r="C135" i="7" s="1"/>
  <c r="G128" i="7"/>
  <c r="G95" i="7"/>
  <c r="G130" i="7" s="1"/>
  <c r="D95" i="7"/>
  <c r="D130" i="7" s="1"/>
  <c r="D128" i="7"/>
  <c r="F95" i="7"/>
  <c r="F130" i="7" s="1"/>
  <c r="F128" i="7"/>
  <c r="D118" i="7"/>
  <c r="G92" i="7"/>
  <c r="G121" i="7" s="1"/>
  <c r="G93" i="7"/>
  <c r="G123" i="7" s="1"/>
  <c r="G98" i="7"/>
  <c r="F91" i="7"/>
  <c r="F98" i="7" s="1"/>
  <c r="D101" i="7"/>
  <c r="D102" i="7" s="1"/>
  <c r="D91" i="7"/>
  <c r="D98" i="7" s="1"/>
  <c r="B44" i="6"/>
  <c r="B80" i="6"/>
  <c r="B59" i="6"/>
  <c r="B60" i="6" s="1"/>
  <c r="B71" i="6"/>
  <c r="B109" i="6" s="1"/>
  <c r="B67" i="6"/>
  <c r="B64" i="6"/>
  <c r="C36" i="6"/>
  <c r="C35" i="6"/>
  <c r="C38" i="6" s="1"/>
  <c r="B26" i="6"/>
  <c r="B9" i="6"/>
  <c r="B11" i="6" s="1"/>
  <c r="B18" i="6"/>
  <c r="B19" i="6"/>
  <c r="E46" i="4"/>
  <c r="I32" i="4"/>
  <c r="F32" i="4"/>
  <c r="D32" i="4"/>
  <c r="H31" i="4"/>
  <c r="I17" i="4"/>
  <c r="G17" i="4"/>
  <c r="F17" i="4"/>
  <c r="E17" i="4"/>
  <c r="C52" i="4"/>
  <c r="E51" i="4"/>
  <c r="G32" i="4"/>
  <c r="B61" i="4"/>
  <c r="B62" i="4"/>
  <c r="A62" i="4"/>
  <c r="A61" i="4"/>
  <c r="F124" i="7" l="1"/>
  <c r="F131" i="7" s="1"/>
  <c r="F132" i="7" s="1"/>
  <c r="F135" i="7" s="1"/>
  <c r="D124" i="7"/>
  <c r="D131" i="7" s="1"/>
  <c r="D132" i="7" s="1"/>
  <c r="D135" i="7" s="1"/>
  <c r="G118" i="7"/>
  <c r="G124" i="7"/>
  <c r="C80" i="6"/>
  <c r="C85" i="6" s="1"/>
  <c r="C59" i="6"/>
  <c r="C44" i="6"/>
  <c r="C99" i="6"/>
  <c r="B70" i="6"/>
  <c r="B77" i="6" s="1"/>
  <c r="B84" i="6"/>
  <c r="B86" i="6" s="1"/>
  <c r="B85" i="6"/>
  <c r="B20" i="6"/>
  <c r="B23" i="6"/>
  <c r="C111" i="6" s="1"/>
  <c r="B10" i="6"/>
  <c r="G26" i="1"/>
  <c r="G25" i="1"/>
  <c r="F10" i="1"/>
  <c r="B41" i="1"/>
  <c r="C25" i="1"/>
  <c r="D45" i="5"/>
  <c r="F45" i="5" s="1"/>
  <c r="D44" i="5"/>
  <c r="F44" i="5" s="1"/>
  <c r="D40" i="5"/>
  <c r="F40" i="5" s="1"/>
  <c r="D39" i="5"/>
  <c r="F39" i="5" s="1"/>
  <c r="F13" i="5"/>
  <c r="D13" i="5"/>
  <c r="F12" i="5"/>
  <c r="D12" i="5"/>
  <c r="G12" i="5" s="1"/>
  <c r="F11" i="5"/>
  <c r="D11" i="5"/>
  <c r="C11" i="5"/>
  <c r="F10" i="5"/>
  <c r="D10" i="5"/>
  <c r="C10" i="5"/>
  <c r="G131" i="7" l="1"/>
  <c r="G132" i="7" s="1"/>
  <c r="G135" i="7" s="1"/>
  <c r="B24" i="6"/>
  <c r="C112" i="6" s="1"/>
  <c r="C113" i="6" s="1"/>
  <c r="C114" i="6" s="1"/>
  <c r="C117" i="6" s="1"/>
  <c r="C119" i="6" s="1"/>
  <c r="B101" i="6"/>
  <c r="B104" i="6" s="1"/>
  <c r="C100" i="6"/>
  <c r="C101" i="6" s="1"/>
  <c r="C102" i="6" s="1"/>
  <c r="C60" i="6"/>
  <c r="C70" i="6"/>
  <c r="C77" i="6" s="1"/>
  <c r="E24" i="5"/>
  <c r="C24" i="5"/>
  <c r="E10" i="5"/>
  <c r="E25" i="5"/>
  <c r="I18" i="5" s="1"/>
  <c r="G10" i="5"/>
  <c r="E30" i="5" s="1"/>
  <c r="E12" i="5"/>
  <c r="H12" i="5" s="1"/>
  <c r="E13" i="5"/>
  <c r="I19" i="5"/>
  <c r="F24" i="5"/>
  <c r="E11" i="5"/>
  <c r="C25" i="5"/>
  <c r="G11" i="5"/>
  <c r="B112" i="6" l="1"/>
  <c r="C115" i="6"/>
  <c r="B25" i="6"/>
  <c r="B28" i="6" s="1"/>
  <c r="C89" i="6" s="1"/>
  <c r="C92" i="6" s="1"/>
  <c r="D24" i="5"/>
  <c r="H10" i="5"/>
  <c r="D30" i="5" s="1"/>
  <c r="F35" i="5"/>
  <c r="M18" i="5" s="1"/>
  <c r="C30" i="5"/>
  <c r="F30" i="5" s="1"/>
  <c r="B40" i="5"/>
  <c r="G19" i="5"/>
  <c r="H19" i="5"/>
  <c r="B39" i="5"/>
  <c r="G18" i="5"/>
  <c r="F25" i="5"/>
  <c r="E29" i="5"/>
  <c r="F34" i="5" s="1"/>
  <c r="M19" i="5" s="1"/>
  <c r="C29" i="5"/>
  <c r="D25" i="5"/>
  <c r="H11" i="5"/>
  <c r="D29" i="5" s="1"/>
  <c r="E34" i="5" s="1"/>
  <c r="L19" i="5" s="1"/>
  <c r="C40" i="5"/>
  <c r="E40" i="5" s="1"/>
  <c r="G40" i="5" s="1"/>
  <c r="J19" i="5"/>
  <c r="B89" i="6" l="1"/>
  <c r="B92" i="6" s="1"/>
  <c r="B29" i="6"/>
  <c r="B113" i="6"/>
  <c r="B115" i="6"/>
  <c r="D35" i="5"/>
  <c r="E35" i="5"/>
  <c r="L18" i="5" s="1"/>
  <c r="H18" i="5"/>
  <c r="F29" i="5"/>
  <c r="D34" i="5"/>
  <c r="B44" i="5"/>
  <c r="K18" i="5"/>
  <c r="G35" i="5"/>
  <c r="C39" i="5"/>
  <c r="E39" i="5" s="1"/>
  <c r="G39" i="5" s="1"/>
  <c r="J18" i="5"/>
  <c r="B114" i="6" l="1"/>
  <c r="B117" i="6" s="1"/>
  <c r="B119" i="6" s="1"/>
  <c r="B45" i="5"/>
  <c r="K19" i="5"/>
  <c r="G34" i="5"/>
  <c r="C44" i="5"/>
  <c r="E44" i="5" s="1"/>
  <c r="G44" i="5" s="1"/>
  <c r="N18" i="5"/>
  <c r="C45" i="5" l="1"/>
  <c r="E45" i="5" s="1"/>
  <c r="N19" i="5"/>
  <c r="G45" i="5"/>
  <c r="G19" i="3" l="1"/>
  <c r="G33" i="4" l="1"/>
  <c r="G34" i="4"/>
  <c r="G31" i="4"/>
  <c r="D18" i="4"/>
  <c r="F18" i="4" s="1"/>
  <c r="D19" i="4"/>
  <c r="F19" i="4" s="1"/>
  <c r="D20" i="4"/>
  <c r="F20" i="4" s="1"/>
  <c r="D17" i="4"/>
  <c r="I63" i="1"/>
  <c r="F13" i="4" l="1"/>
  <c r="C20" i="4" s="1"/>
  <c r="D13" i="4"/>
  <c r="B20" i="4" s="1"/>
  <c r="F12" i="4"/>
  <c r="C19" i="4" s="1"/>
  <c r="D12" i="4"/>
  <c r="F11" i="4"/>
  <c r="D11" i="4"/>
  <c r="C11" i="4"/>
  <c r="F10" i="4"/>
  <c r="C17" i="4" s="1"/>
  <c r="D10" i="4"/>
  <c r="B17" i="4" s="1"/>
  <c r="C10" i="4"/>
  <c r="I69" i="3"/>
  <c r="I68" i="3"/>
  <c r="H64" i="3"/>
  <c r="F64" i="3"/>
  <c r="E64" i="3"/>
  <c r="D64" i="3"/>
  <c r="C64" i="3"/>
  <c r="H63" i="3"/>
  <c r="F63" i="3"/>
  <c r="E63" i="3"/>
  <c r="D63" i="3"/>
  <c r="C63" i="3"/>
  <c r="D47" i="3"/>
  <c r="F47" i="3" s="1"/>
  <c r="D46" i="3"/>
  <c r="F46" i="3" s="1"/>
  <c r="D42" i="3"/>
  <c r="F42" i="3" s="1"/>
  <c r="C42" i="3"/>
  <c r="E42" i="3" s="1"/>
  <c r="B42" i="3"/>
  <c r="F41" i="3"/>
  <c r="D41" i="3"/>
  <c r="C41" i="3"/>
  <c r="E41" i="3" s="1"/>
  <c r="B41" i="3"/>
  <c r="G36" i="3"/>
  <c r="G69" i="3" s="1"/>
  <c r="F36" i="3"/>
  <c r="F69" i="3" s="1"/>
  <c r="E36" i="3"/>
  <c r="E69" i="3" s="1"/>
  <c r="D36" i="3"/>
  <c r="D69" i="3" s="1"/>
  <c r="C36" i="3"/>
  <c r="B36" i="3"/>
  <c r="G35" i="3"/>
  <c r="G68" i="3" s="1"/>
  <c r="F35" i="3"/>
  <c r="F68" i="3" s="1"/>
  <c r="E35" i="3"/>
  <c r="E68" i="3" s="1"/>
  <c r="D35" i="3"/>
  <c r="D68" i="3" s="1"/>
  <c r="C35" i="3"/>
  <c r="B35" i="3"/>
  <c r="F31" i="3"/>
  <c r="E31" i="3"/>
  <c r="D31" i="3"/>
  <c r="C31" i="3"/>
  <c r="F30" i="3"/>
  <c r="E30" i="3"/>
  <c r="D30" i="3"/>
  <c r="C30" i="3"/>
  <c r="N20" i="3"/>
  <c r="M20" i="3"/>
  <c r="L20" i="3"/>
  <c r="K20" i="3"/>
  <c r="J20" i="3"/>
  <c r="I20" i="3"/>
  <c r="H20" i="3"/>
  <c r="G20" i="3"/>
  <c r="L19" i="3"/>
  <c r="K19" i="3"/>
  <c r="J19" i="3"/>
  <c r="I19" i="3"/>
  <c r="H19" i="3"/>
  <c r="F13" i="3"/>
  <c r="D13" i="3"/>
  <c r="F12" i="3"/>
  <c r="D12" i="3"/>
  <c r="G12" i="3" s="1"/>
  <c r="F11" i="3"/>
  <c r="D11" i="3"/>
  <c r="G11" i="3" s="1"/>
  <c r="C11" i="3"/>
  <c r="F10" i="3"/>
  <c r="D10" i="3"/>
  <c r="G10" i="3" s="1"/>
  <c r="C10" i="3"/>
  <c r="H57" i="1"/>
  <c r="I62" i="1"/>
  <c r="H58" i="1"/>
  <c r="B46" i="3" l="1"/>
  <c r="E10" i="3"/>
  <c r="H10" i="3" s="1"/>
  <c r="E11" i="3"/>
  <c r="H11" i="3" s="1"/>
  <c r="E13" i="3"/>
  <c r="E19" i="4"/>
  <c r="E33" i="4"/>
  <c r="B34" i="4"/>
  <c r="B31" i="4"/>
  <c r="E20" i="4"/>
  <c r="G20" i="4" s="1"/>
  <c r="F34" i="4" s="1"/>
  <c r="E34" i="4"/>
  <c r="C31" i="4"/>
  <c r="E31" i="4"/>
  <c r="E10" i="4"/>
  <c r="H10" i="4" s="1"/>
  <c r="G10" i="4"/>
  <c r="B18" i="4"/>
  <c r="E11" i="4"/>
  <c r="H11" i="4" s="1"/>
  <c r="C18" i="4"/>
  <c r="G12" i="4"/>
  <c r="B19" i="4"/>
  <c r="G11" i="4"/>
  <c r="E13" i="4"/>
  <c r="E12" i="4"/>
  <c r="H12" i="4" s="1"/>
  <c r="J69" i="3"/>
  <c r="K69" i="3" s="1"/>
  <c r="G41" i="3"/>
  <c r="G63" i="3" s="1"/>
  <c r="G42" i="3"/>
  <c r="G64" i="3" s="1"/>
  <c r="G46" i="3"/>
  <c r="H68" i="3" s="1"/>
  <c r="E12" i="3"/>
  <c r="H12" i="3" s="1"/>
  <c r="C46" i="3"/>
  <c r="E46" i="3" s="1"/>
  <c r="M19" i="3"/>
  <c r="B47" i="3"/>
  <c r="I63" i="3"/>
  <c r="J63" i="3" s="1"/>
  <c r="I64" i="3"/>
  <c r="J64" i="3" s="1"/>
  <c r="J68" i="3"/>
  <c r="K68" i="3" s="1"/>
  <c r="N19" i="3"/>
  <c r="C47" i="3"/>
  <c r="E47" i="3" s="1"/>
  <c r="F31" i="4" l="1"/>
  <c r="C34" i="4"/>
  <c r="D34" i="4" s="1"/>
  <c r="E18" i="4"/>
  <c r="G18" i="4" s="1"/>
  <c r="E32" i="4"/>
  <c r="D31" i="4"/>
  <c r="E52" i="4"/>
  <c r="F57" i="4" s="1"/>
  <c r="G19" i="4"/>
  <c r="F33" i="4" s="1"/>
  <c r="B33" i="4"/>
  <c r="C46" i="4" s="1"/>
  <c r="C33" i="4"/>
  <c r="B32" i="4"/>
  <c r="C51" i="4"/>
  <c r="G47" i="3"/>
  <c r="H69" i="3" s="1"/>
  <c r="H34" i="4" l="1"/>
  <c r="I34" i="4" s="1"/>
  <c r="C32" i="4"/>
  <c r="H33" i="4"/>
  <c r="I33" i="4" s="1"/>
  <c r="D33" i="4"/>
  <c r="G40" i="4"/>
  <c r="C47" i="4"/>
  <c r="I31" i="4"/>
  <c r="D56" i="4"/>
  <c r="K40" i="4" s="1"/>
  <c r="D46" i="1"/>
  <c r="F46" i="1" s="1"/>
  <c r="D47" i="1"/>
  <c r="F47" i="1" s="1"/>
  <c r="D41" i="1"/>
  <c r="F41" i="1" s="1"/>
  <c r="D42" i="1"/>
  <c r="F42" i="1" s="1"/>
  <c r="H32" i="4" l="1"/>
  <c r="F52" i="4"/>
  <c r="D52" i="4" s="1"/>
  <c r="E47" i="4"/>
  <c r="I41" i="4" s="1"/>
  <c r="D57" i="4"/>
  <c r="K41" i="4" s="1"/>
  <c r="G41" i="4"/>
  <c r="F11" i="1"/>
  <c r="F12" i="1"/>
  <c r="F13" i="1"/>
  <c r="D11" i="1"/>
  <c r="D12" i="1"/>
  <c r="D13" i="1"/>
  <c r="D10" i="1"/>
  <c r="C11" i="1"/>
  <c r="C10" i="1"/>
  <c r="I40" i="4" l="1"/>
  <c r="F56" i="4"/>
  <c r="F46" i="4"/>
  <c r="J40" i="4" s="1"/>
  <c r="F47" i="4"/>
  <c r="F51" i="4"/>
  <c r="D51" i="4" s="1"/>
  <c r="M41" i="4"/>
  <c r="C62" i="4" s="1"/>
  <c r="D62" i="4" s="1"/>
  <c r="G12" i="1"/>
  <c r="E25" i="1"/>
  <c r="E26" i="1"/>
  <c r="C26" i="1"/>
  <c r="E11" i="1"/>
  <c r="G11" i="1"/>
  <c r="E12" i="1"/>
  <c r="E13" i="1"/>
  <c r="E10" i="1"/>
  <c r="H10" i="1" s="1"/>
  <c r="G10" i="1"/>
  <c r="D46" i="4" l="1"/>
  <c r="H40" i="4" s="1"/>
  <c r="G57" i="4"/>
  <c r="N41" i="4" s="1"/>
  <c r="M40" i="4"/>
  <c r="C61" i="4" s="1"/>
  <c r="D61" i="4" s="1"/>
  <c r="G56" i="4"/>
  <c r="N40" i="4" s="1"/>
  <c r="E56" i="4"/>
  <c r="L40" i="4" s="1"/>
  <c r="D47" i="4"/>
  <c r="J41" i="4"/>
  <c r="F25" i="1"/>
  <c r="J19" i="1" s="1"/>
  <c r="C57" i="1"/>
  <c r="G19" i="1"/>
  <c r="H11" i="1"/>
  <c r="D30" i="1" s="1"/>
  <c r="D26" i="1"/>
  <c r="F26" i="1"/>
  <c r="F58" i="1" s="1"/>
  <c r="C58" i="1"/>
  <c r="G20" i="1"/>
  <c r="B42" i="1"/>
  <c r="E58" i="1"/>
  <c r="I20" i="1"/>
  <c r="H12" i="1"/>
  <c r="D31" i="1" s="1"/>
  <c r="D25" i="1"/>
  <c r="E57" i="1"/>
  <c r="I19" i="1"/>
  <c r="E31" i="1"/>
  <c r="F36" i="1" s="1"/>
  <c r="C31" i="1"/>
  <c r="D36" i="1" s="1"/>
  <c r="D63" i="1" s="1"/>
  <c r="E30" i="1"/>
  <c r="F35" i="1" s="1"/>
  <c r="C30" i="1"/>
  <c r="D35" i="1" s="1"/>
  <c r="D62" i="1" s="1"/>
  <c r="H41" i="4" l="1"/>
  <c r="E57" i="4"/>
  <c r="L41" i="4" s="1"/>
  <c r="D57" i="1"/>
  <c r="I57" i="1" s="1"/>
  <c r="J57" i="1" s="1"/>
  <c r="E35" i="1"/>
  <c r="H19" i="1"/>
  <c r="D58" i="1"/>
  <c r="I58" i="1" s="1"/>
  <c r="J58" i="1" s="1"/>
  <c r="H20" i="1"/>
  <c r="E36" i="1"/>
  <c r="M20" i="1"/>
  <c r="F63" i="1"/>
  <c r="F57" i="1"/>
  <c r="C41" i="1"/>
  <c r="E41" i="1" s="1"/>
  <c r="G41" i="1" s="1"/>
  <c r="G57" i="1" s="1"/>
  <c r="M19" i="1"/>
  <c r="F62" i="1"/>
  <c r="K19" i="1"/>
  <c r="B46" i="1"/>
  <c r="J20" i="1"/>
  <c r="C42" i="1"/>
  <c r="E42" i="1" s="1"/>
  <c r="G42" i="1" s="1"/>
  <c r="G58" i="1" s="1"/>
  <c r="K20" i="1"/>
  <c r="B47" i="1"/>
  <c r="G36" i="1"/>
  <c r="G63" i="1" s="1"/>
  <c r="G35" i="1"/>
  <c r="G62" i="1" s="1"/>
  <c r="F30" i="1"/>
  <c r="F31" i="1"/>
  <c r="L20" i="1" l="1"/>
  <c r="E63" i="1"/>
  <c r="J63" i="1" s="1"/>
  <c r="L19" i="1"/>
  <c r="E62" i="1"/>
  <c r="J62" i="1" s="1"/>
  <c r="N19" i="1"/>
  <c r="C46" i="1"/>
  <c r="E46" i="1" s="1"/>
  <c r="G46" i="1" s="1"/>
  <c r="H62" i="1" s="1"/>
  <c r="N20" i="1"/>
  <c r="C47" i="1"/>
  <c r="E47" i="1" s="1"/>
  <c r="G47" i="1" s="1"/>
  <c r="H63" i="1" s="1"/>
  <c r="K62" i="1" l="1"/>
  <c r="B67" i="1"/>
  <c r="C67" i="1" s="1"/>
  <c r="K63" i="1"/>
  <c r="B68" i="1"/>
  <c r="C6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tc={2C137824-484A-404C-8A59-CEE08A02ED1D}</author>
    <author>tc={E7854EB6-5275-4D90-A631-E51A42E1FFB1}</author>
    <author>tc={376FDC9E-18A1-4ECA-9BF8-6F796E0482B5}</author>
  </authors>
  <commentList>
    <comment ref="D2" authorId="0" shapeId="0" xr:uid="{2C137824-484A-404C-8A59-CEE08A02ED1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Założenie, że zawieszamy przewody 0.5m pod sufitem</t>
      </text>
    </comment>
    <comment ref="D17" authorId="1" shapeId="0" xr:uid="{E7854EB6-5275-4D90-A631-E51A42E1FFB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Wyprowadzenie przewodu z rozdzielnicy: h=1m, wysokość gniazdka: 1,25m -&gt; stąd +25cm, +2m zapasu</t>
      </text>
    </comment>
    <comment ref="A120" authorId="2" shapeId="0" xr:uid="{376FDC9E-18A1-4ECA-9BF8-6F796E0482B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Przyjęty przewód dla WLZ rezerwowej - większe R, gorszy przypadek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tc={353C7F67-9477-4959-BA86-F90FB1D0AFB9}</author>
  </authors>
  <commentList>
    <comment ref="G31" authorId="0" shapeId="0" xr:uid="{353C7F67-9477-4959-BA86-F90FB1D0AFB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Bez jednego członu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tc={22B43C90-10B2-484D-9894-883036AD58FE}</author>
    <author>tc={722FD3AC-1D8B-4453-8D69-4EBC54AE625A}</author>
    <author>tc={76B2F6D2-2A91-4C0A-8654-707E7B7A370F}</author>
    <author>tc={22CBC337-D4F6-4060-AE7B-EBD04429C836}</author>
  </authors>
  <commentList>
    <comment ref="H57" authorId="0" shapeId="0" xr:uid="{22B43C90-10B2-484D-9894-883036AD58F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Bez jednego członu regulacji</t>
      </text>
    </comment>
    <comment ref="H58" authorId="1" shapeId="0" xr:uid="{722FD3AC-1D8B-4453-8D69-4EBC54AE625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Bez jednego członu</t>
      </text>
    </comment>
    <comment ref="I62" authorId="2" shapeId="0" xr:uid="{76B2F6D2-2A91-4C0A-8654-707E7B7A370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Przełączenie członów regulacyjnych, ale jeden jest nadal w zapasie</t>
      </text>
    </comment>
    <comment ref="I63" authorId="3" shapeId="0" xr:uid="{22CBC337-D4F6-4060-AE7B-EBD04429C83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Bez jednego członu regulacyjnego</t>
      </text>
    </comment>
  </commentList>
</comments>
</file>

<file path=xl/sharedStrings.xml><?xml version="1.0" encoding="utf-8"?>
<sst xmlns="http://schemas.openxmlformats.org/spreadsheetml/2006/main" count="1208" uniqueCount="373">
  <si>
    <t>Zestawienie mocy zapotrzebowanych</t>
  </si>
  <si>
    <t>Nr</t>
  </si>
  <si>
    <t>Nazwa oddziału</t>
  </si>
  <si>
    <t>Pn</t>
  </si>
  <si>
    <t>Ps</t>
  </si>
  <si>
    <t>Kategoria zasilania</t>
  </si>
  <si>
    <t>Tłocznia</t>
  </si>
  <si>
    <t>Lakiernia</t>
  </si>
  <si>
    <t>Oddział 3</t>
  </si>
  <si>
    <t>Oddział 4</t>
  </si>
  <si>
    <t>-</t>
  </si>
  <si>
    <t>II - 70%</t>
  </si>
  <si>
    <t>I - 100%</t>
  </si>
  <si>
    <t>II - 60%</t>
  </si>
  <si>
    <t>III</t>
  </si>
  <si>
    <t>Nazwa</t>
  </si>
  <si>
    <t>Qs</t>
  </si>
  <si>
    <t>Oddział</t>
  </si>
  <si>
    <t>Zasilanie podstawowe</t>
  </si>
  <si>
    <t>Zasilanie rezerwowe</t>
  </si>
  <si>
    <t>Pr</t>
  </si>
  <si>
    <t>Qr</t>
  </si>
  <si>
    <t>S</t>
  </si>
  <si>
    <t>Sn
[MVA]</t>
  </si>
  <si>
    <t>Un
[kV]</t>
  </si>
  <si>
    <t>30 / 0,4</t>
  </si>
  <si>
    <t>15/0,4</t>
  </si>
  <si>
    <t>SO1</t>
  </si>
  <si>
    <t>SO2</t>
  </si>
  <si>
    <t>Zasilane
oddziały</t>
  </si>
  <si>
    <t>Rezerwowane oddziały</t>
  </si>
  <si>
    <t>Stacje oddziałowe - zasilanie podstawowe</t>
  </si>
  <si>
    <t>1 i 3</t>
  </si>
  <si>
    <t>2 i 4</t>
  </si>
  <si>
    <t>Stacje oddziałowe - rezerwowane oddziały</t>
  </si>
  <si>
    <t>Stacje oddziałowe - obciążenie podczas rezerwowania</t>
  </si>
  <si>
    <t>P</t>
  </si>
  <si>
    <t>Q</t>
  </si>
  <si>
    <t>Stacja</t>
  </si>
  <si>
    <t>Stacje oddziałowe - zestawienie danych</t>
  </si>
  <si>
    <t>Charakterystyki stacji oddziałowych</t>
  </si>
  <si>
    <t>Qk</t>
  </si>
  <si>
    <t>Dobór baterii kondensatorów - przypadek zasilania podstawowego</t>
  </si>
  <si>
    <t>Dobór baterii kondensatorów - przypadek zasilania podstawowego z rezerwą</t>
  </si>
  <si>
    <t>cosφ</t>
  </si>
  <si>
    <r>
      <t>cos</t>
    </r>
    <r>
      <rPr>
        <b/>
        <sz val="13"/>
        <color theme="3"/>
        <rFont val="Abadi"/>
        <family val="2"/>
      </rPr>
      <t>φ</t>
    </r>
  </si>
  <si>
    <t>cosφn
[-]</t>
  </si>
  <si>
    <t>cosφs</t>
  </si>
  <si>
    <t>cosφk</t>
  </si>
  <si>
    <t>tgφs</t>
  </si>
  <si>
    <t>tgφk</t>
  </si>
  <si>
    <t>1 i 4</t>
  </si>
  <si>
    <t>2 i 3</t>
  </si>
  <si>
    <t>SO1 - kompensacja mocy biernej - zasilanie podstawowe</t>
  </si>
  <si>
    <t>Producent</t>
  </si>
  <si>
    <t>Model</t>
  </si>
  <si>
    <t>Ilość członów</t>
  </si>
  <si>
    <t>Ilość stopni regulacji</t>
  </si>
  <si>
    <t>Szereg regulacyjny</t>
  </si>
  <si>
    <t>Olmex</t>
  </si>
  <si>
    <t>Moc baterii
[kvar]</t>
  </si>
  <si>
    <t>St. Regulacji
[kvar]</t>
  </si>
  <si>
    <t>Stacje oddziałowe - zasilanie podstawowe - weryfikacja kompensacji</t>
  </si>
  <si>
    <t>BKH-96 125/12,5</t>
  </si>
  <si>
    <t>1:1:2:2:4</t>
  </si>
  <si>
    <t>BKH-96 218,75/6,25</t>
  </si>
  <si>
    <t>1:2:4:4:8</t>
  </si>
  <si>
    <t>BKH-96 187,5/12,5 1</t>
  </si>
  <si>
    <t>1:2:4:4</t>
  </si>
  <si>
    <t>Qbaterii</t>
  </si>
  <si>
    <t>Sk</t>
  </si>
  <si>
    <t>cosφkrz</t>
  </si>
  <si>
    <t>Koncepcja zasilania</t>
  </si>
  <si>
    <t>Kompensacja mocy biernej</t>
  </si>
  <si>
    <t xml:space="preserve">2 i 3 </t>
  </si>
  <si>
    <t>SO2- kompensacja mocy biernej - zasilanie podstawowe</t>
  </si>
  <si>
    <t>BKH-96-II 162,5/12,5</t>
  </si>
  <si>
    <t>1:2:2:4:4</t>
  </si>
  <si>
    <t>SO2 - kompensacja mocy biernej - zasilanie z rezerwą</t>
  </si>
  <si>
    <t>BKH-96 237,5/12,5</t>
  </si>
  <si>
    <t>SO1 - kompensacja mocy biernej - obydwa przypadki</t>
  </si>
  <si>
    <t xml:space="preserve">BKH-96 170/10 </t>
  </si>
  <si>
    <t>Oddziały - miejscowa kompensacja mocy biernej</t>
  </si>
  <si>
    <t>Po kompensacji mocy biernej</t>
  </si>
  <si>
    <t>Kompensacja mocy biernej - dobrane baterie</t>
  </si>
  <si>
    <t>1:2:2:3</t>
  </si>
  <si>
    <t>1:2:4:6:6</t>
  </si>
  <si>
    <t>1:2:4:8:8</t>
  </si>
  <si>
    <t>Zasilanie podstawowe + rezerwa</t>
  </si>
  <si>
    <t>Dobrane transformatory</t>
  </si>
  <si>
    <t>Margines</t>
  </si>
  <si>
    <t>Un</t>
  </si>
  <si>
    <t>30kV/0,4kV</t>
  </si>
  <si>
    <t>15kV/0,4kV</t>
  </si>
  <si>
    <t>Moc zwarciowa</t>
  </si>
  <si>
    <t>320MVA</t>
  </si>
  <si>
    <t>160MVA</t>
  </si>
  <si>
    <t>ENCO</t>
  </si>
  <si>
    <t>30/0,4</t>
  </si>
  <si>
    <t>S02</t>
  </si>
  <si>
    <t>SO2 P+R</t>
  </si>
  <si>
    <t>sinfi</t>
  </si>
  <si>
    <t>Dobór transformatorów</t>
  </si>
  <si>
    <t>Przekładnia</t>
  </si>
  <si>
    <t>Moc wymagana</t>
  </si>
  <si>
    <t>Seria</t>
  </si>
  <si>
    <t>Nr ref.</t>
  </si>
  <si>
    <t>Uk [%]</t>
  </si>
  <si>
    <t>Up</t>
  </si>
  <si>
    <t>Uwt</t>
  </si>
  <si>
    <t>Legrand</t>
  </si>
  <si>
    <t>A0Ak</t>
  </si>
  <si>
    <t>FJ5AAAQBB</t>
  </si>
  <si>
    <t>P0 [W]</t>
  </si>
  <si>
    <t>I0 [%]</t>
  </si>
  <si>
    <t>FK3AAAFBB</t>
  </si>
  <si>
    <t>Sn</t>
  </si>
  <si>
    <t>MVA</t>
  </si>
  <si>
    <t>c</t>
  </si>
  <si>
    <t>kV</t>
  </si>
  <si>
    <t>UdT</t>
  </si>
  <si>
    <t>UgT</t>
  </si>
  <si>
    <t>Xq</t>
  </si>
  <si>
    <t>Rq</t>
  </si>
  <si>
    <t>System elektroenergetyczny</t>
  </si>
  <si>
    <t>Zq</t>
  </si>
  <si>
    <t>Omega</t>
  </si>
  <si>
    <t>Transformator</t>
  </si>
  <si>
    <t>Uk%</t>
  </si>
  <si>
    <t>Snt</t>
  </si>
  <si>
    <t>Pcu</t>
  </si>
  <si>
    <t>RT</t>
  </si>
  <si>
    <t>XT</t>
  </si>
  <si>
    <t>ZT</t>
  </si>
  <si>
    <t>%</t>
  </si>
  <si>
    <t>kW</t>
  </si>
  <si>
    <t>Sn [kVA]</t>
  </si>
  <si>
    <t>Pk [W]</t>
  </si>
  <si>
    <t>Zwarcie 3-f na szynach NN transformatora</t>
  </si>
  <si>
    <t>RK</t>
  </si>
  <si>
    <t>XK</t>
  </si>
  <si>
    <t>ZK</t>
  </si>
  <si>
    <t>cmax</t>
  </si>
  <si>
    <t>V</t>
  </si>
  <si>
    <t>IK3max"</t>
  </si>
  <si>
    <t>A</t>
  </si>
  <si>
    <t>kA</t>
  </si>
  <si>
    <t>Prąd początkowy zwarcia 3-f</t>
  </si>
  <si>
    <t>Dobór WLZ</t>
  </si>
  <si>
    <t>mm^2</t>
  </si>
  <si>
    <t>Dane oddziału nr 1</t>
  </si>
  <si>
    <t>cosfi</t>
  </si>
  <si>
    <t>Dobrany przewód</t>
  </si>
  <si>
    <t>kVA</t>
  </si>
  <si>
    <t>Parametr</t>
  </si>
  <si>
    <t>Jednostka</t>
  </si>
  <si>
    <t>Materiał</t>
  </si>
  <si>
    <t>Izolacja</t>
  </si>
  <si>
    <t>Dopuszczalny spadek napięcia</t>
  </si>
  <si>
    <t>m</t>
  </si>
  <si>
    <t>IZ</t>
  </si>
  <si>
    <t>kg</t>
  </si>
  <si>
    <t>IB</t>
  </si>
  <si>
    <t>ΔU%</t>
  </si>
  <si>
    <t>R</t>
  </si>
  <si>
    <t>gamma</t>
  </si>
  <si>
    <t>miedź: 56, aluminium: 33</t>
  </si>
  <si>
    <t>x'</t>
  </si>
  <si>
    <t>mΩ/m</t>
  </si>
  <si>
    <t>m/(Ω*mm^2)</t>
  </si>
  <si>
    <t>Ω</t>
  </si>
  <si>
    <t>X</t>
  </si>
  <si>
    <t>Opis</t>
  </si>
  <si>
    <t>Sposób D wykonania instalacji, 3 żyły obciążone</t>
  </si>
  <si>
    <t>Obciążalność prądowa długotrwała</t>
  </si>
  <si>
    <t>kT</t>
  </si>
  <si>
    <t>3 kable, 25cm od siebie</t>
  </si>
  <si>
    <t>założenie t = 20stopni</t>
  </si>
  <si>
    <t>Przekrój</t>
  </si>
  <si>
    <t>Miedź</t>
  </si>
  <si>
    <t>Wytrzymałość mechaniczna</t>
  </si>
  <si>
    <t>Smech</t>
  </si>
  <si>
    <t>S&gt;=Smech</t>
  </si>
  <si>
    <t>Przekrój przewodu PEN</t>
  </si>
  <si>
    <t>Slmin</t>
  </si>
  <si>
    <t>S&gt;=Slmin</t>
  </si>
  <si>
    <t>L</t>
  </si>
  <si>
    <t>ΔU%dop</t>
  </si>
  <si>
    <t>ΔU%&lt;=ΔU%dop</t>
  </si>
  <si>
    <t>Wytrzymałość cieplna przy przeciążeniach</t>
  </si>
  <si>
    <t>IZ'</t>
  </si>
  <si>
    <t>IZ&gt;IB/(kg*kT)</t>
  </si>
  <si>
    <t>IB/(kg*kT)</t>
  </si>
  <si>
    <t>In</t>
  </si>
  <si>
    <t>I2</t>
  </si>
  <si>
    <t>1,45IZ'</t>
  </si>
  <si>
    <t>Zabezpieczenie nadprądowe</t>
  </si>
  <si>
    <t>InM max</t>
  </si>
  <si>
    <t>alfa</t>
  </si>
  <si>
    <t>prasa</t>
  </si>
  <si>
    <t>rozruch lekki, kilka razy na dobę, wkładka zwłoczna - dużo silników do rozruchu</t>
  </si>
  <si>
    <t>Irmax</t>
  </si>
  <si>
    <t>InFmin</t>
  </si>
  <si>
    <t>Wybrany model</t>
  </si>
  <si>
    <t>If</t>
  </si>
  <si>
    <t>IB&lt;=In&lt;=Iz'</t>
  </si>
  <si>
    <t>I2&lt;=1,45Iz'</t>
  </si>
  <si>
    <t>XLPE</t>
  </si>
  <si>
    <t>Wytrzymałość zwarciowa</t>
  </si>
  <si>
    <t>tkm</t>
  </si>
  <si>
    <t>k</t>
  </si>
  <si>
    <t>ETI WT/NH -1 KOMBI gG/gL 250A</t>
  </si>
  <si>
    <t xml:space="preserve">twył  </t>
  </si>
  <si>
    <t>twył  &lt;= tkm</t>
  </si>
  <si>
    <t>SI^2dt</t>
  </si>
  <si>
    <t>kS^2</t>
  </si>
  <si>
    <t>SI^2dt&lt;=(kS)^2</t>
  </si>
  <si>
    <t>Skuteczność ochrony przeciwporażeniowej</t>
  </si>
  <si>
    <t>Zk1</t>
  </si>
  <si>
    <t>Wzięte z przykładu 7.2 z podręcznika</t>
  </si>
  <si>
    <t>Ik1</t>
  </si>
  <si>
    <t>Ia (t=5s)</t>
  </si>
  <si>
    <t>Ia&lt;=IK1</t>
  </si>
  <si>
    <t>Prądy zwarciowe na poziomie rozdzielnicy</t>
  </si>
  <si>
    <t>RWLZ</t>
  </si>
  <si>
    <t>XWLZ</t>
  </si>
  <si>
    <t>Xk</t>
  </si>
  <si>
    <t>Rk</t>
  </si>
  <si>
    <t>Zk</t>
  </si>
  <si>
    <t>Ik3"</t>
  </si>
  <si>
    <t>s</t>
  </si>
  <si>
    <t>Asqrt(s)/mm^2</t>
  </si>
  <si>
    <t>ip</t>
  </si>
  <si>
    <t>Rk/Xk</t>
  </si>
  <si>
    <t>kappa</t>
  </si>
  <si>
    <t>BK-55 55/5</t>
  </si>
  <si>
    <t>insk</t>
  </si>
  <si>
    <t>WT/NH -1 KOMBI gG/gL 160A</t>
  </si>
  <si>
    <t>insk&gt;-ip</t>
  </si>
  <si>
    <t>Aluminium</t>
  </si>
  <si>
    <t>YAKXS-żo 4x240SM</t>
  </si>
  <si>
    <t>Ch-ki czasowo prądowe</t>
  </si>
  <si>
    <t>https://www.etipolam.com.pl/component/product/?view=ident&amp;levelid=354&amp;id=004194219</t>
  </si>
  <si>
    <t>Ios</t>
  </si>
  <si>
    <t>YKXS, YKXS-żo 4x240SM</t>
  </si>
  <si>
    <t>Lista odbiorników</t>
  </si>
  <si>
    <t>Odbiornik</t>
  </si>
  <si>
    <t>Prasa</t>
  </si>
  <si>
    <t>Podnośnik</t>
  </si>
  <si>
    <t>Piec</t>
  </si>
  <si>
    <t>Przenośnik</t>
  </si>
  <si>
    <t>Gniazdo 3-f</t>
  </si>
  <si>
    <t>3x gniazdo 1-f</t>
  </si>
  <si>
    <t>Długość przewodu na planie [cm]</t>
  </si>
  <si>
    <t>Długość przewodu [m]</t>
  </si>
  <si>
    <t>Dobór przewodów i zabezpieczeń</t>
  </si>
  <si>
    <t>Rodzaj urządzenia</t>
  </si>
  <si>
    <t>Nr Obwodu</t>
  </si>
  <si>
    <t>gniazdo 1-f</t>
  </si>
  <si>
    <t>Długość przewodu</t>
  </si>
  <si>
    <t>Dane odbiorników</t>
  </si>
  <si>
    <t>η</t>
  </si>
  <si>
    <t>Wyznaczenie prądów obciążeń roboczych</t>
  </si>
  <si>
    <t>Zabezpieczenie przeciwzwarciowe</t>
  </si>
  <si>
    <t>Dobór zabezpieczeń zwarciowych</t>
  </si>
  <si>
    <t>kr</t>
  </si>
  <si>
    <t>Y/D</t>
  </si>
  <si>
    <t>tak</t>
  </si>
  <si>
    <t>N/D</t>
  </si>
  <si>
    <t>Typ</t>
  </si>
  <si>
    <t>Dobór zabezpieczeń przeciążeniowych</t>
  </si>
  <si>
    <t>Int</t>
  </si>
  <si>
    <t>Dobrany model</t>
  </si>
  <si>
    <t>Link</t>
  </si>
  <si>
    <t>https://www.etipolam.com.pl/levels-2?view=ident&amp;levelid=244&amp;id=002611009</t>
  </si>
  <si>
    <t>ETI 002611009 CH8x32 aM 16A/400V</t>
  </si>
  <si>
    <t>Zdolność zwarciowa</t>
  </si>
  <si>
    <t>Wyłącznik silnikowy</t>
  </si>
  <si>
    <t>Wymagana nastawa</t>
  </si>
  <si>
    <t>https://www.etipolam.com.pl/levels-2?view=ident&amp;levelid=244&amp;id=006711040</t>
  </si>
  <si>
    <t>ETI 006711040 CH14/P aM 50A/500V 1433950</t>
  </si>
  <si>
    <t>Min nastawa</t>
  </si>
  <si>
    <t>Max nastawa</t>
  </si>
  <si>
    <t>Prąd znamionowy</t>
  </si>
  <si>
    <t>LEGRAND MPX3 100H 4173 73</t>
  </si>
  <si>
    <t>Prąd zadziałania wyzw. EM</t>
  </si>
  <si>
    <t>https://www.etipolam.com.pl/levels-2?view=ident&amp;levelid=244&amp;id=002621015</t>
  </si>
  <si>
    <t>ETI 002621015 CH10x38 aM 32A/400V</t>
  </si>
  <si>
    <t>Wkładka topikowa aM</t>
  </si>
  <si>
    <t>https://www.etipolam.com.pl/levels-2?view=ident&amp;levelid=69&amp;id=632530100</t>
  </si>
  <si>
    <t>https://www.etipolam.com.pl/levels-2?view=ident&amp;levelid=69&amp;id=276340101</t>
  </si>
  <si>
    <t>Charakterystyka</t>
  </si>
  <si>
    <t>aM</t>
  </si>
  <si>
    <t>Dobór przekroju przewodów ze względu na obciążalność długotrwałą</t>
  </si>
  <si>
    <t>Typ prowadzenia instalacji</t>
  </si>
  <si>
    <t>Ilość przewodów obok siebie</t>
  </si>
  <si>
    <t>Iz</t>
  </si>
  <si>
    <t>E, drabinki</t>
  </si>
  <si>
    <t>Materiał żyły</t>
  </si>
  <si>
    <t>miedź</t>
  </si>
  <si>
    <t>Materiał izolacji</t>
  </si>
  <si>
    <t>PVC</t>
  </si>
  <si>
    <t>Iz'</t>
  </si>
  <si>
    <t>Iz'&gt;=IB</t>
  </si>
  <si>
    <t>Sprawdzenie dobranego przekroju ze względu na wytrzymałość mechaniczną</t>
  </si>
  <si>
    <t>S&gt;Smech</t>
  </si>
  <si>
    <t>Dobór przekroju przewodu neutralnego i ochronnego</t>
  </si>
  <si>
    <t>SPENmin</t>
  </si>
  <si>
    <t>Wyznaczenie przekroju przewodów ze względu na dopuszczalny spadek napięcia</t>
  </si>
  <si>
    <t>Dudop</t>
  </si>
  <si>
    <t>LEGRAND MPX3 100H 4173 75</t>
  </si>
  <si>
    <t>DU%</t>
  </si>
  <si>
    <t>m/Om*mm^2</t>
  </si>
  <si>
    <t>mOm/m</t>
  </si>
  <si>
    <t>Om</t>
  </si>
  <si>
    <t>Podczas rozruchu silników</t>
  </si>
  <si>
    <t>DU%r</t>
  </si>
  <si>
    <t>DU%&lt;=Dudop</t>
  </si>
  <si>
    <t>Sprawdzenie przekroju przewodów ze względu na wytrzymałość cieplną przy przeciążeniach</t>
  </si>
  <si>
    <t>IB&lt;=In&lt;=IZ'</t>
  </si>
  <si>
    <t>Sprawdzenie przekroju przewodów ze względu na cieplną wytrzymałość zwarciową</t>
  </si>
  <si>
    <t>Ik"</t>
  </si>
  <si>
    <t>Avs/mm^2</t>
  </si>
  <si>
    <t>I^2t</t>
  </si>
  <si>
    <t>(kS)^2</t>
  </si>
  <si>
    <t>I^2t&lt;=(kS)^2</t>
  </si>
  <si>
    <t>A^2s</t>
  </si>
  <si>
    <t>Sprawdzenie przekroju przewodów ze względu na skuteczność dodatkowej ochrony przeciwporażeniowej</t>
  </si>
  <si>
    <t>Ia</t>
  </si>
  <si>
    <t>Ia&lt;=Ik1</t>
  </si>
  <si>
    <t>tdop</t>
  </si>
  <si>
    <t>RWLZ PEN</t>
  </si>
  <si>
    <t>RL PE</t>
  </si>
  <si>
    <t>RL</t>
  </si>
  <si>
    <t>XQ</t>
  </si>
  <si>
    <t>XL</t>
  </si>
  <si>
    <t>XWLZ PEN</t>
  </si>
  <si>
    <t>XL PE</t>
  </si>
  <si>
    <t>RPEN</t>
  </si>
  <si>
    <t>Przekrój PEN</t>
  </si>
  <si>
    <t>Przekrój żyły</t>
  </si>
  <si>
    <t>X PEN</t>
  </si>
  <si>
    <t>DU%r&lt;=Dudop</t>
  </si>
  <si>
    <t>Rozruch</t>
  </si>
  <si>
    <t>Lekki, kilka razy na dobę</t>
  </si>
  <si>
    <t>Częsty, średni</t>
  </si>
  <si>
    <t>Kilka razy na dobę, średni</t>
  </si>
  <si>
    <t>Parametry przewodów</t>
  </si>
  <si>
    <t>Marka i model</t>
  </si>
  <si>
    <t>Powłoka</t>
  </si>
  <si>
    <t>Ilość żył</t>
  </si>
  <si>
    <t>TFKable TFPremium YDYżo</t>
  </si>
  <si>
    <t>polwinit</t>
  </si>
  <si>
    <t>450/750V</t>
  </si>
  <si>
    <t>0,6/1kV</t>
  </si>
  <si>
    <t>3x4mm^2</t>
  </si>
  <si>
    <t>1,45Iz'</t>
  </si>
  <si>
    <t>sinφ</t>
  </si>
  <si>
    <t>Wkładka topikowa gF</t>
  </si>
  <si>
    <t>ETI NH00 gF 63A/400V</t>
  </si>
  <si>
    <t>gF</t>
  </si>
  <si>
    <t>Długość przewodu + doprowadzenie [630cm] i sprowadzenie [730cm] + 2m [cm]</t>
  </si>
  <si>
    <t>ETI NH1C gF 25A/400V</t>
  </si>
  <si>
    <t>ETI DII gF 16A/690V PL</t>
  </si>
  <si>
    <t>YKXS-żo</t>
  </si>
  <si>
    <t>C, korytka</t>
  </si>
  <si>
    <t>LEGRAND MPX3 100H 4173 71</t>
  </si>
  <si>
    <t>BKH-96 115/5</t>
  </si>
  <si>
    <t>BK-25 16/2</t>
  </si>
  <si>
    <t>BK-180 95/5</t>
  </si>
  <si>
    <t>4x10mm^2</t>
  </si>
  <si>
    <t>4x4mm^2</t>
  </si>
  <si>
    <t>4x16mm^2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</si>
</sst>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3"/>
      <color theme="3"/>
      <name val="Abad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4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4D5156"/>
      <name val="Arial"/>
      <family val="2"/>
      <charset val="238"/>
    </font>
    <font>
      <sz val="12"/>
      <color rgb="FF222222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7" fillId="0" borderId="0"/>
    <xf numFmtId="0" fontId="4" fillId="0" borderId="0" applyNumberFormat="0" applyFill="0" applyBorder="0" applyAlignment="0" applyProtection="0"/>
    <xf numFmtId="0" fontId="12" fillId="3" borderId="4" applyNumberFormat="0" applyAlignment="0" applyProtection="0"/>
    <xf numFmtId="0" fontId="13" fillId="0" borderId="0" applyNumberFormat="0" applyFill="0" applyBorder="0" applyAlignment="0" applyProtection="0"/>
    <xf numFmtId="0" fontId="14" fillId="4" borderId="5" applyNumberFormat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2" fillId="0" borderId="1" xfId="2"/>
    <xf numFmtId="0" fontId="3" fillId="0" borderId="2" xfId="3"/>
    <xf numFmtId="164" fontId="0" fillId="0" borderId="0" xfId="0" applyNumberFormat="1"/>
    <xf numFmtId="0" fontId="4" fillId="0" borderId="3" xfId="4" applyAlignment="1">
      <alignment wrapText="1"/>
    </xf>
    <xf numFmtId="0" fontId="4" fillId="0" borderId="3" xfId="4"/>
    <xf numFmtId="0" fontId="3" fillId="0" borderId="2" xfId="3" applyAlignment="1">
      <alignment wrapText="1"/>
    </xf>
    <xf numFmtId="0" fontId="5" fillId="0" borderId="0" xfId="0" applyFont="1"/>
    <xf numFmtId="0" fontId="3" fillId="0" borderId="2" xfId="3" applyFill="1" applyAlignment="1">
      <alignment wrapText="1"/>
    </xf>
    <xf numFmtId="0" fontId="3" fillId="2" borderId="2" xfId="3" applyFill="1"/>
    <xf numFmtId="0" fontId="4" fillId="2" borderId="3" xfId="4" applyFill="1"/>
    <xf numFmtId="164" fontId="0" fillId="2" borderId="0" xfId="0" applyNumberFormat="1" applyFill="1"/>
    <xf numFmtId="0" fontId="7" fillId="0" borderId="0" xfId="5"/>
    <xf numFmtId="164" fontId="7" fillId="0" borderId="0" xfId="5" applyNumberFormat="1"/>
    <xf numFmtId="0" fontId="5" fillId="0" borderId="0" xfId="5" applyFont="1"/>
    <xf numFmtId="164" fontId="7" fillId="2" borderId="0" xfId="5" applyNumberFormat="1" applyFill="1"/>
    <xf numFmtId="165" fontId="7" fillId="0" borderId="0" xfId="5" applyNumberFormat="1"/>
    <xf numFmtId="0" fontId="8" fillId="0" borderId="0" xfId="5" applyFont="1"/>
    <xf numFmtId="0" fontId="9" fillId="0" borderId="0" xfId="5" applyFont="1"/>
    <xf numFmtId="0" fontId="10" fillId="0" borderId="1" xfId="2" applyFont="1"/>
    <xf numFmtId="0" fontId="11" fillId="0" borderId="1" xfId="2" applyFont="1"/>
    <xf numFmtId="166" fontId="0" fillId="0" borderId="0" xfId="0" applyNumberFormat="1"/>
    <xf numFmtId="166" fontId="0" fillId="2" borderId="0" xfId="0" applyNumberFormat="1" applyFill="1"/>
    <xf numFmtId="0" fontId="3" fillId="0" borderId="0" xfId="3" applyFill="1" applyBorder="1" applyAlignment="1">
      <alignment wrapText="1"/>
    </xf>
    <xf numFmtId="0" fontId="3" fillId="0" borderId="2" xfId="3" applyFill="1"/>
    <xf numFmtId="0" fontId="3" fillId="0" borderId="0" xfId="3" applyFill="1" applyBorder="1"/>
    <xf numFmtId="0" fontId="4" fillId="0" borderId="0" xfId="6"/>
    <xf numFmtId="0" fontId="12" fillId="3" borderId="4" xfId="7"/>
    <xf numFmtId="0" fontId="13" fillId="4" borderId="5" xfId="8" applyFill="1" applyBorder="1"/>
    <xf numFmtId="0" fontId="13" fillId="0" borderId="0" xfId="8"/>
    <xf numFmtId="0" fontId="2" fillId="0" borderId="1" xfId="2" applyFill="1"/>
    <xf numFmtId="0" fontId="4" fillId="0" borderId="0" xfId="6" applyFill="1" applyBorder="1"/>
    <xf numFmtId="0" fontId="16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4" fillId="4" borderId="5" xfId="9"/>
    <xf numFmtId="0" fontId="15" fillId="0" borderId="0" xfId="10"/>
    <xf numFmtId="0" fontId="0" fillId="0" borderId="0" xfId="0" applyFont="1"/>
    <xf numFmtId="0" fontId="17" fillId="0" borderId="0" xfId="0" applyFont="1"/>
    <xf numFmtId="0" fontId="13" fillId="0" borderId="2" xfId="8" applyBorder="1"/>
    <xf numFmtId="164" fontId="13" fillId="0" borderId="0" xfId="8" applyNumberFormat="1"/>
    <xf numFmtId="0" fontId="13" fillId="0" borderId="0" xfId="8" applyFill="1" applyBorder="1"/>
    <xf numFmtId="2" fontId="0" fillId="0" borderId="0" xfId="0" applyNumberFormat="1" applyFont="1"/>
  </cellXfs>
  <cellStyles count="11">
    <cellStyle name="Dane wejściowe" xfId="7" builtinId="20"/>
    <cellStyle name="Dane wyjściowe" xfId="9" builtinId="21"/>
    <cellStyle name="Hiperłącze" xfId="10" builtinId="8"/>
    <cellStyle name="Nagłówek 1" xfId="2" builtinId="16"/>
    <cellStyle name="Nagłówek 2" xfId="3" builtinId="17"/>
    <cellStyle name="Nagłówek 3" xfId="4" builtinId="18"/>
    <cellStyle name="Nagłówek 4" xfId="6" builtinId="19"/>
    <cellStyle name="Normalny" xfId="0" builtinId="0"/>
    <cellStyle name="Normalny 2" xfId="5" xr:uid="{35D4E664-75EC-440A-A8E2-B81CD8B0E1EE}"/>
    <cellStyle name="Tekst objaśnienia" xfId="8" builtinId="53"/>
    <cellStyle name="Tytuł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7</xdr:col>
      <xdr:colOff>338921</xdr:colOff>
      <xdr:row>5</xdr:row>
      <xdr:rowOff>47625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9283ADC-043B-4B83-BCB8-D1DAEAEDA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790575"/>
          <a:ext cx="948522" cy="4381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28575</xdr:rowOff>
    </xdr:from>
    <xdr:to>
      <xdr:col>7</xdr:col>
      <xdr:colOff>357553</xdr:colOff>
      <xdr:row>7</xdr:row>
      <xdr:rowOff>28575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74704FD-C815-4F51-9CA2-12E5C21C6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1209675"/>
          <a:ext cx="967154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7</xdr:row>
      <xdr:rowOff>0</xdr:rowOff>
    </xdr:from>
    <xdr:to>
      <xdr:col>7</xdr:col>
      <xdr:colOff>554935</xdr:colOff>
      <xdr:row>9</xdr:row>
      <xdr:rowOff>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39BA30D-8C49-44D5-8097-64A57822A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3075" y="1562100"/>
          <a:ext cx="935936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161925</xdr:rowOff>
    </xdr:from>
    <xdr:to>
      <xdr:col>8</xdr:col>
      <xdr:colOff>-1</xdr:colOff>
      <xdr:row>15</xdr:row>
      <xdr:rowOff>37446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836335D-C747-4BBA-BDBD-26896BF1F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24475" y="2676525"/>
          <a:ext cx="1219200" cy="49464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19</xdr:row>
      <xdr:rowOff>0</xdr:rowOff>
    </xdr:from>
    <xdr:to>
      <xdr:col>8</xdr:col>
      <xdr:colOff>9524</xdr:colOff>
      <xdr:row>21</xdr:row>
      <xdr:rowOff>74660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3CE19CB4-7D27-479D-85D2-A5F84CD09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3895725"/>
          <a:ext cx="1219200" cy="4556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85725</xdr:rowOff>
    </xdr:from>
    <xdr:to>
      <xdr:col>8</xdr:col>
      <xdr:colOff>95249</xdr:colOff>
      <xdr:row>18</xdr:row>
      <xdr:rowOff>57150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F3B269C8-2448-44F2-819D-52C881167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24475" y="3219450"/>
          <a:ext cx="1314450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184014</xdr:rowOff>
    </xdr:from>
    <xdr:to>
      <xdr:col>8</xdr:col>
      <xdr:colOff>-1</xdr:colOff>
      <xdr:row>24</xdr:row>
      <xdr:rowOff>133350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F3F91891-7DB3-43B2-A838-877CA4FEC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24475" y="4460739"/>
          <a:ext cx="1219200" cy="56846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69</xdr:row>
      <xdr:rowOff>147029</xdr:rowOff>
    </xdr:from>
    <xdr:to>
      <xdr:col>11</xdr:col>
      <xdr:colOff>0</xdr:colOff>
      <xdr:row>76</xdr:row>
      <xdr:rowOff>19050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A02A4234-AB61-4D67-85E4-B7F5F85B5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2091379"/>
          <a:ext cx="3048000" cy="121504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15</xdr:col>
      <xdr:colOff>390525</xdr:colOff>
      <xdr:row>39</xdr:row>
      <xdr:rowOff>180425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7F9BE2BE-67FF-4427-8707-02D1229EF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53275" y="6677025"/>
          <a:ext cx="4048125" cy="13805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11</xdr:col>
      <xdr:colOff>361950</xdr:colOff>
      <xdr:row>93</xdr:row>
      <xdr:rowOff>111517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E7239A9A-2582-4656-8D30-981800B09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24475" y="15192375"/>
          <a:ext cx="3409950" cy="32547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ryk\Desktop\6%20semest\projekt%20urz&#261;dzenia\etap%205%20koncepcj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29">
          <cell r="C29">
            <v>100.73</v>
          </cell>
          <cell r="D29">
            <v>77.648723845437502</v>
          </cell>
          <cell r="E29">
            <v>127.18434343434342</v>
          </cell>
          <cell r="F29">
            <v>0.79200000000000015</v>
          </cell>
        </row>
        <row r="30">
          <cell r="C30">
            <v>383.43799999999999</v>
          </cell>
          <cell r="D30">
            <v>250.07265789787004</v>
          </cell>
          <cell r="E30">
            <v>457.77836785075937</v>
          </cell>
          <cell r="F30">
            <v>0.83760620188371349</v>
          </cell>
        </row>
        <row r="34">
          <cell r="B34" t="str">
            <v>2 i 3</v>
          </cell>
          <cell r="C34">
            <v>1</v>
          </cell>
          <cell r="D34">
            <v>624.16800000000001</v>
          </cell>
          <cell r="E34">
            <v>432.72138174330757</v>
          </cell>
          <cell r="F34">
            <v>759.69041631480036</v>
          </cell>
          <cell r="G34">
            <v>0.82160836387510439</v>
          </cell>
        </row>
        <row r="35">
          <cell r="B35" t="str">
            <v>1 i 4</v>
          </cell>
          <cell r="C35" t="str">
            <v>2 i 3</v>
          </cell>
          <cell r="D35">
            <v>807.33799999999997</v>
          </cell>
          <cell r="E35">
            <v>578.30309716856664</v>
          </cell>
          <cell r="F35">
            <v>993.90002499942784</v>
          </cell>
          <cell r="G35">
            <v>0.81229296679056295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cper" id="{3E69CC52-2D33-4CDC-9799-D7144135C3DA}" userId="Kacper" providerId="None"/>
  <person displayName="Student 245365" id="{CC9C1AE7-18A0-4C55-AC35-68552F753DFD}" userId="Student 245365" providerId="None"/>
</personList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5-12T13:55:27.84" personId="{3E69CC52-2D33-4CDC-9799-D7144135C3DA}" id="{2C137824-484A-404C-8A59-CEE08A02ED1D}">
    <text>Założenie, że zawieszamy przewody 0.5m pod sufitem</text>
  </threadedComment>
  <threadedComment ref="D17" dT="2020-05-12T13:58:28.01" personId="{3E69CC52-2D33-4CDC-9799-D7144135C3DA}" id="{E7854EB6-5275-4D90-A631-E51A42E1FFB1}">
    <text>Wyprowadzenie przewodu z rozdzielnicy: h=1m, wysokość gniazdka: 1,25m -&gt; stąd +25cm, +2m zapasu</text>
  </threadedComment>
  <threadedComment ref="A120" dT="2020-05-19T12:35:59.10" personId="{3E69CC52-2D33-4CDC-9799-D7144135C3DA}" id="{376FDC9E-18A1-4ECA-9BF8-6F796E0482B5}">
    <text>Przyjęty przewód dla WLZ rezerwowej - większe R, gorszy przypadek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1" dT="2020-04-17T12:14:43.61" personId="{CC9C1AE7-18A0-4C55-AC35-68552F753DFD}" id="{353C7F67-9477-4959-BA86-F90FB1D0AFB9}">
    <text>Bez jednego członu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57" dT="2020-04-17T12:15:02.93" personId="{CC9C1AE7-18A0-4C55-AC35-68552F753DFD}" id="{22B43C90-10B2-484D-9894-883036AD58FE}">
    <text>Bez jednego członu regulacji</text>
  </threadedComment>
  <threadedComment ref="H58" dT="2020-04-17T12:14:43.61" personId="{CC9C1AE7-18A0-4C55-AC35-68552F753DFD}" id="{722FD3AC-1D8B-4453-8D69-4EBC54AE625A}">
    <text>Bez jednego członu</text>
  </threadedComment>
  <threadedComment ref="I62" dT="2020-04-17T12:18:28.55" personId="{CC9C1AE7-18A0-4C55-AC35-68552F753DFD}" id="{76B2F6D2-2A91-4C0A-8654-707E7B7A370F}">
    <text>Przełączenie członów regulacyjnych, ale jeden jest nadal w zapasie</text>
  </threadedComment>
  <threadedComment ref="I63" dT="2020-04-17T12:18:01.44" personId="{CC9C1AE7-18A0-4C55-AC35-68552F753DFD}" id="{22CBC337-D4F6-4060-AE7B-EBD04429C836}">
    <text>Bez jednego członu regulacyjnego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etipolam.com.pl/levels-2?view=ident&amp;levelid=244&amp;id=002621015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etipolam.com.pl/levels-2?view=ident&amp;levelid=244&amp;id=006711040" TargetMode="External"/><Relationship Id="rId1" Type="http://schemas.openxmlformats.org/officeDocument/2006/relationships/hyperlink" Target="https://www.etipolam.com.pl/levels-2?view=ident&amp;levelid=244&amp;id=00261100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tipolam.com.pl/levels-2?view=ident&amp;levelid=69&amp;id=276340101" TargetMode="External"/><Relationship Id="rId4" Type="http://schemas.openxmlformats.org/officeDocument/2006/relationships/hyperlink" Target="https://www.etipolam.com.pl/levels-2?view=ident&amp;levelid=69&amp;id=632530100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tipolam.com.pl/component/product/?view=ident&amp;levelid=354&amp;id=00419421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FE7C-7B1C-48C9-80EA-34B34C620005}">
  <dimension ref="A1:I135"/>
  <sheetViews>
    <sheetView tabSelected="1" topLeftCell="A103" workbookViewId="0">
      <selection activeCell="E133" sqref="E133"/>
    </sheetView>
  </sheetViews>
  <sheetFormatPr defaultRowHeight="15" x14ac:dyDescent="0.25"/>
  <cols>
    <col min="1" max="1" width="15.42578125" customWidth="1"/>
    <col min="2" max="2" width="12.5703125" bestFit="1" customWidth="1"/>
    <col min="3" max="3" width="14.7109375" customWidth="1"/>
    <col min="4" max="4" width="18.85546875" customWidth="1"/>
    <col min="5" max="5" width="18.7109375" customWidth="1"/>
    <col min="6" max="6" width="13" customWidth="1"/>
    <col min="7" max="7" width="14.7109375" customWidth="1"/>
  </cols>
  <sheetData>
    <row r="1" spans="1:7" ht="20.25" thickBot="1" x14ac:dyDescent="0.35">
      <c r="A1" s="2" t="s">
        <v>245</v>
      </c>
      <c r="B1" s="2"/>
      <c r="C1" s="2"/>
      <c r="D1" s="2"/>
      <c r="E1" s="2"/>
      <c r="F1" s="2"/>
      <c r="G1" s="2"/>
    </row>
    <row r="2" spans="1:7" ht="122.25" thickTop="1" thickBot="1" x14ac:dyDescent="0.35">
      <c r="A2" s="7" t="s">
        <v>1</v>
      </c>
      <c r="B2" s="7" t="s">
        <v>246</v>
      </c>
      <c r="C2" s="7" t="s">
        <v>253</v>
      </c>
      <c r="D2" s="7" t="s">
        <v>361</v>
      </c>
      <c r="E2" s="7" t="s">
        <v>254</v>
      </c>
      <c r="F2" s="7" t="s">
        <v>263</v>
      </c>
      <c r="G2" s="9" t="s">
        <v>152</v>
      </c>
    </row>
    <row r="3" spans="1:7" ht="15.75" thickTop="1" x14ac:dyDescent="0.25">
      <c r="A3">
        <v>1</v>
      </c>
      <c r="B3" t="s">
        <v>247</v>
      </c>
      <c r="C3">
        <f>50+50+1090</f>
        <v>1190</v>
      </c>
      <c r="D3">
        <f>C3+630+730+200</f>
        <v>2750</v>
      </c>
      <c r="E3">
        <f>D3/100</f>
        <v>27.5</v>
      </c>
    </row>
    <row r="4" spans="1:7" x14ac:dyDescent="0.25">
      <c r="A4">
        <v>2</v>
      </c>
      <c r="B4" t="s">
        <v>247</v>
      </c>
      <c r="C4">
        <f>540+50+50</f>
        <v>640</v>
      </c>
      <c r="D4">
        <f t="shared" ref="D4:D16" si="0">C4+630+730+200</f>
        <v>2200</v>
      </c>
      <c r="E4">
        <f t="shared" ref="E4:E28" si="1">D4/100</f>
        <v>22</v>
      </c>
    </row>
    <row r="5" spans="1:7" x14ac:dyDescent="0.25">
      <c r="A5">
        <v>3</v>
      </c>
      <c r="B5" t="s">
        <v>248</v>
      </c>
      <c r="C5">
        <f>280+1090+50+470+50</f>
        <v>1940</v>
      </c>
      <c r="D5">
        <f t="shared" si="0"/>
        <v>3500</v>
      </c>
      <c r="E5">
        <f t="shared" si="1"/>
        <v>35</v>
      </c>
    </row>
    <row r="6" spans="1:7" x14ac:dyDescent="0.25">
      <c r="A6">
        <v>4</v>
      </c>
      <c r="B6" t="s">
        <v>248</v>
      </c>
      <c r="C6">
        <f>50+470+470+50</f>
        <v>1040</v>
      </c>
      <c r="D6">
        <f t="shared" si="0"/>
        <v>2600</v>
      </c>
      <c r="E6">
        <f t="shared" si="1"/>
        <v>26</v>
      </c>
    </row>
    <row r="7" spans="1:7" x14ac:dyDescent="0.25">
      <c r="A7">
        <v>5</v>
      </c>
      <c r="B7" t="s">
        <v>249</v>
      </c>
      <c r="C7">
        <f>C5+300</f>
        <v>2240</v>
      </c>
      <c r="D7">
        <f t="shared" si="0"/>
        <v>3800</v>
      </c>
      <c r="E7">
        <f t="shared" si="1"/>
        <v>38</v>
      </c>
    </row>
    <row r="8" spans="1:7" x14ac:dyDescent="0.25">
      <c r="A8">
        <v>6</v>
      </c>
      <c r="B8" t="s">
        <v>249</v>
      </c>
      <c r="C8">
        <f>C6+300</f>
        <v>1340</v>
      </c>
      <c r="D8">
        <f t="shared" si="0"/>
        <v>2900</v>
      </c>
      <c r="E8">
        <f t="shared" si="1"/>
        <v>29</v>
      </c>
    </row>
    <row r="9" spans="1:7" x14ac:dyDescent="0.25">
      <c r="A9">
        <v>7</v>
      </c>
      <c r="B9" t="s">
        <v>250</v>
      </c>
      <c r="C9">
        <f>C8+550+300</f>
        <v>2190</v>
      </c>
      <c r="D9">
        <f t="shared" si="0"/>
        <v>3750</v>
      </c>
      <c r="E9">
        <f t="shared" si="1"/>
        <v>37.5</v>
      </c>
    </row>
    <row r="10" spans="1:7" x14ac:dyDescent="0.25">
      <c r="A10">
        <v>8</v>
      </c>
      <c r="B10" t="s">
        <v>247</v>
      </c>
      <c r="C10">
        <f>50+50+50</f>
        <v>150</v>
      </c>
      <c r="D10">
        <f t="shared" si="0"/>
        <v>1710</v>
      </c>
      <c r="E10">
        <f t="shared" si="1"/>
        <v>17.100000000000001</v>
      </c>
    </row>
    <row r="11" spans="1:7" x14ac:dyDescent="0.25">
      <c r="A11">
        <v>9</v>
      </c>
      <c r="B11" t="s">
        <v>247</v>
      </c>
      <c r="C11">
        <f>50+590+50</f>
        <v>690</v>
      </c>
      <c r="D11">
        <f t="shared" si="0"/>
        <v>2250</v>
      </c>
      <c r="E11">
        <f t="shared" si="1"/>
        <v>22.5</v>
      </c>
    </row>
    <row r="12" spans="1:7" x14ac:dyDescent="0.25">
      <c r="A12">
        <v>10</v>
      </c>
      <c r="B12" t="s">
        <v>248</v>
      </c>
      <c r="C12">
        <f>50+40+470+50</f>
        <v>610</v>
      </c>
      <c r="D12">
        <f t="shared" si="0"/>
        <v>2170</v>
      </c>
      <c r="E12">
        <f t="shared" si="1"/>
        <v>21.7</v>
      </c>
    </row>
    <row r="13" spans="1:7" x14ac:dyDescent="0.25">
      <c r="A13">
        <v>11</v>
      </c>
      <c r="B13" t="s">
        <v>248</v>
      </c>
      <c r="C13">
        <f>50+870+470+50</f>
        <v>1440</v>
      </c>
      <c r="D13">
        <f t="shared" si="0"/>
        <v>3000</v>
      </c>
      <c r="E13">
        <f t="shared" si="1"/>
        <v>30</v>
      </c>
    </row>
    <row r="14" spans="1:7" x14ac:dyDescent="0.25">
      <c r="A14">
        <v>12</v>
      </c>
      <c r="B14" t="s">
        <v>249</v>
      </c>
      <c r="C14">
        <f>50+40+770+50</f>
        <v>910</v>
      </c>
      <c r="D14">
        <f t="shared" si="0"/>
        <v>2470</v>
      </c>
      <c r="E14">
        <f t="shared" si="1"/>
        <v>24.7</v>
      </c>
    </row>
    <row r="15" spans="1:7" x14ac:dyDescent="0.25">
      <c r="A15">
        <v>13</v>
      </c>
      <c r="B15" t="s">
        <v>249</v>
      </c>
      <c r="C15">
        <f>50+870+770+50</f>
        <v>1740</v>
      </c>
      <c r="D15">
        <f t="shared" si="0"/>
        <v>3300</v>
      </c>
      <c r="E15">
        <f t="shared" si="1"/>
        <v>33</v>
      </c>
    </row>
    <row r="16" spans="1:7" x14ac:dyDescent="0.25">
      <c r="A16">
        <v>14</v>
      </c>
      <c r="B16" t="s">
        <v>250</v>
      </c>
      <c r="C16">
        <f>50+40+1320+350</f>
        <v>1760</v>
      </c>
      <c r="D16">
        <f t="shared" si="0"/>
        <v>3320</v>
      </c>
      <c r="E16">
        <f t="shared" si="1"/>
        <v>33.200000000000003</v>
      </c>
    </row>
    <row r="17" spans="1:8" x14ac:dyDescent="0.25">
      <c r="A17">
        <v>15</v>
      </c>
      <c r="B17" t="s">
        <v>251</v>
      </c>
      <c r="C17">
        <v>830</v>
      </c>
      <c r="D17">
        <f>C17+400+375+200</f>
        <v>1805</v>
      </c>
      <c r="E17">
        <f t="shared" si="1"/>
        <v>18.05</v>
      </c>
    </row>
    <row r="18" spans="1:8" x14ac:dyDescent="0.25">
      <c r="A18">
        <v>16</v>
      </c>
      <c r="B18" t="s">
        <v>251</v>
      </c>
      <c r="C18">
        <v>330</v>
      </c>
      <c r="D18">
        <f t="shared" ref="D18:D28" si="2">C18+400+375+200</f>
        <v>1305</v>
      </c>
      <c r="E18">
        <f t="shared" si="1"/>
        <v>13.05</v>
      </c>
    </row>
    <row r="19" spans="1:8" x14ac:dyDescent="0.25">
      <c r="A19">
        <v>17</v>
      </c>
      <c r="B19" t="s">
        <v>251</v>
      </c>
      <c r="C19">
        <f>800+650+1160+20</f>
        <v>2630</v>
      </c>
      <c r="D19">
        <f t="shared" si="2"/>
        <v>3605</v>
      </c>
      <c r="E19">
        <f t="shared" si="1"/>
        <v>36.049999999999997</v>
      </c>
    </row>
    <row r="20" spans="1:8" x14ac:dyDescent="0.25">
      <c r="A20">
        <v>18</v>
      </c>
      <c r="B20" t="s">
        <v>251</v>
      </c>
      <c r="C20">
        <v>2130</v>
      </c>
      <c r="D20">
        <f t="shared" si="2"/>
        <v>3105</v>
      </c>
      <c r="E20">
        <f t="shared" si="1"/>
        <v>31.05</v>
      </c>
    </row>
    <row r="21" spans="1:8" x14ac:dyDescent="0.25">
      <c r="A21">
        <v>19</v>
      </c>
      <c r="B21" t="s">
        <v>251</v>
      </c>
      <c r="C21">
        <v>3830</v>
      </c>
      <c r="D21">
        <f t="shared" si="2"/>
        <v>4805</v>
      </c>
      <c r="E21">
        <f t="shared" si="1"/>
        <v>48.05</v>
      </c>
    </row>
    <row r="22" spans="1:8" x14ac:dyDescent="0.25">
      <c r="A22">
        <v>20</v>
      </c>
      <c r="B22" t="s">
        <v>251</v>
      </c>
      <c r="C22">
        <v>3330</v>
      </c>
      <c r="D22">
        <f t="shared" si="2"/>
        <v>4305</v>
      </c>
      <c r="E22">
        <f t="shared" si="1"/>
        <v>43.05</v>
      </c>
    </row>
    <row r="23" spans="1:8" x14ac:dyDescent="0.25">
      <c r="A23">
        <v>21</v>
      </c>
      <c r="B23" t="s">
        <v>252</v>
      </c>
      <c r="C23">
        <v>860</v>
      </c>
      <c r="D23">
        <f t="shared" si="2"/>
        <v>1835</v>
      </c>
      <c r="E23">
        <f t="shared" si="1"/>
        <v>18.350000000000001</v>
      </c>
    </row>
    <row r="24" spans="1:8" x14ac:dyDescent="0.25">
      <c r="A24">
        <v>22</v>
      </c>
      <c r="B24" t="s">
        <v>252</v>
      </c>
      <c r="C24">
        <v>360</v>
      </c>
      <c r="D24">
        <f t="shared" si="2"/>
        <v>1335</v>
      </c>
      <c r="E24">
        <f t="shared" si="1"/>
        <v>13.35</v>
      </c>
    </row>
    <row r="25" spans="1:8" x14ac:dyDescent="0.25">
      <c r="A25">
        <v>23</v>
      </c>
      <c r="B25" t="s">
        <v>252</v>
      </c>
      <c r="C25">
        <v>2590</v>
      </c>
      <c r="D25">
        <f t="shared" si="2"/>
        <v>3565</v>
      </c>
      <c r="E25">
        <f t="shared" si="1"/>
        <v>35.65</v>
      </c>
    </row>
    <row r="26" spans="1:8" x14ac:dyDescent="0.25">
      <c r="A26">
        <v>24</v>
      </c>
      <c r="B26" t="s">
        <v>252</v>
      </c>
      <c r="C26">
        <v>2090</v>
      </c>
      <c r="D26">
        <f t="shared" si="2"/>
        <v>3065</v>
      </c>
      <c r="E26">
        <f t="shared" si="1"/>
        <v>30.65</v>
      </c>
    </row>
    <row r="27" spans="1:8" x14ac:dyDescent="0.25">
      <c r="A27">
        <v>25</v>
      </c>
      <c r="B27" t="s">
        <v>252</v>
      </c>
      <c r="C27">
        <v>3800</v>
      </c>
      <c r="D27">
        <f t="shared" si="2"/>
        <v>4775</v>
      </c>
      <c r="E27">
        <f t="shared" si="1"/>
        <v>47.75</v>
      </c>
    </row>
    <row r="28" spans="1:8" x14ac:dyDescent="0.25">
      <c r="A28">
        <v>26</v>
      </c>
      <c r="B28" t="s">
        <v>252</v>
      </c>
      <c r="C28">
        <v>3300</v>
      </c>
      <c r="D28">
        <f t="shared" si="2"/>
        <v>4275</v>
      </c>
      <c r="E28">
        <f t="shared" si="1"/>
        <v>42.75</v>
      </c>
    </row>
    <row r="30" spans="1:8" ht="20.25" thickBot="1" x14ac:dyDescent="0.35">
      <c r="A30" s="2" t="s">
        <v>255</v>
      </c>
      <c r="B30" s="2"/>
      <c r="C30" s="2"/>
      <c r="D30" s="2"/>
      <c r="E30" s="2"/>
      <c r="F30" s="2"/>
      <c r="G30" s="2"/>
      <c r="H30" s="2"/>
    </row>
    <row r="31" spans="1:8" ht="18.75" thickTop="1" thickBot="1" x14ac:dyDescent="0.35">
      <c r="A31" s="3" t="s">
        <v>260</v>
      </c>
      <c r="B31" s="3"/>
      <c r="C31" s="3"/>
      <c r="D31" s="3"/>
      <c r="E31" s="3"/>
      <c r="F31" s="3"/>
      <c r="G31" s="3"/>
      <c r="H31" s="3"/>
    </row>
    <row r="32" spans="1:8" ht="15.75" thickTop="1" x14ac:dyDescent="0.25">
      <c r="A32" s="8" t="s">
        <v>257</v>
      </c>
      <c r="B32" s="8">
        <v>1</v>
      </c>
      <c r="C32" s="8">
        <v>3</v>
      </c>
      <c r="D32" s="8">
        <v>7</v>
      </c>
      <c r="E32" s="8">
        <v>5</v>
      </c>
      <c r="F32" s="8">
        <v>19</v>
      </c>
      <c r="G32" s="8">
        <v>25</v>
      </c>
      <c r="H32" s="30" t="s">
        <v>10</v>
      </c>
    </row>
    <row r="33" spans="1:9" x14ac:dyDescent="0.25">
      <c r="A33" s="8" t="s">
        <v>256</v>
      </c>
      <c r="B33" s="8" t="s">
        <v>247</v>
      </c>
      <c r="C33" s="8" t="s">
        <v>248</v>
      </c>
      <c r="D33" s="8" t="s">
        <v>250</v>
      </c>
      <c r="E33" s="8" t="s">
        <v>249</v>
      </c>
      <c r="F33" s="8" t="s">
        <v>251</v>
      </c>
      <c r="G33" s="8" t="s">
        <v>258</v>
      </c>
      <c r="H33" s="30" t="s">
        <v>10</v>
      </c>
    </row>
    <row r="34" spans="1:9" x14ac:dyDescent="0.25">
      <c r="A34" s="8" t="s">
        <v>259</v>
      </c>
      <c r="B34" s="8">
        <f>E3</f>
        <v>27.5</v>
      </c>
      <c r="C34" s="8">
        <f>E5</f>
        <v>35</v>
      </c>
      <c r="D34" s="8">
        <f>E9</f>
        <v>37.5</v>
      </c>
      <c r="E34" s="8">
        <f>E7</f>
        <v>38</v>
      </c>
      <c r="F34" s="8">
        <f>E21</f>
        <v>48.05</v>
      </c>
      <c r="G34" s="8">
        <f>E27</f>
        <v>47.75</v>
      </c>
      <c r="H34" s="30" t="s">
        <v>159</v>
      </c>
    </row>
    <row r="35" spans="1:9" x14ac:dyDescent="0.25">
      <c r="A35" s="8" t="s">
        <v>3</v>
      </c>
      <c r="B35">
        <v>22</v>
      </c>
      <c r="C35">
        <v>11</v>
      </c>
      <c r="D35">
        <v>7.5</v>
      </c>
      <c r="E35">
        <v>15</v>
      </c>
      <c r="F35">
        <v>25.2</v>
      </c>
      <c r="G35">
        <f>3.68</f>
        <v>3.68</v>
      </c>
      <c r="H35" s="30" t="s">
        <v>135</v>
      </c>
    </row>
    <row r="36" spans="1:9" ht="15.75" x14ac:dyDescent="0.25">
      <c r="A36" s="40" t="s">
        <v>261</v>
      </c>
      <c r="B36" s="39">
        <v>0.92</v>
      </c>
      <c r="C36" s="8">
        <v>0.88700000000000001</v>
      </c>
      <c r="D36" s="8">
        <v>0.872</v>
      </c>
      <c r="E36" t="s">
        <v>10</v>
      </c>
      <c r="F36">
        <v>1</v>
      </c>
      <c r="G36">
        <v>1</v>
      </c>
      <c r="H36" s="30" t="s">
        <v>10</v>
      </c>
    </row>
    <row r="37" spans="1:9" x14ac:dyDescent="0.25">
      <c r="A37" s="8" t="s">
        <v>44</v>
      </c>
      <c r="B37" s="39">
        <v>0.82</v>
      </c>
      <c r="C37" s="8">
        <v>0.75</v>
      </c>
      <c r="D37" s="8">
        <v>0.75</v>
      </c>
      <c r="E37">
        <v>1</v>
      </c>
      <c r="F37">
        <v>0.5</v>
      </c>
      <c r="G37">
        <v>0.5</v>
      </c>
      <c r="H37" s="30" t="s">
        <v>10</v>
      </c>
      <c r="I37">
        <f>SQRT(1-B37^2)</f>
        <v>0.57236352085016751</v>
      </c>
    </row>
    <row r="38" spans="1:9" x14ac:dyDescent="0.25">
      <c r="A38" s="8" t="s">
        <v>357</v>
      </c>
      <c r="B38" s="44">
        <f>SQRT(1-B37^2)</f>
        <v>0.57236352085016751</v>
      </c>
      <c r="C38" s="44">
        <f t="shared" ref="C38:G38" si="3">SQRT(1-C37^2)</f>
        <v>0.66143782776614768</v>
      </c>
      <c r="D38" s="44">
        <f t="shared" si="3"/>
        <v>0.66143782776614768</v>
      </c>
      <c r="E38" s="44">
        <f t="shared" si="3"/>
        <v>0</v>
      </c>
      <c r="F38" s="44">
        <f t="shared" si="3"/>
        <v>0.8660254037844386</v>
      </c>
      <c r="G38" s="44">
        <f t="shared" si="3"/>
        <v>0.8660254037844386</v>
      </c>
      <c r="H38" s="30"/>
    </row>
    <row r="39" spans="1:9" ht="18" thickBot="1" x14ac:dyDescent="0.35">
      <c r="A39" s="3" t="s">
        <v>262</v>
      </c>
      <c r="B39" s="3"/>
      <c r="C39" s="3"/>
      <c r="D39" s="3"/>
      <c r="E39" s="3"/>
      <c r="F39" s="3"/>
      <c r="G39" s="3"/>
      <c r="H39" s="41"/>
    </row>
    <row r="40" spans="1:9" ht="15.75" thickTop="1" x14ac:dyDescent="0.25">
      <c r="A40" s="8" t="s">
        <v>162</v>
      </c>
      <c r="B40" s="4">
        <f>B35*1000/(SQRT(3)*400*B36*B37)</f>
        <v>42.092079540601027</v>
      </c>
      <c r="C40" s="4">
        <f>C35*1000/(SQRT(3)*400*C36*C37)</f>
        <v>23.866414735384758</v>
      </c>
      <c r="D40" s="4">
        <f>D35*1000/(SQRT(3)*400*D36*D37)</f>
        <v>16.552473313922757</v>
      </c>
      <c r="E40" s="4">
        <f>E35*1000/(SQRT(3)*400)</f>
        <v>21.650635094610966</v>
      </c>
      <c r="F40" s="4">
        <v>63</v>
      </c>
      <c r="G40" s="4">
        <f>G35*1000/(SQRT(3)*400*G36*G37)</f>
        <v>10.623244953089115</v>
      </c>
      <c r="H40" s="30" t="s">
        <v>145</v>
      </c>
    </row>
    <row r="41" spans="1:9" ht="18" thickBot="1" x14ac:dyDescent="0.35">
      <c r="A41" s="3" t="s">
        <v>264</v>
      </c>
      <c r="B41" s="3"/>
      <c r="C41" s="3"/>
      <c r="D41" s="3"/>
      <c r="E41" s="3"/>
      <c r="F41" s="3"/>
      <c r="G41" s="3"/>
      <c r="H41" s="41"/>
    </row>
    <row r="42" spans="1:9" ht="15.75" thickTop="1" x14ac:dyDescent="0.25">
      <c r="A42" s="8" t="s">
        <v>265</v>
      </c>
      <c r="B42">
        <v>7.3</v>
      </c>
      <c r="C42">
        <v>7.5</v>
      </c>
      <c r="D42">
        <v>6.5</v>
      </c>
      <c r="E42" t="s">
        <v>10</v>
      </c>
      <c r="F42" t="s">
        <v>10</v>
      </c>
      <c r="G42" t="s">
        <v>10</v>
      </c>
      <c r="H42" s="30" t="s">
        <v>10</v>
      </c>
    </row>
    <row r="43" spans="1:9" x14ac:dyDescent="0.25">
      <c r="A43" s="8" t="s">
        <v>266</v>
      </c>
      <c r="B43" t="s">
        <v>267</v>
      </c>
      <c r="C43" t="s">
        <v>267</v>
      </c>
      <c r="D43" t="s">
        <v>267</v>
      </c>
      <c r="E43" t="s">
        <v>268</v>
      </c>
      <c r="F43" t="s">
        <v>268</v>
      </c>
      <c r="G43" t="s">
        <v>268</v>
      </c>
      <c r="H43" s="30" t="s">
        <v>268</v>
      </c>
    </row>
    <row r="44" spans="1:9" x14ac:dyDescent="0.25">
      <c r="A44" s="8" t="s">
        <v>343</v>
      </c>
      <c r="B44" t="s">
        <v>344</v>
      </c>
      <c r="C44" t="s">
        <v>345</v>
      </c>
      <c r="D44" t="s">
        <v>346</v>
      </c>
      <c r="E44" t="s">
        <v>10</v>
      </c>
      <c r="F44" t="s">
        <v>10</v>
      </c>
      <c r="G44" t="s">
        <v>10</v>
      </c>
      <c r="H44" s="30"/>
    </row>
    <row r="45" spans="1:9" x14ac:dyDescent="0.25">
      <c r="A45" s="8" t="s">
        <v>198</v>
      </c>
      <c r="B45">
        <v>3</v>
      </c>
      <c r="C45">
        <v>2</v>
      </c>
      <c r="D45">
        <v>2.5</v>
      </c>
      <c r="E45" t="s">
        <v>10</v>
      </c>
      <c r="F45" t="s">
        <v>10</v>
      </c>
      <c r="G45" t="s">
        <v>10</v>
      </c>
      <c r="H45" s="30"/>
    </row>
    <row r="46" spans="1:9" x14ac:dyDescent="0.25">
      <c r="A46" s="8" t="s">
        <v>201</v>
      </c>
      <c r="B46" s="4">
        <f>B40*B42</f>
        <v>307.27218064638748</v>
      </c>
      <c r="C46" s="4">
        <f t="shared" ref="C46:D46" si="4">C40*C42</f>
        <v>178.99811051538569</v>
      </c>
      <c r="D46" s="4">
        <f t="shared" si="4"/>
        <v>107.59107654049792</v>
      </c>
      <c r="E46" t="s">
        <v>10</v>
      </c>
      <c r="F46" t="s">
        <v>10</v>
      </c>
      <c r="G46" t="s">
        <v>10</v>
      </c>
      <c r="H46" s="30" t="s">
        <v>145</v>
      </c>
    </row>
    <row r="47" spans="1:9" x14ac:dyDescent="0.25">
      <c r="A47" s="8" t="s">
        <v>269</v>
      </c>
      <c r="B47" t="s">
        <v>288</v>
      </c>
      <c r="C47" t="s">
        <v>288</v>
      </c>
      <c r="D47" t="s">
        <v>288</v>
      </c>
      <c r="E47" t="s">
        <v>358</v>
      </c>
      <c r="F47" t="s">
        <v>358</v>
      </c>
      <c r="G47" t="s">
        <v>358</v>
      </c>
      <c r="H47" s="30" t="s">
        <v>10</v>
      </c>
    </row>
    <row r="48" spans="1:9" x14ac:dyDescent="0.25">
      <c r="A48" s="8" t="s">
        <v>202</v>
      </c>
      <c r="B48" s="4">
        <f>B46/(3*B45)</f>
        <v>34.141353405154163</v>
      </c>
      <c r="C48" s="4">
        <f>C46/(3*C45)</f>
        <v>29.83301841923095</v>
      </c>
      <c r="D48" s="4">
        <f t="shared" ref="D48" si="5">D46/(3*D45)</f>
        <v>14.34547687206639</v>
      </c>
      <c r="E48" t="s">
        <v>268</v>
      </c>
      <c r="F48" t="s">
        <v>268</v>
      </c>
      <c r="G48" t="s">
        <v>268</v>
      </c>
      <c r="H48" s="30" t="s">
        <v>145</v>
      </c>
    </row>
    <row r="49" spans="1:8" x14ac:dyDescent="0.25">
      <c r="A49" s="8" t="s">
        <v>203</v>
      </c>
      <c r="B49" s="4" t="s">
        <v>280</v>
      </c>
      <c r="C49" s="4" t="s">
        <v>287</v>
      </c>
      <c r="D49" s="4" t="s">
        <v>275</v>
      </c>
      <c r="E49" s="4" t="s">
        <v>362</v>
      </c>
      <c r="F49" s="4" t="s">
        <v>359</v>
      </c>
      <c r="G49" s="4" t="s">
        <v>363</v>
      </c>
      <c r="H49" s="30" t="s">
        <v>10</v>
      </c>
    </row>
    <row r="50" spans="1:8" x14ac:dyDescent="0.25">
      <c r="A50" s="8" t="s">
        <v>291</v>
      </c>
      <c r="B50" s="4" t="s">
        <v>292</v>
      </c>
      <c r="C50" s="4" t="s">
        <v>292</v>
      </c>
      <c r="D50" s="4" t="s">
        <v>292</v>
      </c>
      <c r="E50" s="4" t="s">
        <v>360</v>
      </c>
      <c r="F50" s="4" t="s">
        <v>360</v>
      </c>
      <c r="G50" s="4" t="s">
        <v>360</v>
      </c>
      <c r="H50" s="42" t="s">
        <v>10</v>
      </c>
    </row>
    <row r="51" spans="1:8" x14ac:dyDescent="0.25">
      <c r="A51" s="8" t="s">
        <v>193</v>
      </c>
      <c r="B51" s="4">
        <v>50</v>
      </c>
      <c r="C51" s="4">
        <v>32</v>
      </c>
      <c r="D51" s="4">
        <v>20</v>
      </c>
      <c r="E51" s="4">
        <v>25</v>
      </c>
      <c r="F51" s="4">
        <v>63</v>
      </c>
      <c r="G51" s="4">
        <v>16</v>
      </c>
      <c r="H51" s="30" t="s">
        <v>145</v>
      </c>
    </row>
    <row r="52" spans="1:8" x14ac:dyDescent="0.25">
      <c r="A52" s="8" t="s">
        <v>276</v>
      </c>
      <c r="B52" s="4">
        <v>120</v>
      </c>
      <c r="C52" s="4">
        <v>100</v>
      </c>
      <c r="D52" s="4">
        <v>50</v>
      </c>
      <c r="E52" s="4">
        <v>100</v>
      </c>
      <c r="F52" s="4">
        <v>100</v>
      </c>
      <c r="G52" s="4">
        <v>10</v>
      </c>
      <c r="H52" s="30" t="s">
        <v>146</v>
      </c>
    </row>
    <row r="53" spans="1:8" x14ac:dyDescent="0.25">
      <c r="A53" s="8" t="s">
        <v>273</v>
      </c>
      <c r="B53" s="38" t="s">
        <v>279</v>
      </c>
      <c r="C53" s="38" t="s">
        <v>286</v>
      </c>
      <c r="D53" s="38" t="s">
        <v>274</v>
      </c>
      <c r="E53" s="38" t="s">
        <v>289</v>
      </c>
      <c r="F53" s="38" t="s">
        <v>290</v>
      </c>
      <c r="H53" s="30"/>
    </row>
    <row r="54" spans="1:8" ht="18" thickBot="1" x14ac:dyDescent="0.35">
      <c r="A54" s="3" t="s">
        <v>270</v>
      </c>
      <c r="B54" s="3"/>
      <c r="C54" s="3"/>
      <c r="D54" s="3"/>
      <c r="E54" s="3"/>
      <c r="F54" s="3"/>
      <c r="G54" s="3"/>
      <c r="H54" s="41"/>
    </row>
    <row r="55" spans="1:8" ht="15.75" thickTop="1" x14ac:dyDescent="0.25">
      <c r="A55" s="8" t="s">
        <v>269</v>
      </c>
      <c r="B55" t="s">
        <v>277</v>
      </c>
      <c r="C55" t="s">
        <v>277</v>
      </c>
      <c r="D55" t="s">
        <v>277</v>
      </c>
      <c r="E55" t="s">
        <v>268</v>
      </c>
      <c r="F55" t="s">
        <v>268</v>
      </c>
      <c r="G55" t="s">
        <v>268</v>
      </c>
      <c r="H55" s="30" t="s">
        <v>10</v>
      </c>
    </row>
    <row r="56" spans="1:8" x14ac:dyDescent="0.25">
      <c r="A56" s="8" t="s">
        <v>271</v>
      </c>
      <c r="B56" s="4">
        <f>B40</f>
        <v>42.092079540601027</v>
      </c>
      <c r="C56" s="4">
        <f t="shared" ref="C56:D56" si="6">C40</f>
        <v>23.866414735384758</v>
      </c>
      <c r="D56" s="4">
        <f t="shared" si="6"/>
        <v>16.552473313922757</v>
      </c>
      <c r="E56" t="s">
        <v>268</v>
      </c>
      <c r="F56" t="s">
        <v>268</v>
      </c>
      <c r="G56" t="s">
        <v>268</v>
      </c>
      <c r="H56" s="30" t="s">
        <v>145</v>
      </c>
    </row>
    <row r="57" spans="1:8" x14ac:dyDescent="0.25">
      <c r="A57" s="8" t="s">
        <v>278</v>
      </c>
      <c r="B57" s="4">
        <f>1.1*B56</f>
        <v>46.301287494661132</v>
      </c>
      <c r="C57" s="4">
        <f>1.1*C56</f>
        <v>26.253056208923237</v>
      </c>
      <c r="D57" s="4">
        <f t="shared" ref="C57:D57" si="7">1.1*D56</f>
        <v>18.207720645315035</v>
      </c>
      <c r="E57" t="s">
        <v>268</v>
      </c>
      <c r="F57" t="s">
        <v>268</v>
      </c>
      <c r="G57" t="s">
        <v>268</v>
      </c>
      <c r="H57" s="30"/>
    </row>
    <row r="58" spans="1:8" x14ac:dyDescent="0.25">
      <c r="A58" s="8" t="s">
        <v>272</v>
      </c>
      <c r="B58" t="s">
        <v>310</v>
      </c>
      <c r="C58" t="s">
        <v>284</v>
      </c>
      <c r="D58" t="s">
        <v>366</v>
      </c>
      <c r="E58" t="s">
        <v>268</v>
      </c>
      <c r="F58" t="s">
        <v>268</v>
      </c>
      <c r="G58" t="s">
        <v>268</v>
      </c>
      <c r="H58" s="30" t="s">
        <v>10</v>
      </c>
    </row>
    <row r="59" spans="1:8" x14ac:dyDescent="0.25">
      <c r="A59" s="8" t="s">
        <v>283</v>
      </c>
      <c r="B59">
        <v>50</v>
      </c>
      <c r="C59">
        <v>32</v>
      </c>
      <c r="D59">
        <v>17</v>
      </c>
      <c r="E59" t="s">
        <v>268</v>
      </c>
      <c r="F59" t="s">
        <v>268</v>
      </c>
      <c r="G59" t="s">
        <v>268</v>
      </c>
      <c r="H59" s="30"/>
    </row>
    <row r="60" spans="1:8" x14ac:dyDescent="0.25">
      <c r="A60" s="8" t="s">
        <v>281</v>
      </c>
      <c r="B60">
        <v>34</v>
      </c>
      <c r="C60">
        <v>22</v>
      </c>
      <c r="D60">
        <v>11</v>
      </c>
      <c r="E60" t="s">
        <v>268</v>
      </c>
      <c r="F60" t="s">
        <v>268</v>
      </c>
      <c r="G60" t="s">
        <v>268</v>
      </c>
      <c r="H60" s="30" t="s">
        <v>145</v>
      </c>
    </row>
    <row r="61" spans="1:8" x14ac:dyDescent="0.25">
      <c r="A61" s="8" t="s">
        <v>282</v>
      </c>
      <c r="B61">
        <v>50</v>
      </c>
      <c r="C61">
        <v>32</v>
      </c>
      <c r="D61">
        <v>17</v>
      </c>
      <c r="E61" t="s">
        <v>268</v>
      </c>
      <c r="F61" t="s">
        <v>268</v>
      </c>
      <c r="G61" t="s">
        <v>268</v>
      </c>
      <c r="H61" s="30" t="s">
        <v>145</v>
      </c>
    </row>
    <row r="62" spans="1:8" x14ac:dyDescent="0.25">
      <c r="A62" s="8" t="s">
        <v>285</v>
      </c>
      <c r="B62">
        <v>650</v>
      </c>
      <c r="C62">
        <v>416</v>
      </c>
      <c r="D62">
        <v>221</v>
      </c>
      <c r="E62" t="s">
        <v>268</v>
      </c>
      <c r="F62" t="s">
        <v>268</v>
      </c>
      <c r="G62" t="s">
        <v>268</v>
      </c>
      <c r="H62" s="30" t="s">
        <v>145</v>
      </c>
    </row>
    <row r="63" spans="1:8" x14ac:dyDescent="0.25">
      <c r="A63" s="8" t="s">
        <v>276</v>
      </c>
      <c r="B63">
        <v>100</v>
      </c>
      <c r="C63">
        <v>100</v>
      </c>
      <c r="D63">
        <v>100</v>
      </c>
      <c r="E63" t="s">
        <v>268</v>
      </c>
      <c r="F63" t="s">
        <v>268</v>
      </c>
      <c r="G63" t="s">
        <v>268</v>
      </c>
      <c r="H63" s="30" t="s">
        <v>146</v>
      </c>
    </row>
    <row r="64" spans="1:8" ht="18" thickBot="1" x14ac:dyDescent="0.35">
      <c r="A64" s="3" t="s">
        <v>347</v>
      </c>
      <c r="B64" s="3"/>
      <c r="C64" s="3"/>
      <c r="D64" s="3"/>
      <c r="E64" s="3"/>
      <c r="F64" s="3"/>
      <c r="G64" s="3"/>
      <c r="H64" s="41"/>
    </row>
    <row r="65" spans="1:8" ht="15.75" thickTop="1" x14ac:dyDescent="0.25">
      <c r="A65" s="8" t="s">
        <v>294</v>
      </c>
      <c r="B65" t="s">
        <v>297</v>
      </c>
      <c r="C65" t="s">
        <v>297</v>
      </c>
      <c r="D65" t="s">
        <v>297</v>
      </c>
      <c r="E65" t="s">
        <v>297</v>
      </c>
      <c r="F65" t="s">
        <v>365</v>
      </c>
      <c r="G65" t="s">
        <v>365</v>
      </c>
      <c r="H65" s="30" t="s">
        <v>10</v>
      </c>
    </row>
    <row r="66" spans="1:8" x14ac:dyDescent="0.25">
      <c r="A66" s="8" t="s">
        <v>295</v>
      </c>
      <c r="B66">
        <v>7</v>
      </c>
      <c r="C66">
        <v>7</v>
      </c>
      <c r="D66">
        <v>7</v>
      </c>
      <c r="E66">
        <v>7</v>
      </c>
      <c r="F66">
        <v>6</v>
      </c>
      <c r="G66">
        <v>6</v>
      </c>
      <c r="H66" s="30" t="s">
        <v>10</v>
      </c>
    </row>
    <row r="67" spans="1:8" x14ac:dyDescent="0.25">
      <c r="A67" s="8" t="s">
        <v>161</v>
      </c>
      <c r="B67">
        <v>0.79</v>
      </c>
      <c r="C67">
        <v>0.79</v>
      </c>
      <c r="D67">
        <v>0.79</v>
      </c>
      <c r="E67">
        <v>0.79</v>
      </c>
      <c r="F67">
        <v>0.72</v>
      </c>
      <c r="G67">
        <v>0.72</v>
      </c>
      <c r="H67" s="30" t="s">
        <v>10</v>
      </c>
    </row>
    <row r="68" spans="1:8" x14ac:dyDescent="0.25">
      <c r="A68" s="8" t="s">
        <v>175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 s="30" t="s">
        <v>10</v>
      </c>
    </row>
    <row r="69" spans="1:8" x14ac:dyDescent="0.25">
      <c r="A69" s="8" t="s">
        <v>298</v>
      </c>
      <c r="B69" t="s">
        <v>299</v>
      </c>
      <c r="C69" t="s">
        <v>299</v>
      </c>
      <c r="D69" t="s">
        <v>299</v>
      </c>
      <c r="E69" t="s">
        <v>299</v>
      </c>
      <c r="F69" t="s">
        <v>299</v>
      </c>
      <c r="G69" t="s">
        <v>299</v>
      </c>
      <c r="H69" s="30" t="s">
        <v>10</v>
      </c>
    </row>
    <row r="70" spans="1:8" x14ac:dyDescent="0.25">
      <c r="A70" s="8" t="s">
        <v>300</v>
      </c>
      <c r="B70" t="s">
        <v>301</v>
      </c>
      <c r="C70" t="s">
        <v>301</v>
      </c>
      <c r="D70" t="s">
        <v>301</v>
      </c>
      <c r="E70" t="s">
        <v>301</v>
      </c>
      <c r="F70" t="s">
        <v>207</v>
      </c>
      <c r="G70" t="s">
        <v>301</v>
      </c>
      <c r="H70" s="30" t="s">
        <v>10</v>
      </c>
    </row>
    <row r="71" spans="1:8" x14ac:dyDescent="0.25">
      <c r="A71" s="8" t="s">
        <v>340</v>
      </c>
      <c r="B71">
        <v>10</v>
      </c>
      <c r="C71">
        <v>4</v>
      </c>
      <c r="D71">
        <v>4</v>
      </c>
      <c r="E71">
        <v>4</v>
      </c>
      <c r="F71">
        <v>16</v>
      </c>
      <c r="G71">
        <v>4</v>
      </c>
      <c r="H71" s="30" t="s">
        <v>149</v>
      </c>
    </row>
    <row r="72" spans="1:8" x14ac:dyDescent="0.25">
      <c r="A72" s="8" t="s">
        <v>339</v>
      </c>
      <c r="B72">
        <v>10</v>
      </c>
      <c r="C72">
        <v>4</v>
      </c>
      <c r="D72">
        <v>4</v>
      </c>
      <c r="E72">
        <v>4</v>
      </c>
      <c r="F72">
        <v>16</v>
      </c>
      <c r="G72">
        <v>4</v>
      </c>
      <c r="H72" s="30" t="s">
        <v>149</v>
      </c>
    </row>
    <row r="73" spans="1:8" x14ac:dyDescent="0.25">
      <c r="A73" s="8" t="s">
        <v>296</v>
      </c>
      <c r="B73">
        <v>60</v>
      </c>
      <c r="C73">
        <v>34</v>
      </c>
      <c r="D73">
        <v>34</v>
      </c>
      <c r="E73">
        <v>34</v>
      </c>
      <c r="F73">
        <v>96</v>
      </c>
      <c r="G73">
        <v>36</v>
      </c>
      <c r="H73" s="30" t="s">
        <v>145</v>
      </c>
    </row>
    <row r="74" spans="1:8" x14ac:dyDescent="0.25">
      <c r="A74" s="8" t="s">
        <v>302</v>
      </c>
      <c r="B74">
        <f t="shared" ref="B74:G74" si="8">B73*B68*B67</f>
        <v>47.400000000000006</v>
      </c>
      <c r="C74">
        <f t="shared" si="8"/>
        <v>26.86</v>
      </c>
      <c r="D74">
        <f t="shared" si="8"/>
        <v>26.86</v>
      </c>
      <c r="E74">
        <f t="shared" si="8"/>
        <v>26.86</v>
      </c>
      <c r="F74">
        <f t="shared" si="8"/>
        <v>69.12</v>
      </c>
      <c r="G74">
        <f t="shared" si="8"/>
        <v>25.919999999999998</v>
      </c>
      <c r="H74" s="30" t="s">
        <v>145</v>
      </c>
    </row>
    <row r="75" spans="1:8" ht="18" thickBot="1" x14ac:dyDescent="0.35">
      <c r="A75" s="3" t="s">
        <v>152</v>
      </c>
      <c r="B75" s="3"/>
      <c r="C75" s="3"/>
      <c r="D75" s="3"/>
      <c r="E75" s="3"/>
      <c r="F75" s="3"/>
      <c r="G75" s="3"/>
      <c r="H75" s="3"/>
    </row>
    <row r="76" spans="1:8" ht="15.75" thickTop="1" x14ac:dyDescent="0.25">
      <c r="A76" s="8" t="s">
        <v>348</v>
      </c>
      <c r="B76" t="s">
        <v>351</v>
      </c>
      <c r="C76" t="s">
        <v>351</v>
      </c>
      <c r="D76" t="s">
        <v>351</v>
      </c>
      <c r="E76" t="s">
        <v>351</v>
      </c>
      <c r="F76" t="s">
        <v>364</v>
      </c>
      <c r="G76" t="s">
        <v>351</v>
      </c>
      <c r="H76" s="30"/>
    </row>
    <row r="77" spans="1:8" x14ac:dyDescent="0.25">
      <c r="A77" s="8" t="s">
        <v>157</v>
      </c>
      <c r="B77" t="s">
        <v>352</v>
      </c>
      <c r="C77" t="s">
        <v>352</v>
      </c>
      <c r="D77" t="s">
        <v>352</v>
      </c>
      <c r="E77" t="s">
        <v>352</v>
      </c>
      <c r="F77" t="s">
        <v>207</v>
      </c>
      <c r="G77" t="s">
        <v>352</v>
      </c>
      <c r="H77" s="30" t="s">
        <v>10</v>
      </c>
    </row>
    <row r="78" spans="1:8" x14ac:dyDescent="0.25">
      <c r="A78" s="8" t="s">
        <v>349</v>
      </c>
      <c r="B78" t="s">
        <v>352</v>
      </c>
      <c r="C78" t="s">
        <v>352</v>
      </c>
      <c r="D78" t="s">
        <v>352</v>
      </c>
      <c r="E78" t="s">
        <v>352</v>
      </c>
      <c r="F78" t="s">
        <v>301</v>
      </c>
      <c r="G78" t="s">
        <v>352</v>
      </c>
      <c r="H78" s="30" t="s">
        <v>10</v>
      </c>
    </row>
    <row r="79" spans="1:8" x14ac:dyDescent="0.25">
      <c r="A79" s="8" t="s">
        <v>91</v>
      </c>
      <c r="B79" t="s">
        <v>353</v>
      </c>
      <c r="C79" t="s">
        <v>353</v>
      </c>
      <c r="D79" t="s">
        <v>353</v>
      </c>
      <c r="E79" t="s">
        <v>353</v>
      </c>
      <c r="F79" t="s">
        <v>354</v>
      </c>
      <c r="G79" t="s">
        <v>353</v>
      </c>
      <c r="H79" s="30" t="s">
        <v>10</v>
      </c>
    </row>
    <row r="80" spans="1:8" x14ac:dyDescent="0.25">
      <c r="A80" s="8" t="s">
        <v>350</v>
      </c>
      <c r="B80" t="s">
        <v>370</v>
      </c>
      <c r="C80" t="s">
        <v>371</v>
      </c>
      <c r="D80" t="s">
        <v>371</v>
      </c>
      <c r="E80" t="s">
        <v>371</v>
      </c>
      <c r="F80" t="s">
        <v>372</v>
      </c>
      <c r="G80" t="s">
        <v>355</v>
      </c>
      <c r="H80" s="30" t="s">
        <v>10</v>
      </c>
    </row>
    <row r="81" spans="1:8" ht="18" thickBot="1" x14ac:dyDescent="0.35">
      <c r="A81" s="3" t="s">
        <v>293</v>
      </c>
      <c r="B81" s="3"/>
      <c r="C81" s="3"/>
      <c r="D81" s="3"/>
      <c r="E81" s="3"/>
      <c r="F81" s="3"/>
      <c r="G81" s="3"/>
      <c r="H81" s="41"/>
    </row>
    <row r="82" spans="1:8" ht="15.75" thickTop="1" x14ac:dyDescent="0.25">
      <c r="A82" s="8" t="s">
        <v>162</v>
      </c>
      <c r="B82" s="4">
        <f t="shared" ref="B82:G82" si="9">B40</f>
        <v>42.092079540601027</v>
      </c>
      <c r="C82" s="4">
        <f t="shared" si="9"/>
        <v>23.866414735384758</v>
      </c>
      <c r="D82" s="4">
        <f t="shared" si="9"/>
        <v>16.552473313922757</v>
      </c>
      <c r="E82" s="4">
        <f t="shared" si="9"/>
        <v>21.650635094610966</v>
      </c>
      <c r="F82" s="4">
        <f t="shared" si="9"/>
        <v>63</v>
      </c>
      <c r="G82" s="4">
        <f t="shared" si="9"/>
        <v>10.623244953089115</v>
      </c>
      <c r="H82" s="30" t="s">
        <v>145</v>
      </c>
    </row>
    <row r="83" spans="1:8" x14ac:dyDescent="0.25">
      <c r="A83" s="8" t="s">
        <v>303</v>
      </c>
      <c r="B83" s="8" t="str">
        <f>IF(B74&gt;=B82,"OK")</f>
        <v>OK</v>
      </c>
      <c r="C83" s="8" t="str">
        <f t="shared" ref="C83:G83" si="10">IF(C74&gt;=C82,"OK")</f>
        <v>OK</v>
      </c>
      <c r="D83" s="8" t="str">
        <f t="shared" si="10"/>
        <v>OK</v>
      </c>
      <c r="E83" s="8" t="str">
        <f t="shared" si="10"/>
        <v>OK</v>
      </c>
      <c r="F83" s="8" t="str">
        <f t="shared" si="10"/>
        <v>OK</v>
      </c>
      <c r="G83" s="8" t="str">
        <f t="shared" si="10"/>
        <v>OK</v>
      </c>
      <c r="H83" s="30" t="s">
        <v>10</v>
      </c>
    </row>
    <row r="84" spans="1:8" ht="18" thickBot="1" x14ac:dyDescent="0.35">
      <c r="A84" s="3" t="s">
        <v>304</v>
      </c>
      <c r="B84" s="3"/>
      <c r="C84" s="3"/>
      <c r="D84" s="3"/>
      <c r="E84" s="3"/>
      <c r="F84" s="3"/>
      <c r="G84" s="3"/>
      <c r="H84" s="3"/>
    </row>
    <row r="85" spans="1:8" ht="15.75" thickTop="1" x14ac:dyDescent="0.25">
      <c r="A85" s="8" t="s">
        <v>181</v>
      </c>
      <c r="B85">
        <v>1.5</v>
      </c>
      <c r="C85">
        <v>1.5</v>
      </c>
      <c r="D85">
        <v>1.5</v>
      </c>
      <c r="E85">
        <v>1.5</v>
      </c>
      <c r="F85">
        <v>0.75</v>
      </c>
      <c r="G85">
        <v>0.75</v>
      </c>
      <c r="H85" s="30" t="s">
        <v>149</v>
      </c>
    </row>
    <row r="86" spans="1:8" x14ac:dyDescent="0.25">
      <c r="A86" s="8" t="s">
        <v>305</v>
      </c>
      <c r="B86" s="8" t="str">
        <f t="shared" ref="B86:G86" si="11">IF(B71&gt;=B85,"OK")</f>
        <v>OK</v>
      </c>
      <c r="C86" s="8" t="str">
        <f t="shared" si="11"/>
        <v>OK</v>
      </c>
      <c r="D86" s="8" t="str">
        <f t="shared" si="11"/>
        <v>OK</v>
      </c>
      <c r="E86" s="8" t="str">
        <f t="shared" si="11"/>
        <v>OK</v>
      </c>
      <c r="F86" s="8" t="str">
        <f t="shared" si="11"/>
        <v>OK</v>
      </c>
      <c r="G86" s="8" t="str">
        <f t="shared" si="11"/>
        <v>OK</v>
      </c>
      <c r="H86" s="30" t="s">
        <v>10</v>
      </c>
    </row>
    <row r="87" spans="1:8" ht="18" thickBot="1" x14ac:dyDescent="0.35">
      <c r="A87" s="3" t="s">
        <v>306</v>
      </c>
      <c r="B87" s="3"/>
      <c r="C87" s="3"/>
      <c r="D87" s="3"/>
      <c r="E87" s="3"/>
      <c r="F87" s="3"/>
      <c r="G87" s="3"/>
      <c r="H87" s="3"/>
    </row>
    <row r="88" spans="1:8" ht="15.75" thickTop="1" x14ac:dyDescent="0.25">
      <c r="A88" s="8" t="s">
        <v>307</v>
      </c>
      <c r="B88">
        <f t="shared" ref="B88:G88" si="12">IF(B71&lt;=16,B71,IF(OR(B71=25,B71=35),16,IF(B71&gt;=50,0.5*B71)))</f>
        <v>10</v>
      </c>
      <c r="C88">
        <f t="shared" si="12"/>
        <v>4</v>
      </c>
      <c r="D88">
        <f t="shared" si="12"/>
        <v>4</v>
      </c>
      <c r="E88">
        <f t="shared" si="12"/>
        <v>4</v>
      </c>
      <c r="F88">
        <f t="shared" si="12"/>
        <v>16</v>
      </c>
      <c r="G88">
        <f t="shared" si="12"/>
        <v>4</v>
      </c>
      <c r="H88" s="30" t="s">
        <v>149</v>
      </c>
    </row>
    <row r="89" spans="1:8" ht="18" thickBot="1" x14ac:dyDescent="0.35">
      <c r="A89" s="3" t="s">
        <v>308</v>
      </c>
      <c r="B89" s="3"/>
      <c r="C89" s="3"/>
      <c r="D89" s="3"/>
      <c r="E89" s="3"/>
      <c r="F89" s="3"/>
      <c r="G89" s="3"/>
      <c r="H89" s="3"/>
    </row>
    <row r="90" spans="1:8" ht="15.75" thickTop="1" x14ac:dyDescent="0.25">
      <c r="A90" s="8" t="s">
        <v>309</v>
      </c>
      <c r="B90">
        <v>3</v>
      </c>
      <c r="C90">
        <v>3</v>
      </c>
      <c r="D90">
        <v>3</v>
      </c>
      <c r="E90">
        <v>3</v>
      </c>
      <c r="F90">
        <v>3</v>
      </c>
      <c r="G90">
        <v>3</v>
      </c>
      <c r="H90" s="30" t="s">
        <v>134</v>
      </c>
    </row>
    <row r="91" spans="1:8" x14ac:dyDescent="0.25">
      <c r="A91" s="8" t="s">
        <v>311</v>
      </c>
      <c r="B91">
        <f>((100*SQRT(3))/400)*B82*(B92*B37+B94*SQRT(1-B37^2))</f>
        <v>0.73395835824659084</v>
      </c>
      <c r="C91">
        <f>((100*SQRT(3))/400)*C82*(C92*C37+C94*SQRT(1-C37^2))</f>
        <v>1.2110863639134333</v>
      </c>
      <c r="D91">
        <f>((100*SQRT(3))/400)*D82*(D92*D37+D94*SQRT(1-D37^2))</f>
        <v>0.89994102629432049</v>
      </c>
      <c r="E91">
        <f>((100*SQRT(3))/400)*E82*(E92*E37+E94*SQRT(1-E37^2))</f>
        <v>1.5904017857142858</v>
      </c>
      <c r="F91">
        <f>((100*SQRT(3))/400)*F82*(F92*F37+F94*SQRT(1-F37^2))</f>
        <v>0.73154955227066487</v>
      </c>
      <c r="G91">
        <f>200/230*G82*(G92*F37+G94*SQRT(1-F37^2))</f>
        <v>0.98461514549302254</v>
      </c>
      <c r="H91" s="43" t="s">
        <v>134</v>
      </c>
    </row>
    <row r="92" spans="1:8" x14ac:dyDescent="0.25">
      <c r="A92" s="8" t="s">
        <v>164</v>
      </c>
      <c r="B92">
        <f t="shared" ref="B92:G92" si="13">B34/(B96*B71)</f>
        <v>4.9107142857142856E-2</v>
      </c>
      <c r="C92">
        <f t="shared" si="13"/>
        <v>0.15625</v>
      </c>
      <c r="D92">
        <f t="shared" si="13"/>
        <v>0.16741071428571427</v>
      </c>
      <c r="E92">
        <f t="shared" si="13"/>
        <v>0.16964285714285715</v>
      </c>
      <c r="F92">
        <f t="shared" si="13"/>
        <v>5.362723214285714E-2</v>
      </c>
      <c r="G92">
        <f t="shared" si="13"/>
        <v>0.21316964285714285</v>
      </c>
      <c r="H92" s="30" t="s">
        <v>314</v>
      </c>
    </row>
    <row r="93" spans="1:8" x14ac:dyDescent="0.25">
      <c r="A93" s="39" t="s">
        <v>338</v>
      </c>
      <c r="B93">
        <f t="shared" ref="B93:G93" si="14">B34/(B96*B72)</f>
        <v>4.9107142857142856E-2</v>
      </c>
      <c r="C93">
        <f t="shared" si="14"/>
        <v>0.15625</v>
      </c>
      <c r="D93">
        <f t="shared" si="14"/>
        <v>0.16741071428571427</v>
      </c>
      <c r="E93">
        <f t="shared" si="14"/>
        <v>0.16964285714285715</v>
      </c>
      <c r="F93">
        <f t="shared" si="14"/>
        <v>5.362723214285714E-2</v>
      </c>
      <c r="G93">
        <f t="shared" si="14"/>
        <v>0.21316964285714285</v>
      </c>
      <c r="H93" s="30"/>
    </row>
    <row r="94" spans="1:8" x14ac:dyDescent="0.25">
      <c r="A94" s="8" t="s">
        <v>171</v>
      </c>
      <c r="B94">
        <f t="shared" ref="B94:G94" si="15">B97*B34*10^-3/1000</f>
        <v>1.9250000000000002E-6</v>
      </c>
      <c r="C94">
        <f t="shared" si="15"/>
        <v>2.4500000000000003E-6</v>
      </c>
      <c r="D94">
        <f t="shared" si="15"/>
        <v>2.6250000000000007E-6</v>
      </c>
      <c r="E94">
        <f t="shared" si="15"/>
        <v>2.6599999999999999E-6</v>
      </c>
      <c r="F94">
        <f t="shared" si="15"/>
        <v>3.3635000000000001E-6</v>
      </c>
      <c r="G94">
        <f t="shared" si="15"/>
        <v>3.3425000000000006E-6</v>
      </c>
      <c r="H94" s="30" t="s">
        <v>314</v>
      </c>
    </row>
    <row r="95" spans="1:8" x14ac:dyDescent="0.25">
      <c r="A95" s="39" t="s">
        <v>341</v>
      </c>
      <c r="B95">
        <f>B94</f>
        <v>1.9250000000000002E-6</v>
      </c>
      <c r="C95">
        <f t="shared" ref="C95:G95" si="16">C94</f>
        <v>2.4500000000000003E-6</v>
      </c>
      <c r="D95">
        <f t="shared" si="16"/>
        <v>2.6250000000000007E-6</v>
      </c>
      <c r="E95">
        <f t="shared" si="16"/>
        <v>2.6599999999999999E-6</v>
      </c>
      <c r="F95">
        <f t="shared" si="16"/>
        <v>3.3635000000000001E-6</v>
      </c>
      <c r="G95">
        <f t="shared" si="16"/>
        <v>3.3425000000000006E-6</v>
      </c>
      <c r="H95" s="30" t="s">
        <v>314</v>
      </c>
    </row>
    <row r="96" spans="1:8" x14ac:dyDescent="0.25">
      <c r="A96" s="8" t="s">
        <v>165</v>
      </c>
      <c r="B96">
        <v>56</v>
      </c>
      <c r="C96">
        <v>56</v>
      </c>
      <c r="D96">
        <v>56</v>
      </c>
      <c r="E96">
        <v>56</v>
      </c>
      <c r="F96">
        <v>56</v>
      </c>
      <c r="G96">
        <v>56</v>
      </c>
      <c r="H96" s="30" t="s">
        <v>312</v>
      </c>
    </row>
    <row r="97" spans="1:8" x14ac:dyDescent="0.25">
      <c r="A97" s="8" t="s">
        <v>167</v>
      </c>
      <c r="B97">
        <f>0.07</f>
        <v>7.0000000000000007E-2</v>
      </c>
      <c r="C97">
        <f t="shared" ref="C97:G97" si="17">0.07</f>
        <v>7.0000000000000007E-2</v>
      </c>
      <c r="D97">
        <f t="shared" si="17"/>
        <v>7.0000000000000007E-2</v>
      </c>
      <c r="E97">
        <f t="shared" si="17"/>
        <v>7.0000000000000007E-2</v>
      </c>
      <c r="F97">
        <f t="shared" si="17"/>
        <v>7.0000000000000007E-2</v>
      </c>
      <c r="G97">
        <f t="shared" si="17"/>
        <v>7.0000000000000007E-2</v>
      </c>
      <c r="H97" s="30" t="s">
        <v>313</v>
      </c>
    </row>
    <row r="98" spans="1:8" x14ac:dyDescent="0.25">
      <c r="A98" s="8" t="s">
        <v>317</v>
      </c>
      <c r="B98" s="8" t="str">
        <f>IF(B91&lt;=B90,"OK")</f>
        <v>OK</v>
      </c>
      <c r="C98" s="8" t="str">
        <f t="shared" ref="C98:G98" si="18">IF(C91&lt;=C90,"OK")</f>
        <v>OK</v>
      </c>
      <c r="D98" s="8" t="str">
        <f t="shared" si="18"/>
        <v>OK</v>
      </c>
      <c r="E98" s="8" t="str">
        <f t="shared" si="18"/>
        <v>OK</v>
      </c>
      <c r="F98" s="8" t="str">
        <f t="shared" si="18"/>
        <v>OK</v>
      </c>
      <c r="G98" s="8" t="str">
        <f t="shared" si="18"/>
        <v>OK</v>
      </c>
      <c r="H98" t="s">
        <v>10</v>
      </c>
    </row>
    <row r="99" spans="1:8" ht="15.75" thickBot="1" x14ac:dyDescent="0.3">
      <c r="A99" s="6" t="s">
        <v>315</v>
      </c>
      <c r="B99" s="6"/>
      <c r="C99" s="6"/>
      <c r="D99" s="6"/>
      <c r="E99" s="6"/>
      <c r="F99" s="6"/>
      <c r="G99" s="6"/>
      <c r="H99" s="6"/>
    </row>
    <row r="100" spans="1:8" x14ac:dyDescent="0.25">
      <c r="A100" s="8" t="s">
        <v>309</v>
      </c>
      <c r="B100">
        <v>35</v>
      </c>
      <c r="C100">
        <v>15</v>
      </c>
      <c r="D100">
        <v>15</v>
      </c>
      <c r="E100" t="s">
        <v>268</v>
      </c>
      <c r="F100" t="s">
        <v>268</v>
      </c>
      <c r="G100" t="s">
        <v>268</v>
      </c>
      <c r="H100" s="30" t="s">
        <v>134</v>
      </c>
    </row>
    <row r="101" spans="1:8" x14ac:dyDescent="0.25">
      <c r="A101" s="8" t="s">
        <v>316</v>
      </c>
      <c r="B101">
        <f>((100*SQRT(3))/400)*B46*(B92*B37+B94*SQRT(1-B37^2))</f>
        <v>5.3578960152001125</v>
      </c>
      <c r="C101">
        <f>((100*SQRT(3))/400)*C46*(C92*C37+C94*SQRT(1-C37^2))</f>
        <v>9.0831477293507508</v>
      </c>
      <c r="D101">
        <f>((100*SQRT(3))/400)*D46*(D92*D37+D94*SQRT(1-D37^2))</f>
        <v>5.8496166709130835</v>
      </c>
      <c r="E101" t="s">
        <v>268</v>
      </c>
      <c r="F101" t="s">
        <v>268</v>
      </c>
      <c r="G101" t="s">
        <v>268</v>
      </c>
      <c r="H101" s="30" t="s">
        <v>134</v>
      </c>
    </row>
    <row r="102" spans="1:8" x14ac:dyDescent="0.25">
      <c r="A102" s="8" t="s">
        <v>342</v>
      </c>
      <c r="B102" s="8" t="str">
        <f>IF(B101&lt;=B100,"OK")</f>
        <v>OK</v>
      </c>
      <c r="C102" s="8" t="str">
        <f t="shared" ref="C102:D102" si="19">IF(C101&lt;=C100,"OK")</f>
        <v>OK</v>
      </c>
      <c r="D102" s="8" t="str">
        <f t="shared" si="19"/>
        <v>OK</v>
      </c>
      <c r="E102" s="8" t="s">
        <v>268</v>
      </c>
      <c r="F102" s="8" t="s">
        <v>268</v>
      </c>
      <c r="G102" s="8" t="s">
        <v>268</v>
      </c>
      <c r="H102" s="30" t="s">
        <v>10</v>
      </c>
    </row>
    <row r="103" spans="1:8" ht="18" thickBot="1" x14ac:dyDescent="0.35">
      <c r="A103" s="3" t="s">
        <v>318</v>
      </c>
      <c r="B103" s="3"/>
      <c r="C103" s="3"/>
      <c r="D103" s="3"/>
      <c r="E103" s="3"/>
      <c r="F103" s="3"/>
      <c r="G103" s="3"/>
      <c r="H103" s="3"/>
    </row>
    <row r="104" spans="1:8" ht="15.75" thickTop="1" x14ac:dyDescent="0.25">
      <c r="A104" s="8" t="s">
        <v>193</v>
      </c>
      <c r="B104">
        <v>46</v>
      </c>
      <c r="C104">
        <v>26</v>
      </c>
      <c r="D104">
        <v>18</v>
      </c>
      <c r="E104" s="4">
        <v>25</v>
      </c>
      <c r="F104" s="4">
        <v>63</v>
      </c>
      <c r="G104" s="4">
        <v>16</v>
      </c>
      <c r="H104" s="30" t="s">
        <v>145</v>
      </c>
    </row>
    <row r="105" spans="1:8" x14ac:dyDescent="0.25">
      <c r="A105" s="8" t="s">
        <v>319</v>
      </c>
      <c r="B105" s="8" t="str">
        <f>IF(AND(B82&lt;=B104,B104&lt;=B74),"OK")</f>
        <v>OK</v>
      </c>
      <c r="C105" s="8" t="str">
        <f t="shared" ref="C105:G105" si="20">IF(AND(C82&lt;=C104,C104&lt;=C74),"OK")</f>
        <v>OK</v>
      </c>
      <c r="D105" s="8" t="str">
        <f t="shared" si="20"/>
        <v>OK</v>
      </c>
      <c r="E105" s="8" t="str">
        <f t="shared" si="20"/>
        <v>OK</v>
      </c>
      <c r="F105" s="8" t="str">
        <f>IF(AND(F82&lt;=F104,F104&lt;=F74),"OK")</f>
        <v>OK</v>
      </c>
      <c r="G105" s="8" t="str">
        <f t="shared" si="20"/>
        <v>OK</v>
      </c>
      <c r="H105" s="30" t="s">
        <v>10</v>
      </c>
    </row>
    <row r="106" spans="1:8" x14ac:dyDescent="0.25">
      <c r="A106" s="8" t="s">
        <v>194</v>
      </c>
      <c r="B106">
        <f>1.2*B61</f>
        <v>60</v>
      </c>
      <c r="C106">
        <f>1.2*C61</f>
        <v>38.4</v>
      </c>
      <c r="D106">
        <f>1.2*D61</f>
        <v>20.399999999999999</v>
      </c>
      <c r="E106">
        <f>1.45*E51</f>
        <v>36.25</v>
      </c>
      <c r="F106">
        <f>1.45*F51</f>
        <v>91.35</v>
      </c>
      <c r="G106">
        <f>1.45*G51</f>
        <v>23.2</v>
      </c>
      <c r="H106" s="30" t="s">
        <v>145</v>
      </c>
    </row>
    <row r="107" spans="1:8" x14ac:dyDescent="0.25">
      <c r="A107" s="8" t="s">
        <v>356</v>
      </c>
      <c r="B107">
        <f>1.45*B74</f>
        <v>68.73</v>
      </c>
      <c r="C107">
        <f t="shared" ref="C107:G107" si="21">1.45*C74</f>
        <v>38.946999999999996</v>
      </c>
      <c r="D107">
        <f t="shared" si="21"/>
        <v>38.946999999999996</v>
      </c>
      <c r="E107">
        <f t="shared" si="21"/>
        <v>38.946999999999996</v>
      </c>
      <c r="F107">
        <f t="shared" si="21"/>
        <v>100.224</v>
      </c>
      <c r="G107">
        <f t="shared" si="21"/>
        <v>37.583999999999996</v>
      </c>
      <c r="H107" s="30" t="s">
        <v>145</v>
      </c>
    </row>
    <row r="108" spans="1:8" x14ac:dyDescent="0.25">
      <c r="A108" s="8" t="s">
        <v>206</v>
      </c>
      <c r="B108" s="8" t="str">
        <f t="shared" ref="B108:G108" si="22">IF(B106&lt;=1.45*B74,"OK")</f>
        <v>OK</v>
      </c>
      <c r="C108" s="8" t="str">
        <f t="shared" si="22"/>
        <v>OK</v>
      </c>
      <c r="D108" s="8" t="str">
        <f t="shared" si="22"/>
        <v>OK</v>
      </c>
      <c r="E108" s="8" t="str">
        <f t="shared" si="22"/>
        <v>OK</v>
      </c>
      <c r="F108" s="8" t="str">
        <f t="shared" si="22"/>
        <v>OK</v>
      </c>
      <c r="G108" s="8" t="str">
        <f t="shared" si="22"/>
        <v>OK</v>
      </c>
      <c r="H108" s="30" t="s">
        <v>10</v>
      </c>
    </row>
    <row r="109" spans="1:8" ht="18" thickBot="1" x14ac:dyDescent="0.35">
      <c r="A109" s="3" t="s">
        <v>320</v>
      </c>
      <c r="B109" s="3"/>
      <c r="C109" s="3"/>
      <c r="D109" s="3"/>
      <c r="E109" s="3"/>
      <c r="F109" s="3"/>
      <c r="G109" s="3"/>
      <c r="H109" s="3"/>
    </row>
    <row r="110" spans="1:8" ht="15.75" thickTop="1" x14ac:dyDescent="0.25">
      <c r="A110" s="8" t="s">
        <v>321</v>
      </c>
      <c r="B110">
        <v>14805</v>
      </c>
      <c r="C110">
        <v>14805</v>
      </c>
      <c r="D110">
        <v>14805</v>
      </c>
      <c r="E110">
        <v>14805</v>
      </c>
      <c r="F110">
        <v>14805</v>
      </c>
      <c r="G110">
        <v>14805</v>
      </c>
      <c r="H110" s="30" t="s">
        <v>146</v>
      </c>
    </row>
    <row r="111" spans="1:8" x14ac:dyDescent="0.25">
      <c r="A111" s="8" t="s">
        <v>210</v>
      </c>
      <c r="B111">
        <v>115</v>
      </c>
      <c r="C111">
        <v>115</v>
      </c>
      <c r="D111">
        <v>115</v>
      </c>
      <c r="E111">
        <v>115</v>
      </c>
      <c r="F111">
        <v>135</v>
      </c>
      <c r="G111">
        <v>115</v>
      </c>
      <c r="H111" s="30" t="s">
        <v>322</v>
      </c>
    </row>
    <row r="112" spans="1:8" x14ac:dyDescent="0.25">
      <c r="A112" s="8" t="s">
        <v>209</v>
      </c>
      <c r="B112">
        <f t="shared" ref="B112:F112" si="23">(B111*B71/B110)^2</f>
        <v>6.0336325399163579E-3</v>
      </c>
      <c r="C112">
        <f t="shared" si="23"/>
        <v>9.6538120638661718E-4</v>
      </c>
      <c r="D112">
        <f t="shared" si="23"/>
        <v>9.6538120638661718E-4</v>
      </c>
      <c r="E112">
        <f t="shared" si="23"/>
        <v>9.6538120638661718E-4</v>
      </c>
      <c r="F112">
        <f t="shared" si="23"/>
        <v>2.1285834388078451E-2</v>
      </c>
      <c r="G112">
        <f>(G111*G71/G110)^2</f>
        <v>9.6538120638661718E-4</v>
      </c>
      <c r="H112" s="30" t="s">
        <v>230</v>
      </c>
    </row>
    <row r="113" spans="1:8" x14ac:dyDescent="0.25">
      <c r="A113" s="8" t="s">
        <v>323</v>
      </c>
      <c r="B113">
        <v>6000</v>
      </c>
      <c r="C113">
        <v>2200</v>
      </c>
      <c r="D113">
        <v>7000</v>
      </c>
      <c r="E113">
        <v>1000</v>
      </c>
      <c r="F113">
        <v>10000</v>
      </c>
      <c r="G113">
        <v>500</v>
      </c>
      <c r="H113" s="30" t="s">
        <v>326</v>
      </c>
    </row>
    <row r="114" spans="1:8" x14ac:dyDescent="0.25">
      <c r="A114" s="8" t="s">
        <v>324</v>
      </c>
      <c r="B114">
        <f t="shared" ref="B114:G114" si="24">(B111*B71)^2</f>
        <v>1322500</v>
      </c>
      <c r="C114">
        <f t="shared" si="24"/>
        <v>211600</v>
      </c>
      <c r="D114">
        <f t="shared" si="24"/>
        <v>211600</v>
      </c>
      <c r="E114">
        <f t="shared" si="24"/>
        <v>211600</v>
      </c>
      <c r="F114">
        <f t="shared" si="24"/>
        <v>4665600</v>
      </c>
      <c r="G114">
        <f t="shared" si="24"/>
        <v>211600</v>
      </c>
      <c r="H114" s="30" t="s">
        <v>326</v>
      </c>
    </row>
    <row r="115" spans="1:8" x14ac:dyDescent="0.25">
      <c r="A115" s="8" t="s">
        <v>325</v>
      </c>
      <c r="B115" s="8" t="str">
        <f>IF(B113&lt;=B114,"OK")</f>
        <v>OK</v>
      </c>
      <c r="C115" s="8" t="str">
        <f t="shared" ref="C115:G115" si="25">IF(C113&lt;=C114,"OK")</f>
        <v>OK</v>
      </c>
      <c r="D115" s="8" t="str">
        <f t="shared" si="25"/>
        <v>OK</v>
      </c>
      <c r="E115" s="8" t="str">
        <f t="shared" si="25"/>
        <v>OK</v>
      </c>
      <c r="F115" s="8" t="str">
        <f t="shared" si="25"/>
        <v>OK</v>
      </c>
      <c r="G115" s="8" t="str">
        <f t="shared" si="25"/>
        <v>OK</v>
      </c>
      <c r="H115" s="30" t="s">
        <v>10</v>
      </c>
    </row>
    <row r="116" spans="1:8" ht="18" thickBot="1" x14ac:dyDescent="0.35">
      <c r="A116" s="3" t="s">
        <v>327</v>
      </c>
      <c r="B116" s="3"/>
      <c r="C116" s="3"/>
      <c r="D116" s="3"/>
      <c r="E116" s="3"/>
      <c r="F116" s="3"/>
      <c r="G116" s="3"/>
      <c r="H116" s="3"/>
    </row>
    <row r="117" spans="1:8" ht="15.75" thickTop="1" x14ac:dyDescent="0.25">
      <c r="A117" s="8" t="s">
        <v>118</v>
      </c>
      <c r="B117" s="34">
        <v>0.95</v>
      </c>
      <c r="C117" s="34">
        <v>0.95</v>
      </c>
      <c r="D117" s="34">
        <v>0.95</v>
      </c>
      <c r="E117" s="34">
        <v>0.95</v>
      </c>
      <c r="F117" s="34">
        <v>0.95</v>
      </c>
      <c r="G117" s="34">
        <v>0.95</v>
      </c>
      <c r="H117" s="30" t="s">
        <v>10</v>
      </c>
    </row>
    <row r="118" spans="1:8" x14ac:dyDescent="0.25">
      <c r="A118" s="8" t="s">
        <v>164</v>
      </c>
      <c r="B118" s="34">
        <f>B1109+1.24*(B120+B121+B122+B123)</f>
        <v>0.16875541125541127</v>
      </c>
      <c r="C118" s="34">
        <f t="shared" ref="C118:G118" si="26">C1109+1.24*(C120+C121+C122+C123)</f>
        <v>0.43446969696969701</v>
      </c>
      <c r="D118" s="34">
        <f t="shared" si="26"/>
        <v>0.46214826839826839</v>
      </c>
      <c r="E118" s="34">
        <f t="shared" si="26"/>
        <v>0.4676839826839827</v>
      </c>
      <c r="F118" s="34">
        <f t="shared" si="26"/>
        <v>0.17996523268398268</v>
      </c>
      <c r="G118" s="34">
        <f t="shared" si="26"/>
        <v>0.57563041125541126</v>
      </c>
      <c r="H118" s="30" t="s">
        <v>170</v>
      </c>
    </row>
    <row r="119" spans="1:8" x14ac:dyDescent="0.25">
      <c r="A119" s="39" t="s">
        <v>131</v>
      </c>
      <c r="B119" s="34">
        <f>'Dobór WLZ'!$B$19</f>
        <v>2.2000000000000001E-3</v>
      </c>
      <c r="C119" s="34">
        <f>'Dobór WLZ'!$B$19</f>
        <v>2.2000000000000001E-3</v>
      </c>
      <c r="D119" s="34">
        <f>'Dobór WLZ'!$B$19</f>
        <v>2.2000000000000001E-3</v>
      </c>
      <c r="E119" s="34">
        <f>'Dobór WLZ'!$B$19</f>
        <v>2.2000000000000001E-3</v>
      </c>
      <c r="F119" s="34">
        <f>'Dobór WLZ'!$B$19</f>
        <v>2.2000000000000001E-3</v>
      </c>
      <c r="G119" s="34">
        <f>'Dobór WLZ'!$B$19</f>
        <v>2.2000000000000001E-3</v>
      </c>
      <c r="H119" s="30" t="s">
        <v>170</v>
      </c>
    </row>
    <row r="120" spans="1:8" x14ac:dyDescent="0.25">
      <c r="A120" s="39" t="s">
        <v>224</v>
      </c>
      <c r="B120" s="34">
        <f>'Dobór WLZ'!$C$71</f>
        <v>1.893939393939394E-2</v>
      </c>
      <c r="C120" s="34">
        <f>'Dobór WLZ'!$C$71</f>
        <v>1.893939393939394E-2</v>
      </c>
      <c r="D120" s="34">
        <f>'Dobór WLZ'!$C$71</f>
        <v>1.893939393939394E-2</v>
      </c>
      <c r="E120" s="34">
        <f>'Dobór WLZ'!$C$71</f>
        <v>1.893939393939394E-2</v>
      </c>
      <c r="F120" s="34">
        <f>'Dobór WLZ'!$C$71</f>
        <v>1.893939393939394E-2</v>
      </c>
      <c r="G120" s="34">
        <f>'Dobór WLZ'!$C$71</f>
        <v>1.893939393939394E-2</v>
      </c>
      <c r="H120" s="30" t="s">
        <v>170</v>
      </c>
    </row>
    <row r="121" spans="1:8" x14ac:dyDescent="0.25">
      <c r="A121" s="39" t="s">
        <v>333</v>
      </c>
      <c r="B121" s="34">
        <f>B92</f>
        <v>4.9107142857142856E-2</v>
      </c>
      <c r="C121" s="34">
        <f t="shared" ref="C121:G121" si="27">C92</f>
        <v>0.15625</v>
      </c>
      <c r="D121" s="34">
        <f t="shared" si="27"/>
        <v>0.16741071428571427</v>
      </c>
      <c r="E121" s="34">
        <f t="shared" si="27"/>
        <v>0.16964285714285715</v>
      </c>
      <c r="F121" s="34">
        <f t="shared" si="27"/>
        <v>5.362723214285714E-2</v>
      </c>
      <c r="G121" s="34">
        <f t="shared" si="27"/>
        <v>0.21316964285714285</v>
      </c>
      <c r="H121" s="30" t="s">
        <v>170</v>
      </c>
    </row>
    <row r="122" spans="1:8" x14ac:dyDescent="0.25">
      <c r="A122" s="39" t="s">
        <v>331</v>
      </c>
      <c r="B122" s="34">
        <f>'Dobór WLZ'!$C$71</f>
        <v>1.893939393939394E-2</v>
      </c>
      <c r="C122" s="34">
        <f>'Dobór WLZ'!$C$71</f>
        <v>1.893939393939394E-2</v>
      </c>
      <c r="D122" s="34">
        <f>'Dobór WLZ'!$C$71</f>
        <v>1.893939393939394E-2</v>
      </c>
      <c r="E122" s="34">
        <f>'Dobór WLZ'!$C$71</f>
        <v>1.893939393939394E-2</v>
      </c>
      <c r="F122" s="34">
        <f>'Dobór WLZ'!$C$71</f>
        <v>1.893939393939394E-2</v>
      </c>
      <c r="G122" s="34">
        <f>'Dobór WLZ'!$C$71</f>
        <v>1.893939393939394E-2</v>
      </c>
      <c r="H122" s="30" t="s">
        <v>170</v>
      </c>
    </row>
    <row r="123" spans="1:8" x14ac:dyDescent="0.25">
      <c r="A123" s="39" t="s">
        <v>332</v>
      </c>
      <c r="B123" s="34">
        <f>B93</f>
        <v>4.9107142857142856E-2</v>
      </c>
      <c r="C123" s="34">
        <f t="shared" ref="C123:G123" si="28">C93</f>
        <v>0.15625</v>
      </c>
      <c r="D123" s="34">
        <f t="shared" si="28"/>
        <v>0.16741071428571427</v>
      </c>
      <c r="E123" s="34">
        <f t="shared" si="28"/>
        <v>0.16964285714285715</v>
      </c>
      <c r="F123" s="34">
        <f t="shared" si="28"/>
        <v>5.362723214285714E-2</v>
      </c>
      <c r="G123" s="34">
        <f t="shared" si="28"/>
        <v>0.21316964285714285</v>
      </c>
      <c r="H123" s="30" t="s">
        <v>170</v>
      </c>
    </row>
    <row r="124" spans="1:8" x14ac:dyDescent="0.25">
      <c r="A124" s="8" t="s">
        <v>171</v>
      </c>
      <c r="B124" s="34">
        <f>SUM(B125:B130)</f>
        <v>1.3289616629710304E-2</v>
      </c>
      <c r="C124" s="34">
        <f t="shared" ref="C124:G124" si="29">SUM(C125:C130)</f>
        <v>1.3290666629710303E-2</v>
      </c>
      <c r="D124" s="34">
        <f t="shared" si="29"/>
        <v>1.3291016629710302E-2</v>
      </c>
      <c r="E124" s="34">
        <f t="shared" si="29"/>
        <v>1.3291086629710304E-2</v>
      </c>
      <c r="F124" s="34">
        <f t="shared" si="29"/>
        <v>1.3292493629710305E-2</v>
      </c>
      <c r="G124" s="34">
        <f t="shared" si="29"/>
        <v>1.3292451629710303E-2</v>
      </c>
      <c r="H124" s="30" t="s">
        <v>170</v>
      </c>
    </row>
    <row r="125" spans="1:8" x14ac:dyDescent="0.25">
      <c r="A125" s="39" t="s">
        <v>334</v>
      </c>
      <c r="B125" s="34">
        <f>'Dobór WLZ'!$B$10</f>
        <v>4.5227272727272732E-4</v>
      </c>
      <c r="C125" s="34">
        <f>'Dobór WLZ'!$B$10</f>
        <v>4.5227272727272732E-4</v>
      </c>
      <c r="D125" s="34">
        <f>'Dobór WLZ'!$B$10</f>
        <v>4.5227272727272732E-4</v>
      </c>
      <c r="E125" s="34">
        <f>'Dobór WLZ'!$B$10</f>
        <v>4.5227272727272732E-4</v>
      </c>
      <c r="F125" s="34">
        <f>'Dobór WLZ'!$B$10</f>
        <v>4.5227272727272732E-4</v>
      </c>
      <c r="G125" s="34">
        <f>'Dobór WLZ'!$B$10</f>
        <v>4.5227272727272732E-4</v>
      </c>
      <c r="H125" s="30" t="s">
        <v>170</v>
      </c>
    </row>
    <row r="126" spans="1:8" x14ac:dyDescent="0.25">
      <c r="A126" s="39" t="s">
        <v>132</v>
      </c>
      <c r="B126" s="34">
        <f>'Dobór WLZ'!$B$20</f>
        <v>1.2812493902437577E-2</v>
      </c>
      <c r="C126" s="34">
        <f>'Dobór WLZ'!$B$20</f>
        <v>1.2812493902437577E-2</v>
      </c>
      <c r="D126" s="34">
        <f>'Dobór WLZ'!$B$20</f>
        <v>1.2812493902437577E-2</v>
      </c>
      <c r="E126" s="34">
        <f>'Dobór WLZ'!$B$20</f>
        <v>1.2812493902437577E-2</v>
      </c>
      <c r="F126" s="34">
        <f>'Dobór WLZ'!$B$20</f>
        <v>1.2812493902437577E-2</v>
      </c>
      <c r="G126" s="34">
        <f>'Dobór WLZ'!$B$20</f>
        <v>1.2812493902437577E-2</v>
      </c>
      <c r="H126" s="30" t="s">
        <v>170</v>
      </c>
    </row>
    <row r="127" spans="1:8" x14ac:dyDescent="0.25">
      <c r="A127" s="39" t="s">
        <v>225</v>
      </c>
      <c r="B127" s="34">
        <f>'Dobór WLZ'!$C$72</f>
        <v>1.0500000000000003E-5</v>
      </c>
      <c r="C127" s="34">
        <f>'Dobór WLZ'!$C$72</f>
        <v>1.0500000000000003E-5</v>
      </c>
      <c r="D127" s="34">
        <f>'Dobór WLZ'!$C$72</f>
        <v>1.0500000000000003E-5</v>
      </c>
      <c r="E127" s="34">
        <f>'Dobór WLZ'!$C$72</f>
        <v>1.0500000000000003E-5</v>
      </c>
      <c r="F127" s="34">
        <f>'Dobór WLZ'!$C$72</f>
        <v>1.0500000000000003E-5</v>
      </c>
      <c r="G127" s="34">
        <f>'Dobór WLZ'!$C$72</f>
        <v>1.0500000000000003E-5</v>
      </c>
      <c r="H127" s="30" t="s">
        <v>170</v>
      </c>
    </row>
    <row r="128" spans="1:8" x14ac:dyDescent="0.25">
      <c r="A128" s="39" t="s">
        <v>335</v>
      </c>
      <c r="B128" s="34">
        <f>B94</f>
        <v>1.9250000000000002E-6</v>
      </c>
      <c r="C128" s="34">
        <f t="shared" ref="C128:G128" si="30">C94</f>
        <v>2.4500000000000003E-6</v>
      </c>
      <c r="D128" s="34">
        <f t="shared" si="30"/>
        <v>2.6250000000000007E-6</v>
      </c>
      <c r="E128" s="34">
        <f t="shared" si="30"/>
        <v>2.6599999999999999E-6</v>
      </c>
      <c r="F128" s="34">
        <f t="shared" si="30"/>
        <v>3.3635000000000001E-6</v>
      </c>
      <c r="G128" s="34">
        <f t="shared" si="30"/>
        <v>3.3425000000000006E-6</v>
      </c>
      <c r="H128" s="30" t="s">
        <v>170</v>
      </c>
    </row>
    <row r="129" spans="1:8" x14ac:dyDescent="0.25">
      <c r="A129" s="39" t="s">
        <v>336</v>
      </c>
      <c r="B129" s="34">
        <f>'Dobór WLZ'!$C$72</f>
        <v>1.0500000000000003E-5</v>
      </c>
      <c r="C129" s="34">
        <f>'Dobór WLZ'!$C$72</f>
        <v>1.0500000000000003E-5</v>
      </c>
      <c r="D129" s="34">
        <f>'Dobór WLZ'!$C$72</f>
        <v>1.0500000000000003E-5</v>
      </c>
      <c r="E129" s="34">
        <f>'Dobór WLZ'!$C$72</f>
        <v>1.0500000000000003E-5</v>
      </c>
      <c r="F129" s="34">
        <f>'Dobór WLZ'!$C$72</f>
        <v>1.0500000000000003E-5</v>
      </c>
      <c r="G129" s="34">
        <f>'Dobór WLZ'!$C$72</f>
        <v>1.0500000000000003E-5</v>
      </c>
      <c r="H129" s="30" t="s">
        <v>170</v>
      </c>
    </row>
    <row r="130" spans="1:8" x14ac:dyDescent="0.25">
      <c r="A130" s="39" t="s">
        <v>337</v>
      </c>
      <c r="B130" s="34">
        <f>B95</f>
        <v>1.9250000000000002E-6</v>
      </c>
      <c r="C130" s="34">
        <f t="shared" ref="C130:G130" si="31">C95</f>
        <v>2.4500000000000003E-6</v>
      </c>
      <c r="D130" s="34">
        <f t="shared" si="31"/>
        <v>2.6250000000000007E-6</v>
      </c>
      <c r="E130" s="34">
        <f t="shared" si="31"/>
        <v>2.6599999999999999E-6</v>
      </c>
      <c r="F130" s="34">
        <f t="shared" si="31"/>
        <v>3.3635000000000001E-6</v>
      </c>
      <c r="G130" s="34">
        <f t="shared" si="31"/>
        <v>3.3425000000000006E-6</v>
      </c>
      <c r="H130" s="30" t="s">
        <v>170</v>
      </c>
    </row>
    <row r="131" spans="1:8" x14ac:dyDescent="0.25">
      <c r="A131" s="8" t="s">
        <v>218</v>
      </c>
      <c r="B131" s="34">
        <f>SQRT(B118^2+B124^2)</f>
        <v>0.16927788614626443</v>
      </c>
      <c r="C131" s="34">
        <f t="shared" ref="C131:G131" si="32">SQRT(C118^2+C124^2)</f>
        <v>0.43467293383002631</v>
      </c>
      <c r="D131" s="34">
        <f t="shared" si="32"/>
        <v>0.46233934842988345</v>
      </c>
      <c r="E131" s="34">
        <f t="shared" si="32"/>
        <v>0.46787280391464331</v>
      </c>
      <c r="F131" s="34">
        <f t="shared" si="32"/>
        <v>0.18045546642287097</v>
      </c>
      <c r="G131" s="34">
        <f t="shared" si="32"/>
        <v>0.57578386538040649</v>
      </c>
      <c r="H131" s="30" t="s">
        <v>170</v>
      </c>
    </row>
    <row r="132" spans="1:8" x14ac:dyDescent="0.25">
      <c r="A132" s="8" t="s">
        <v>220</v>
      </c>
      <c r="B132" s="34">
        <f>B117*230/B131</f>
        <v>1290.7769879120847</v>
      </c>
      <c r="C132" s="34">
        <f t="shared" ref="C132:G132" si="33">C117*230/C131</f>
        <v>502.67680132446856</v>
      </c>
      <c r="D132" s="34">
        <f t="shared" si="33"/>
        <v>472.59659110138847</v>
      </c>
      <c r="E132" s="34">
        <f t="shared" si="33"/>
        <v>467.00726815457773</v>
      </c>
      <c r="F132" s="34">
        <f t="shared" si="33"/>
        <v>1210.8250546867737</v>
      </c>
      <c r="G132" s="34">
        <f t="shared" si="33"/>
        <v>379.48267247058465</v>
      </c>
      <c r="H132" s="30" t="s">
        <v>170</v>
      </c>
    </row>
    <row r="133" spans="1:8" x14ac:dyDescent="0.25">
      <c r="A133" s="8" t="s">
        <v>330</v>
      </c>
      <c r="B133">
        <v>0.2</v>
      </c>
      <c r="C133">
        <v>0.2</v>
      </c>
      <c r="D133">
        <v>0.2</v>
      </c>
      <c r="E133">
        <v>0.2</v>
      </c>
      <c r="F133">
        <v>0.2</v>
      </c>
      <c r="G133">
        <v>0.4</v>
      </c>
      <c r="H133" s="30"/>
    </row>
    <row r="134" spans="1:8" x14ac:dyDescent="0.25">
      <c r="A134" s="8" t="s">
        <v>328</v>
      </c>
      <c r="B134">
        <v>600</v>
      </c>
      <c r="C134">
        <v>390</v>
      </c>
      <c r="D134">
        <v>150</v>
      </c>
      <c r="E134">
        <v>150</v>
      </c>
      <c r="F134">
        <f>5*F51</f>
        <v>315</v>
      </c>
      <c r="G134">
        <f>5*G51</f>
        <v>80</v>
      </c>
      <c r="H134" s="30"/>
    </row>
    <row r="135" spans="1:8" x14ac:dyDescent="0.25">
      <c r="A135" s="8" t="s">
        <v>329</v>
      </c>
      <c r="B135" s="8" t="str">
        <f>IF(B134&lt;=B132,"OK")</f>
        <v>OK</v>
      </c>
      <c r="C135" s="8" t="str">
        <f t="shared" ref="C135:G135" si="34">IF(C134&lt;=C132,"OK")</f>
        <v>OK</v>
      </c>
      <c r="D135" s="8" t="str">
        <f t="shared" si="34"/>
        <v>OK</v>
      </c>
      <c r="E135" s="8" t="str">
        <f t="shared" si="34"/>
        <v>OK</v>
      </c>
      <c r="F135" s="8" t="str">
        <f t="shared" si="34"/>
        <v>OK</v>
      </c>
      <c r="G135" s="8" t="str">
        <f t="shared" si="34"/>
        <v>OK</v>
      </c>
      <c r="H135" s="30" t="s">
        <v>10</v>
      </c>
    </row>
  </sheetData>
  <hyperlinks>
    <hyperlink ref="D53" r:id="rId1" xr:uid="{20E94F9D-09F8-4C44-892B-8EE4C57FE735}"/>
    <hyperlink ref="B53" r:id="rId2" xr:uid="{5555EC2F-629B-4685-8335-01FA9993D6ED}"/>
    <hyperlink ref="C53" r:id="rId3" xr:uid="{A11757BF-340F-47DC-9C2F-F46607B1A5E5}"/>
    <hyperlink ref="E53" r:id="rId4" xr:uid="{42461787-9055-4EFB-89AB-14167E29F806}"/>
    <hyperlink ref="F53" r:id="rId5" xr:uid="{EEC34A9F-BC91-4201-8BFA-23A74F9CA79A}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7261-06C0-47BE-BA42-22F781D13C50}">
  <dimension ref="A1:G119"/>
  <sheetViews>
    <sheetView topLeftCell="A31" zoomScale="85" zoomScaleNormal="85" workbookViewId="0">
      <selection activeCell="B54" sqref="B54"/>
    </sheetView>
  </sheetViews>
  <sheetFormatPr defaultRowHeight="15" x14ac:dyDescent="0.25"/>
  <cols>
    <col min="1" max="1" width="20.140625" customWidth="1"/>
    <col min="2" max="2" width="23.140625" customWidth="1"/>
    <col min="3" max="3" width="12.5703125" bestFit="1" customWidth="1"/>
    <col min="5" max="5" width="11.28515625" bestFit="1" customWidth="1"/>
  </cols>
  <sheetData>
    <row r="1" spans="1:3" ht="23.25" x14ac:dyDescent="0.35">
      <c r="A1" s="1" t="s">
        <v>148</v>
      </c>
    </row>
    <row r="2" spans="1:3" ht="20.25" thickBot="1" x14ac:dyDescent="0.35">
      <c r="A2" s="2" t="s">
        <v>147</v>
      </c>
      <c r="B2" s="2"/>
      <c r="C2" s="2"/>
    </row>
    <row r="3" spans="1:3" ht="18.75" thickTop="1" thickBot="1" x14ac:dyDescent="0.35">
      <c r="A3" s="3" t="s">
        <v>124</v>
      </c>
      <c r="B3" s="3"/>
      <c r="C3" s="3"/>
    </row>
    <row r="4" spans="1:3" ht="15.75" thickTop="1" x14ac:dyDescent="0.25">
      <c r="A4" s="27" t="s">
        <v>116</v>
      </c>
      <c r="B4" s="28">
        <v>320</v>
      </c>
      <c r="C4" s="30" t="s">
        <v>117</v>
      </c>
    </row>
    <row r="5" spans="1:3" x14ac:dyDescent="0.25">
      <c r="A5" s="27" t="s">
        <v>118</v>
      </c>
      <c r="B5" s="28">
        <v>1.1000000000000001</v>
      </c>
      <c r="C5" s="30" t="s">
        <v>10</v>
      </c>
    </row>
    <row r="6" spans="1:3" x14ac:dyDescent="0.25">
      <c r="A6" s="27" t="s">
        <v>91</v>
      </c>
      <c r="B6" s="28">
        <v>30</v>
      </c>
      <c r="C6" s="30" t="s">
        <v>119</v>
      </c>
    </row>
    <row r="7" spans="1:3" x14ac:dyDescent="0.25">
      <c r="A7" s="27" t="s">
        <v>120</v>
      </c>
      <c r="B7" s="28">
        <v>0.4</v>
      </c>
      <c r="C7" s="30" t="s">
        <v>119</v>
      </c>
    </row>
    <row r="8" spans="1:3" x14ac:dyDescent="0.25">
      <c r="A8" s="27" t="s">
        <v>121</v>
      </c>
      <c r="B8" s="28">
        <v>33</v>
      </c>
      <c r="C8" s="30" t="s">
        <v>119</v>
      </c>
    </row>
    <row r="9" spans="1:3" x14ac:dyDescent="0.25">
      <c r="A9" s="27" t="s">
        <v>125</v>
      </c>
      <c r="B9" s="29">
        <f>(B5*B6^2/B4)*(B7/B8)^2</f>
        <v>4.545454545454546E-4</v>
      </c>
      <c r="C9" s="30" t="s">
        <v>126</v>
      </c>
    </row>
    <row r="10" spans="1:3" x14ac:dyDescent="0.25">
      <c r="A10" s="27" t="s">
        <v>122</v>
      </c>
      <c r="B10" s="29">
        <f>0.995*B9</f>
        <v>4.5227272727272732E-4</v>
      </c>
      <c r="C10" s="30" t="s">
        <v>126</v>
      </c>
    </row>
    <row r="11" spans="1:3" x14ac:dyDescent="0.25">
      <c r="A11" s="27" t="s">
        <v>123</v>
      </c>
      <c r="B11" s="29">
        <f>0.1*B9</f>
        <v>4.5454545454545465E-5</v>
      </c>
      <c r="C11" s="30" t="s">
        <v>126</v>
      </c>
    </row>
    <row r="13" spans="1:3" ht="18" thickBot="1" x14ac:dyDescent="0.35">
      <c r="A13" s="3" t="s">
        <v>127</v>
      </c>
      <c r="B13" s="3"/>
      <c r="C13" s="3"/>
    </row>
    <row r="14" spans="1:3" ht="15.75" thickTop="1" x14ac:dyDescent="0.25">
      <c r="A14" s="27" t="s">
        <v>128</v>
      </c>
      <c r="B14" s="28">
        <v>6.5</v>
      </c>
      <c r="C14" s="30" t="s">
        <v>134</v>
      </c>
    </row>
    <row r="15" spans="1:3" x14ac:dyDescent="0.25">
      <c r="A15" s="27" t="s">
        <v>120</v>
      </c>
      <c r="B15" s="28">
        <v>0.4</v>
      </c>
      <c r="C15" s="30" t="s">
        <v>119</v>
      </c>
    </row>
    <row r="16" spans="1:3" x14ac:dyDescent="0.25">
      <c r="A16" s="27" t="s">
        <v>129</v>
      </c>
      <c r="B16" s="28">
        <v>0.8</v>
      </c>
      <c r="C16" s="30" t="s">
        <v>117</v>
      </c>
    </row>
    <row r="17" spans="1:3" x14ac:dyDescent="0.25">
      <c r="A17" s="27" t="s">
        <v>130</v>
      </c>
      <c r="B17" s="28">
        <v>8.8000000000000007</v>
      </c>
      <c r="C17" s="30" t="s">
        <v>135</v>
      </c>
    </row>
    <row r="18" spans="1:3" x14ac:dyDescent="0.25">
      <c r="A18" s="27" t="s">
        <v>133</v>
      </c>
      <c r="B18" s="29">
        <f>((B14)*B15^2)/(100*B16)</f>
        <v>1.3000000000000003E-2</v>
      </c>
      <c r="C18" s="30" t="s">
        <v>126</v>
      </c>
    </row>
    <row r="19" spans="1:3" x14ac:dyDescent="0.25">
      <c r="A19" s="27" t="s">
        <v>131</v>
      </c>
      <c r="B19" s="29">
        <f>(B17*B15^2*0.001)/B16^2</f>
        <v>2.2000000000000001E-3</v>
      </c>
      <c r="C19" s="30" t="s">
        <v>126</v>
      </c>
    </row>
    <row r="20" spans="1:3" x14ac:dyDescent="0.25">
      <c r="A20" s="27" t="s">
        <v>132</v>
      </c>
      <c r="B20" s="29">
        <f>SQRT(B18^2-B19^2)</f>
        <v>1.2812493902437577E-2</v>
      </c>
      <c r="C20" s="30" t="s">
        <v>126</v>
      </c>
    </row>
    <row r="22" spans="1:3" ht="18" thickBot="1" x14ac:dyDescent="0.35">
      <c r="A22" s="3" t="s">
        <v>138</v>
      </c>
      <c r="B22" s="3"/>
      <c r="C22" s="3"/>
    </row>
    <row r="23" spans="1:3" ht="15.75" thickTop="1" x14ac:dyDescent="0.25">
      <c r="A23" s="27" t="s">
        <v>139</v>
      </c>
      <c r="B23" s="28">
        <f>B11+B19</f>
        <v>2.2454545454545457E-3</v>
      </c>
      <c r="C23" s="30" t="s">
        <v>126</v>
      </c>
    </row>
    <row r="24" spans="1:3" x14ac:dyDescent="0.25">
      <c r="A24" s="27" t="s">
        <v>140</v>
      </c>
      <c r="B24" s="28">
        <f>B10+B20</f>
        <v>1.3264766629710304E-2</v>
      </c>
      <c r="C24" s="30" t="s">
        <v>126</v>
      </c>
    </row>
    <row r="25" spans="1:3" x14ac:dyDescent="0.25">
      <c r="A25" s="27" t="s">
        <v>141</v>
      </c>
      <c r="B25" s="28">
        <f>SQRT(B23^2+B24^2)</f>
        <v>1.345347909859671E-2</v>
      </c>
      <c r="C25" s="30" t="s">
        <v>126</v>
      </c>
    </row>
    <row r="26" spans="1:3" x14ac:dyDescent="0.25">
      <c r="A26" s="27" t="s">
        <v>142</v>
      </c>
      <c r="B26" s="28">
        <f>1</f>
        <v>1</v>
      </c>
      <c r="C26" s="30" t="s">
        <v>10</v>
      </c>
    </row>
    <row r="27" spans="1:3" x14ac:dyDescent="0.25">
      <c r="A27" s="27" t="s">
        <v>91</v>
      </c>
      <c r="B27" s="28">
        <v>400</v>
      </c>
      <c r="C27" s="30" t="s">
        <v>143</v>
      </c>
    </row>
    <row r="28" spans="1:3" x14ac:dyDescent="0.25">
      <c r="A28" s="27" t="s">
        <v>144</v>
      </c>
      <c r="B28" s="29">
        <f>B26*B27/(SQRT(3)*B25)</f>
        <v>17165.827960437309</v>
      </c>
      <c r="C28" s="30" t="s">
        <v>145</v>
      </c>
    </row>
    <row r="29" spans="1:3" x14ac:dyDescent="0.25">
      <c r="A29" s="27" t="s">
        <v>144</v>
      </c>
      <c r="B29" s="29">
        <f>B28/1000</f>
        <v>17.165827960437309</v>
      </c>
      <c r="C29" s="30" t="s">
        <v>146</v>
      </c>
    </row>
    <row r="33" spans="1:5" ht="20.25" thickBot="1" x14ac:dyDescent="0.35">
      <c r="A33" s="31" t="s">
        <v>150</v>
      </c>
      <c r="B33" s="2"/>
      <c r="C33" s="2"/>
      <c r="D33" s="2"/>
    </row>
    <row r="34" spans="1:5" ht="18.75" thickTop="1" thickBot="1" x14ac:dyDescent="0.35">
      <c r="A34" s="25" t="s">
        <v>154</v>
      </c>
      <c r="B34" s="25" t="s">
        <v>18</v>
      </c>
      <c r="C34" s="3" t="s">
        <v>19</v>
      </c>
      <c r="D34" s="3" t="s">
        <v>155</v>
      </c>
    </row>
    <row r="35" spans="1:5" ht="15.75" thickTop="1" x14ac:dyDescent="0.25">
      <c r="A35" s="27" t="s">
        <v>36</v>
      </c>
      <c r="B35" s="4">
        <v>143.9</v>
      </c>
      <c r="C35" s="4">
        <f>B35*0.7</f>
        <v>100.73</v>
      </c>
      <c r="D35" s="30" t="s">
        <v>135</v>
      </c>
    </row>
    <row r="36" spans="1:5" x14ac:dyDescent="0.25">
      <c r="A36" s="27" t="s">
        <v>22</v>
      </c>
      <c r="B36" s="4">
        <v>156.26669083518851</v>
      </c>
      <c r="C36" s="4">
        <f>B36*0.7</f>
        <v>109.38668358463195</v>
      </c>
      <c r="D36" s="30" t="s">
        <v>153</v>
      </c>
    </row>
    <row r="37" spans="1:5" x14ac:dyDescent="0.25">
      <c r="A37" s="27" t="s">
        <v>151</v>
      </c>
      <c r="B37" s="4">
        <v>0.92086163232168639</v>
      </c>
      <c r="C37" s="22">
        <v>0.92086163232168605</v>
      </c>
      <c r="D37" s="30" t="s">
        <v>10</v>
      </c>
    </row>
    <row r="38" spans="1:5" x14ac:dyDescent="0.25">
      <c r="A38" s="27" t="s">
        <v>243</v>
      </c>
      <c r="B38">
        <f>B35/(SQRT(3)*0.4*B37)</f>
        <v>225.55154004767027</v>
      </c>
      <c r="C38">
        <f>C35/(SQRT(3)*0.4*C37)</f>
        <v>157.88607803336924</v>
      </c>
      <c r="D38" s="30" t="s">
        <v>145</v>
      </c>
    </row>
    <row r="40" spans="1:5" ht="18" thickBot="1" x14ac:dyDescent="0.35">
      <c r="A40" s="3" t="s">
        <v>196</v>
      </c>
      <c r="B40" s="3"/>
      <c r="C40" s="3"/>
      <c r="D40" s="3"/>
    </row>
    <row r="41" spans="1:5" ht="15.75" thickTop="1" x14ac:dyDescent="0.25">
      <c r="A41" s="27" t="s">
        <v>197</v>
      </c>
      <c r="B41">
        <f>42.1</f>
        <v>42.1</v>
      </c>
      <c r="C41">
        <f>42.1</f>
        <v>42.1</v>
      </c>
      <c r="D41" s="30" t="s">
        <v>145</v>
      </c>
      <c r="E41" s="30" t="s">
        <v>199</v>
      </c>
    </row>
    <row r="42" spans="1:5" x14ac:dyDescent="0.25">
      <c r="A42" s="27" t="s">
        <v>198</v>
      </c>
      <c r="B42">
        <v>3</v>
      </c>
      <c r="C42">
        <v>3</v>
      </c>
      <c r="D42" s="30" t="s">
        <v>10</v>
      </c>
      <c r="E42" s="30" t="s">
        <v>200</v>
      </c>
    </row>
    <row r="43" spans="1:5" x14ac:dyDescent="0.25">
      <c r="A43" s="27" t="s">
        <v>201</v>
      </c>
      <c r="B43">
        <f>7.3*B41/3</f>
        <v>102.44333333333333</v>
      </c>
      <c r="C43">
        <f>7.3*C41/3</f>
        <v>102.44333333333333</v>
      </c>
      <c r="D43" s="30" t="s">
        <v>145</v>
      </c>
    </row>
    <row r="44" spans="1:5" x14ac:dyDescent="0.25">
      <c r="A44" s="27" t="s">
        <v>202</v>
      </c>
      <c r="B44">
        <f>(B38-B41)+B43/B42</f>
        <v>217.59931782544805</v>
      </c>
      <c r="C44">
        <f>(C38-C41)+C43/C42</f>
        <v>149.93385581114703</v>
      </c>
      <c r="D44" s="30" t="s">
        <v>145</v>
      </c>
    </row>
    <row r="45" spans="1:5" x14ac:dyDescent="0.25">
      <c r="A45" s="27" t="s">
        <v>203</v>
      </c>
      <c r="B45" t="s">
        <v>211</v>
      </c>
      <c r="C45" t="s">
        <v>237</v>
      </c>
      <c r="D45" s="30" t="s">
        <v>10</v>
      </c>
    </row>
    <row r="46" spans="1:5" x14ac:dyDescent="0.25">
      <c r="A46" s="27" t="s">
        <v>193</v>
      </c>
      <c r="B46">
        <v>250</v>
      </c>
      <c r="C46">
        <v>160</v>
      </c>
      <c r="D46" s="30" t="s">
        <v>145</v>
      </c>
    </row>
    <row r="47" spans="1:5" x14ac:dyDescent="0.25">
      <c r="A47" s="27" t="s">
        <v>204</v>
      </c>
      <c r="B47">
        <v>1.6</v>
      </c>
      <c r="C47">
        <v>1.6</v>
      </c>
      <c r="D47" s="30" t="s">
        <v>145</v>
      </c>
    </row>
    <row r="48" spans="1:5" ht="20.25" thickBot="1" x14ac:dyDescent="0.35">
      <c r="A48" s="2" t="s">
        <v>152</v>
      </c>
      <c r="B48" s="2"/>
      <c r="C48" s="2"/>
      <c r="D48" s="2"/>
    </row>
    <row r="49" spans="1:5" ht="15.75" thickTop="1" x14ac:dyDescent="0.25">
      <c r="A49" s="27" t="s">
        <v>172</v>
      </c>
      <c r="B49" t="s">
        <v>173</v>
      </c>
      <c r="C49" t="s">
        <v>173</v>
      </c>
      <c r="D49" s="30"/>
    </row>
    <row r="50" spans="1:5" x14ac:dyDescent="0.25">
      <c r="A50" s="27" t="s">
        <v>156</v>
      </c>
      <c r="B50" s="28" t="s">
        <v>179</v>
      </c>
      <c r="C50" s="28" t="s">
        <v>239</v>
      </c>
      <c r="D50" s="30" t="s">
        <v>10</v>
      </c>
    </row>
    <row r="51" spans="1:5" x14ac:dyDescent="0.25">
      <c r="A51" s="27" t="s">
        <v>157</v>
      </c>
      <c r="B51" s="28" t="s">
        <v>207</v>
      </c>
      <c r="C51" s="28" t="s">
        <v>207</v>
      </c>
      <c r="D51" s="30" t="s">
        <v>10</v>
      </c>
    </row>
    <row r="52" spans="1:5" x14ac:dyDescent="0.25">
      <c r="A52" s="27" t="s">
        <v>178</v>
      </c>
      <c r="B52" s="28">
        <v>240</v>
      </c>
      <c r="C52" s="28">
        <v>240</v>
      </c>
      <c r="D52" s="30" t="s">
        <v>149</v>
      </c>
    </row>
    <row r="53" spans="1:5" x14ac:dyDescent="0.25">
      <c r="A53" s="27" t="s">
        <v>160</v>
      </c>
      <c r="B53" s="28">
        <v>351</v>
      </c>
      <c r="C53" s="28">
        <v>272</v>
      </c>
      <c r="D53" s="30" t="s">
        <v>145</v>
      </c>
    </row>
    <row r="54" spans="1:5" x14ac:dyDescent="0.25">
      <c r="A54" s="27" t="s">
        <v>152</v>
      </c>
      <c r="B54" s="37" t="s">
        <v>244</v>
      </c>
      <c r="C54" s="37" t="s">
        <v>240</v>
      </c>
      <c r="D54" s="30"/>
    </row>
    <row r="55" spans="1:5" ht="18" thickBot="1" x14ac:dyDescent="0.35">
      <c r="A55" s="3" t="s">
        <v>174</v>
      </c>
      <c r="B55" s="3"/>
      <c r="C55" s="3"/>
      <c r="D55" s="3"/>
    </row>
    <row r="56" spans="1:5" ht="15.75" thickTop="1" x14ac:dyDescent="0.25">
      <c r="A56" s="27" t="s">
        <v>161</v>
      </c>
      <c r="B56" s="28">
        <v>0.8</v>
      </c>
      <c r="C56" s="28">
        <v>0.8</v>
      </c>
      <c r="D56" s="30" t="s">
        <v>10</v>
      </c>
      <c r="E56" t="s">
        <v>176</v>
      </c>
    </row>
    <row r="57" spans="1:5" x14ac:dyDescent="0.25">
      <c r="A57" s="27" t="s">
        <v>175</v>
      </c>
      <c r="B57" s="28">
        <v>1</v>
      </c>
      <c r="C57" s="28">
        <v>1</v>
      </c>
      <c r="D57" s="30" t="s">
        <v>10</v>
      </c>
      <c r="E57" t="s">
        <v>177</v>
      </c>
    </row>
    <row r="58" spans="1:5" x14ac:dyDescent="0.25">
      <c r="A58" s="27" t="s">
        <v>190</v>
      </c>
      <c r="B58">
        <f>B53*B56*B57</f>
        <v>280.8</v>
      </c>
      <c r="C58">
        <f>C53*C56*C57</f>
        <v>217.60000000000002</v>
      </c>
      <c r="D58" s="30"/>
    </row>
    <row r="59" spans="1:5" x14ac:dyDescent="0.25">
      <c r="A59" s="27" t="s">
        <v>192</v>
      </c>
      <c r="B59">
        <f>B38/(B56*B57)</f>
        <v>281.93942505958785</v>
      </c>
      <c r="C59">
        <f>C38/(C56*C57)</f>
        <v>197.35759754171156</v>
      </c>
      <c r="D59" s="30" t="s">
        <v>145</v>
      </c>
    </row>
    <row r="60" spans="1:5" x14ac:dyDescent="0.25">
      <c r="A60" s="27" t="s">
        <v>191</v>
      </c>
      <c r="B60" t="str">
        <f>IF(B53&gt;=B59,"OK","NIE OK")</f>
        <v>OK</v>
      </c>
      <c r="C60" t="str">
        <f>IF(C53&gt;=C59,"OK","NIE OK")</f>
        <v>OK</v>
      </c>
      <c r="D60" s="30" t="s">
        <v>10</v>
      </c>
    </row>
    <row r="61" spans="1:5" x14ac:dyDescent="0.25">
      <c r="A61" s="27"/>
      <c r="C61" s="30"/>
    </row>
    <row r="62" spans="1:5" ht="18" thickBot="1" x14ac:dyDescent="0.35">
      <c r="A62" s="3" t="s">
        <v>180</v>
      </c>
      <c r="B62" s="3"/>
      <c r="C62" s="3"/>
      <c r="D62" s="3"/>
    </row>
    <row r="63" spans="1:5" ht="15.75" thickTop="1" x14ac:dyDescent="0.25">
      <c r="A63" s="27" t="s">
        <v>181</v>
      </c>
      <c r="B63">
        <v>1.5</v>
      </c>
      <c r="C63">
        <v>16</v>
      </c>
      <c r="D63" s="30" t="s">
        <v>149</v>
      </c>
    </row>
    <row r="64" spans="1:5" x14ac:dyDescent="0.25">
      <c r="A64" s="27" t="s">
        <v>182</v>
      </c>
      <c r="B64" s="37" t="str">
        <f>IF(B52&gt;=B63,"OK","Nie OK")</f>
        <v>OK</v>
      </c>
      <c r="C64" s="37" t="str">
        <f>IF(C52&gt;=C63,"OK","Nie OK")</f>
        <v>OK</v>
      </c>
    </row>
    <row r="65" spans="1:5" ht="18" thickBot="1" x14ac:dyDescent="0.35">
      <c r="A65" s="3" t="s">
        <v>183</v>
      </c>
      <c r="B65" s="3"/>
      <c r="C65" s="3"/>
      <c r="D65" s="3"/>
    </row>
    <row r="66" spans="1:5" ht="15.75" thickTop="1" x14ac:dyDescent="0.25">
      <c r="A66" s="27" t="s">
        <v>184</v>
      </c>
      <c r="B66">
        <v>10</v>
      </c>
      <c r="C66">
        <v>10</v>
      </c>
      <c r="D66" s="30" t="s">
        <v>149</v>
      </c>
    </row>
    <row r="67" spans="1:5" x14ac:dyDescent="0.25">
      <c r="A67" s="27" t="s">
        <v>185</v>
      </c>
      <c r="B67" s="37" t="str">
        <f>IF(B52&gt;=B66,"OK")</f>
        <v>OK</v>
      </c>
      <c r="C67" s="37" t="str">
        <f>IF(C52&gt;=C66,"OK")</f>
        <v>OK</v>
      </c>
    </row>
    <row r="68" spans="1:5" x14ac:dyDescent="0.25">
      <c r="A68" s="27"/>
      <c r="C68" s="30"/>
    </row>
    <row r="69" spans="1:5" ht="18" thickBot="1" x14ac:dyDescent="0.35">
      <c r="A69" s="3" t="s">
        <v>158</v>
      </c>
      <c r="B69" s="3"/>
      <c r="C69" s="3"/>
      <c r="D69" s="3"/>
    </row>
    <row r="70" spans="1:5" ht="15.75" thickTop="1" x14ac:dyDescent="0.25">
      <c r="A70" s="27" t="s">
        <v>163</v>
      </c>
      <c r="B70">
        <f>(100*SQRT(3)/400)*B59*(B71*B37+B72*SQRT(1-B37^2))</f>
        <v>0.66944438190498634</v>
      </c>
      <c r="C70">
        <f>(100*SQRT(3)/400)*C59*(C71*C37+C72*SQRT(1-C37^2))</f>
        <v>1.4907913774340069</v>
      </c>
      <c r="D70" s="30" t="s">
        <v>134</v>
      </c>
    </row>
    <row r="71" spans="1:5" x14ac:dyDescent="0.25">
      <c r="A71" s="27" t="s">
        <v>164</v>
      </c>
      <c r="B71">
        <f>B75/(B73*B52)</f>
        <v>5.9523809523809521E-3</v>
      </c>
      <c r="C71">
        <f>C75/(C73*C52)</f>
        <v>1.893939393939394E-2</v>
      </c>
      <c r="D71" s="30" t="s">
        <v>170</v>
      </c>
    </row>
    <row r="72" spans="1:5" x14ac:dyDescent="0.25">
      <c r="A72" s="27" t="s">
        <v>171</v>
      </c>
      <c r="B72">
        <f>B74*B75*0.001/1000</f>
        <v>5.6000000000000006E-6</v>
      </c>
      <c r="C72">
        <f>C74*C75*0.001/1000</f>
        <v>1.0500000000000003E-5</v>
      </c>
      <c r="D72" s="30" t="s">
        <v>170</v>
      </c>
    </row>
    <row r="73" spans="1:5" x14ac:dyDescent="0.25">
      <c r="A73" s="27" t="s">
        <v>165</v>
      </c>
      <c r="B73">
        <v>56</v>
      </c>
      <c r="C73">
        <v>33</v>
      </c>
      <c r="D73" s="30" t="s">
        <v>169</v>
      </c>
      <c r="E73" t="s">
        <v>166</v>
      </c>
    </row>
    <row r="74" spans="1:5" x14ac:dyDescent="0.25">
      <c r="A74" s="27" t="s">
        <v>167</v>
      </c>
      <c r="B74">
        <v>7.0000000000000007E-2</v>
      </c>
      <c r="C74">
        <v>7.0000000000000007E-2</v>
      </c>
      <c r="D74" s="30" t="s">
        <v>168</v>
      </c>
    </row>
    <row r="75" spans="1:5" x14ac:dyDescent="0.25">
      <c r="A75" s="27" t="s">
        <v>186</v>
      </c>
      <c r="B75">
        <v>80</v>
      </c>
      <c r="C75">
        <v>150</v>
      </c>
      <c r="D75" s="30" t="s">
        <v>159</v>
      </c>
    </row>
    <row r="76" spans="1:5" x14ac:dyDescent="0.25">
      <c r="A76" s="27" t="s">
        <v>187</v>
      </c>
      <c r="B76">
        <v>3</v>
      </c>
      <c r="C76">
        <v>3</v>
      </c>
      <c r="D76" s="30" t="s">
        <v>134</v>
      </c>
    </row>
    <row r="77" spans="1:5" x14ac:dyDescent="0.25">
      <c r="A77" s="27" t="s">
        <v>188</v>
      </c>
      <c r="B77" s="37" t="str">
        <f>IF(B70&lt;=B76,"OK")</f>
        <v>OK</v>
      </c>
      <c r="C77" s="37" t="str">
        <f>IF(C70&lt;=C76,"OK")</f>
        <v>OK</v>
      </c>
    </row>
    <row r="79" spans="1:5" ht="18" thickBot="1" x14ac:dyDescent="0.35">
      <c r="A79" s="3" t="s">
        <v>189</v>
      </c>
      <c r="B79" s="3"/>
      <c r="C79" s="3"/>
      <c r="D79" s="3"/>
    </row>
    <row r="80" spans="1:5" ht="15.75" thickTop="1" x14ac:dyDescent="0.25">
      <c r="A80" s="27" t="s">
        <v>162</v>
      </c>
      <c r="B80">
        <f>B38</f>
        <v>225.55154004767027</v>
      </c>
      <c r="C80">
        <f>C38</f>
        <v>157.88607803336924</v>
      </c>
      <c r="D80" s="30" t="s">
        <v>145</v>
      </c>
    </row>
    <row r="81" spans="1:7" x14ac:dyDescent="0.25">
      <c r="A81" s="27" t="s">
        <v>190</v>
      </c>
      <c r="B81">
        <f>B58</f>
        <v>280.8</v>
      </c>
      <c r="C81">
        <f>C58</f>
        <v>217.60000000000002</v>
      </c>
      <c r="D81" s="30" t="s">
        <v>145</v>
      </c>
    </row>
    <row r="82" spans="1:7" x14ac:dyDescent="0.25">
      <c r="A82" s="27" t="s">
        <v>193</v>
      </c>
      <c r="B82">
        <f>B46</f>
        <v>250</v>
      </c>
      <c r="C82">
        <f>C46</f>
        <v>160</v>
      </c>
      <c r="D82" s="30" t="s">
        <v>145</v>
      </c>
    </row>
    <row r="83" spans="1:7" x14ac:dyDescent="0.25">
      <c r="A83" s="27" t="s">
        <v>194</v>
      </c>
      <c r="B83">
        <f>1.6*B82</f>
        <v>400</v>
      </c>
      <c r="C83">
        <f>1.6*C82</f>
        <v>256</v>
      </c>
      <c r="D83" s="30" t="s">
        <v>145</v>
      </c>
    </row>
    <row r="84" spans="1:7" x14ac:dyDescent="0.25">
      <c r="A84" s="27" t="s">
        <v>195</v>
      </c>
      <c r="B84">
        <f>1.45*B81</f>
        <v>407.16</v>
      </c>
      <c r="C84">
        <f>1.45*C81</f>
        <v>315.52000000000004</v>
      </c>
      <c r="D84" s="30" t="s">
        <v>145</v>
      </c>
    </row>
    <row r="85" spans="1:7" x14ac:dyDescent="0.25">
      <c r="A85" s="27" t="s">
        <v>205</v>
      </c>
      <c r="B85" s="37" t="str">
        <f>IF(AND(B82&gt;=B80,B82&lt;=B81),"OK")</f>
        <v>OK</v>
      </c>
      <c r="C85" s="37" t="str">
        <f>IF(AND(C82&gt;=C80,C82&lt;=C81),"OK")</f>
        <v>OK</v>
      </c>
      <c r="D85" s="30" t="s">
        <v>10</v>
      </c>
    </row>
    <row r="86" spans="1:7" x14ac:dyDescent="0.25">
      <c r="A86" s="27" t="s">
        <v>206</v>
      </c>
      <c r="B86" s="37" t="str">
        <f>IF(B83&lt;=B84,"OK")</f>
        <v>OK</v>
      </c>
      <c r="C86" s="37" t="str">
        <f>IF(C83&lt;=C84,"OK")</f>
        <v>OK</v>
      </c>
      <c r="D86" s="30" t="s">
        <v>10</v>
      </c>
    </row>
    <row r="88" spans="1:7" ht="18" thickBot="1" x14ac:dyDescent="0.35">
      <c r="A88" s="3" t="s">
        <v>208</v>
      </c>
      <c r="B88" s="3"/>
      <c r="C88" s="3"/>
      <c r="D88" s="3"/>
    </row>
    <row r="89" spans="1:7" ht="15.75" thickTop="1" x14ac:dyDescent="0.25">
      <c r="A89" s="27" t="s">
        <v>209</v>
      </c>
      <c r="B89">
        <f>(B90*B52/B28)^2</f>
        <v>3.562546233473098</v>
      </c>
      <c r="C89">
        <f>(C90*C52/B28)^2</f>
        <v>1.479556238197963</v>
      </c>
      <c r="D89" s="30" t="s">
        <v>230</v>
      </c>
    </row>
    <row r="90" spans="1:7" x14ac:dyDescent="0.25">
      <c r="A90" s="27" t="s">
        <v>210</v>
      </c>
      <c r="B90">
        <v>135</v>
      </c>
      <c r="C90">
        <v>87</v>
      </c>
      <c r="D90" s="30" t="s">
        <v>231</v>
      </c>
    </row>
    <row r="91" spans="1:7" x14ac:dyDescent="0.25">
      <c r="A91" s="27" t="s">
        <v>212</v>
      </c>
      <c r="B91">
        <v>0</v>
      </c>
      <c r="C91">
        <v>0</v>
      </c>
      <c r="D91" s="30" t="s">
        <v>230</v>
      </c>
    </row>
    <row r="92" spans="1:7" x14ac:dyDescent="0.25">
      <c r="A92" s="27" t="s">
        <v>213</v>
      </c>
      <c r="B92" s="37" t="str">
        <f>IF(B91&lt;B89,"OK")</f>
        <v>OK</v>
      </c>
      <c r="C92" s="37" t="str">
        <f>IF(C91&lt;C89,"OK")</f>
        <v>OK</v>
      </c>
      <c r="D92" s="30" t="s">
        <v>10</v>
      </c>
    </row>
    <row r="93" spans="1:7" x14ac:dyDescent="0.25">
      <c r="A93" s="27" t="s">
        <v>215</v>
      </c>
      <c r="B93">
        <f>(B90*B52)^2</f>
        <v>1049760000</v>
      </c>
      <c r="C93">
        <f>(C90*C52)^2</f>
        <v>435974400</v>
      </c>
      <c r="D93" s="30" t="s">
        <v>10</v>
      </c>
    </row>
    <row r="94" spans="1:7" x14ac:dyDescent="0.25">
      <c r="A94" s="27" t="s">
        <v>214</v>
      </c>
      <c r="B94">
        <v>15000</v>
      </c>
      <c r="C94">
        <v>14500</v>
      </c>
      <c r="D94" s="30" t="s">
        <v>10</v>
      </c>
    </row>
    <row r="95" spans="1:7" x14ac:dyDescent="0.25">
      <c r="A95" s="27" t="s">
        <v>216</v>
      </c>
      <c r="B95" s="37" t="str">
        <f>IF(B94&lt;=B93,"OK")</f>
        <v>OK</v>
      </c>
      <c r="C95" s="37" t="str">
        <f>IF(C94&lt;=C93,"OK")</f>
        <v>OK</v>
      </c>
      <c r="D95" s="30" t="s">
        <v>10</v>
      </c>
      <c r="G95" t="s">
        <v>241</v>
      </c>
    </row>
    <row r="96" spans="1:7" x14ac:dyDescent="0.25">
      <c r="D96" s="30"/>
      <c r="G96" s="38" t="s">
        <v>242</v>
      </c>
    </row>
    <row r="97" spans="1:5" ht="18" thickBot="1" x14ac:dyDescent="0.35">
      <c r="A97" s="3" t="s">
        <v>217</v>
      </c>
      <c r="B97" s="3"/>
      <c r="C97" s="3"/>
      <c r="D97" s="3"/>
    </row>
    <row r="98" spans="1:5" ht="15.75" thickTop="1" x14ac:dyDescent="0.25">
      <c r="A98" s="27" t="s">
        <v>118</v>
      </c>
      <c r="B98">
        <v>0.95</v>
      </c>
      <c r="C98">
        <v>0.95</v>
      </c>
      <c r="D98" s="30" t="s">
        <v>10</v>
      </c>
    </row>
    <row r="99" spans="1:5" x14ac:dyDescent="0.25">
      <c r="A99" s="27" t="s">
        <v>164</v>
      </c>
      <c r="B99">
        <f>B19+1.24*(2*B71)</f>
        <v>1.6961904761904761E-2</v>
      </c>
      <c r="C99">
        <f>B19+1.24*(2*C71)</f>
        <v>4.9169696969696974E-2</v>
      </c>
      <c r="D99" s="30" t="s">
        <v>170</v>
      </c>
      <c r="E99" t="s">
        <v>219</v>
      </c>
    </row>
    <row r="100" spans="1:5" x14ac:dyDescent="0.25">
      <c r="A100" s="27" t="s">
        <v>171</v>
      </c>
      <c r="B100">
        <f>B72+B20+2*B10</f>
        <v>1.3722639356983032E-2</v>
      </c>
      <c r="C100">
        <f>C72+B20+B10</f>
        <v>1.3275266629710304E-2</v>
      </c>
      <c r="D100" s="30" t="s">
        <v>170</v>
      </c>
    </row>
    <row r="101" spans="1:5" x14ac:dyDescent="0.25">
      <c r="A101" s="27" t="s">
        <v>218</v>
      </c>
      <c r="B101">
        <f>SQRT(B99^2+B100^2)</f>
        <v>2.1817814832694567E-2</v>
      </c>
      <c r="C101">
        <f>SQRT(C99^2+C100^2)</f>
        <v>5.0930264128332653E-2</v>
      </c>
      <c r="D101" s="30" t="s">
        <v>170</v>
      </c>
    </row>
    <row r="102" spans="1:5" x14ac:dyDescent="0.25">
      <c r="A102" s="27" t="s">
        <v>220</v>
      </c>
      <c r="B102">
        <f>(B98*230)/B101</f>
        <v>10014.751783142463</v>
      </c>
      <c r="C102">
        <f>(C98*400)/C101</f>
        <v>7461.1825896383853</v>
      </c>
      <c r="D102" s="30" t="s">
        <v>145</v>
      </c>
    </row>
    <row r="103" spans="1:5" x14ac:dyDescent="0.25">
      <c r="A103" s="27" t="s">
        <v>221</v>
      </c>
      <c r="B103">
        <v>1500</v>
      </c>
      <c r="C103">
        <v>600</v>
      </c>
      <c r="D103" s="30" t="s">
        <v>145</v>
      </c>
      <c r="E103">
        <f>135*240</f>
        <v>32400</v>
      </c>
    </row>
    <row r="104" spans="1:5" x14ac:dyDescent="0.25">
      <c r="A104" s="27" t="s">
        <v>222</v>
      </c>
      <c r="B104" s="37" t="str">
        <f>IF(B103&lt;=B102,"OK")</f>
        <v>OK</v>
      </c>
      <c r="C104" s="37" t="str">
        <f>IF(C103&lt;=C102,"OK")</f>
        <v>OK</v>
      </c>
      <c r="E104">
        <f>E103^2</f>
        <v>1049760000</v>
      </c>
    </row>
    <row r="105" spans="1:5" ht="14.25" customHeight="1" x14ac:dyDescent="0.25"/>
    <row r="106" spans="1:5" ht="18" thickBot="1" x14ac:dyDescent="0.35">
      <c r="A106" s="3" t="s">
        <v>223</v>
      </c>
      <c r="B106" s="3"/>
      <c r="C106" s="3"/>
      <c r="D106" s="3"/>
    </row>
    <row r="107" spans="1:5" ht="15.75" thickTop="1" x14ac:dyDescent="0.25">
      <c r="A107" s="27" t="s">
        <v>142</v>
      </c>
      <c r="B107" s="28">
        <f>1</f>
        <v>1</v>
      </c>
      <c r="C107" s="28">
        <f>1</f>
        <v>1</v>
      </c>
      <c r="D107" s="30" t="s">
        <v>10</v>
      </c>
    </row>
    <row r="108" spans="1:5" x14ac:dyDescent="0.25">
      <c r="A108" s="27" t="s">
        <v>91</v>
      </c>
      <c r="B108" s="28">
        <v>400</v>
      </c>
      <c r="C108" s="28">
        <v>400</v>
      </c>
      <c r="D108" s="30" t="s">
        <v>143</v>
      </c>
    </row>
    <row r="109" spans="1:5" x14ac:dyDescent="0.25">
      <c r="A109" s="32" t="s">
        <v>224</v>
      </c>
      <c r="B109" s="34">
        <f>B71</f>
        <v>5.9523809523809521E-3</v>
      </c>
      <c r="C109" s="34">
        <f>C71</f>
        <v>1.893939393939394E-2</v>
      </c>
      <c r="D109" s="30" t="s">
        <v>170</v>
      </c>
    </row>
    <row r="110" spans="1:5" x14ac:dyDescent="0.25">
      <c r="A110" s="32" t="s">
        <v>225</v>
      </c>
      <c r="B110" s="34">
        <f>B72</f>
        <v>5.6000000000000006E-6</v>
      </c>
      <c r="C110" s="34">
        <f>C72</f>
        <v>1.0500000000000003E-5</v>
      </c>
      <c r="D110" s="30" t="s">
        <v>170</v>
      </c>
    </row>
    <row r="111" spans="1:5" x14ac:dyDescent="0.25">
      <c r="A111" s="32" t="s">
        <v>227</v>
      </c>
      <c r="B111" s="34">
        <f>B109+B23</f>
        <v>8.1978354978354973E-3</v>
      </c>
      <c r="C111" s="34">
        <f>C109+B23</f>
        <v>2.1184848484848487E-2</v>
      </c>
      <c r="D111" s="30" t="s">
        <v>170</v>
      </c>
    </row>
    <row r="112" spans="1:5" x14ac:dyDescent="0.25">
      <c r="A112" s="32" t="s">
        <v>226</v>
      </c>
      <c r="B112" s="34">
        <f>B110+B24</f>
        <v>1.3270366629710303E-2</v>
      </c>
      <c r="C112" s="34">
        <f>C110+B24</f>
        <v>1.3275266629710304E-2</v>
      </c>
      <c r="D112" s="30" t="s">
        <v>170</v>
      </c>
    </row>
    <row r="113" spans="1:5" x14ac:dyDescent="0.25">
      <c r="A113" s="32" t="s">
        <v>228</v>
      </c>
      <c r="B113" s="34">
        <f>SQRT(B111^2+B112^2)</f>
        <v>1.5598305591842358E-2</v>
      </c>
      <c r="C113" s="34">
        <f>SQRT(C111^2+C112^2)</f>
        <v>2.5000610180871331E-2</v>
      </c>
      <c r="D113" s="30" t="s">
        <v>170</v>
      </c>
      <c r="E113" s="33"/>
    </row>
    <row r="114" spans="1:5" x14ac:dyDescent="0.25">
      <c r="A114" s="32" t="s">
        <v>229</v>
      </c>
      <c r="B114" s="36">
        <f>(B107*400)/(SQRT(3)*B113)</f>
        <v>14805.461164745226</v>
      </c>
      <c r="C114" s="36">
        <f>(C107*400)/(SQRT(3)*C113)</f>
        <v>9237.3788481590364</v>
      </c>
      <c r="D114" s="30" t="s">
        <v>145</v>
      </c>
    </row>
    <row r="115" spans="1:5" x14ac:dyDescent="0.25">
      <c r="A115" s="32" t="s">
        <v>233</v>
      </c>
      <c r="B115" s="35">
        <f>B111/B112</f>
        <v>0.6177550120945271</v>
      </c>
      <c r="C115" s="35">
        <f>C111/C112</f>
        <v>1.5958134081794173</v>
      </c>
    </row>
    <row r="116" spans="1:5" x14ac:dyDescent="0.25">
      <c r="A116" s="32" t="s">
        <v>234</v>
      </c>
      <c r="B116">
        <v>1.25</v>
      </c>
      <c r="C116">
        <v>1.1000000000000001</v>
      </c>
    </row>
    <row r="117" spans="1:5" x14ac:dyDescent="0.25">
      <c r="A117" s="32" t="s">
        <v>232</v>
      </c>
      <c r="B117">
        <f>SQRT(2)*B116*B114</f>
        <v>26172.604970463573</v>
      </c>
      <c r="C117">
        <f>SQRT(2)*C116*C114</f>
        <v>14369.989092629357</v>
      </c>
      <c r="D117" s="30" t="s">
        <v>145</v>
      </c>
    </row>
    <row r="118" spans="1:5" x14ac:dyDescent="0.25">
      <c r="A118" s="32" t="s">
        <v>236</v>
      </c>
      <c r="B118">
        <v>50000</v>
      </c>
      <c r="C118">
        <v>50000</v>
      </c>
      <c r="D118" s="30" t="s">
        <v>145</v>
      </c>
    </row>
    <row r="119" spans="1:5" x14ac:dyDescent="0.25">
      <c r="A119" s="32" t="s">
        <v>238</v>
      </c>
      <c r="B119" s="37" t="str">
        <f>IF(B118&gt;=B117,"OK")</f>
        <v>OK</v>
      </c>
      <c r="C119" s="37" t="str">
        <f>IF(C118&gt;=C117,"OK")</f>
        <v>OK</v>
      </c>
    </row>
  </sheetData>
  <hyperlinks>
    <hyperlink ref="G96" r:id="rId1" xr:uid="{798B94FF-782B-49AF-B816-3DCBBAEF05EA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3C3C-EE40-4E38-9EC1-A70EC5D07AD2}">
  <dimension ref="A1:N65"/>
  <sheetViews>
    <sheetView zoomScale="85" zoomScaleNormal="85" workbookViewId="0">
      <selection activeCell="C24" sqref="C24:C27"/>
    </sheetView>
  </sheetViews>
  <sheetFormatPr defaultRowHeight="15" x14ac:dyDescent="0.25"/>
  <cols>
    <col min="2" max="2" width="16.42578125" customWidth="1"/>
    <col min="3" max="3" width="14.7109375" bestFit="1" customWidth="1"/>
    <col min="4" max="4" width="14.28515625" customWidth="1"/>
    <col min="5" max="5" width="16.28515625" customWidth="1"/>
    <col min="6" max="6" width="17.140625" customWidth="1"/>
    <col min="7" max="7" width="10.28515625" customWidth="1"/>
    <col min="8" max="8" width="14.5703125" bestFit="1" customWidth="1"/>
    <col min="9" max="9" width="13.140625" bestFit="1" customWidth="1"/>
    <col min="10" max="10" width="12" bestFit="1" customWidth="1"/>
  </cols>
  <sheetData>
    <row r="1" spans="1:8" ht="23.25" x14ac:dyDescent="0.35">
      <c r="A1" s="1" t="s">
        <v>0</v>
      </c>
    </row>
    <row r="2" spans="1:8" ht="20.25" thickBo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44</v>
      </c>
      <c r="F2" s="2" t="s">
        <v>5</v>
      </c>
      <c r="G2" s="2"/>
      <c r="H2" s="2"/>
    </row>
    <row r="3" spans="1:8" ht="15.75" thickTop="1" x14ac:dyDescent="0.25">
      <c r="A3">
        <v>1</v>
      </c>
      <c r="B3" t="s">
        <v>6</v>
      </c>
      <c r="C3">
        <v>429.3</v>
      </c>
      <c r="D3">
        <v>143.9</v>
      </c>
      <c r="E3">
        <v>0.79200000000000004</v>
      </c>
      <c r="F3" t="s">
        <v>11</v>
      </c>
    </row>
    <row r="4" spans="1:8" x14ac:dyDescent="0.25">
      <c r="A4">
        <v>2</v>
      </c>
      <c r="B4" t="s">
        <v>7</v>
      </c>
      <c r="C4">
        <v>320</v>
      </c>
      <c r="D4">
        <v>173.43799999999999</v>
      </c>
      <c r="E4">
        <v>0.88219999999999998</v>
      </c>
      <c r="F4" t="s">
        <v>12</v>
      </c>
    </row>
    <row r="5" spans="1:8" x14ac:dyDescent="0.25">
      <c r="A5">
        <v>3</v>
      </c>
      <c r="B5" t="s">
        <v>8</v>
      </c>
      <c r="C5" t="s">
        <v>10</v>
      </c>
      <c r="D5">
        <v>350</v>
      </c>
      <c r="E5">
        <v>0.8</v>
      </c>
      <c r="F5" t="s">
        <v>13</v>
      </c>
    </row>
    <row r="6" spans="1:8" x14ac:dyDescent="0.25">
      <c r="A6">
        <v>4</v>
      </c>
      <c r="B6" t="s">
        <v>9</v>
      </c>
      <c r="C6" t="s">
        <v>10</v>
      </c>
      <c r="D6">
        <v>280</v>
      </c>
      <c r="E6">
        <v>0.79</v>
      </c>
      <c r="F6" t="s">
        <v>14</v>
      </c>
    </row>
    <row r="8" spans="1:8" ht="20.25" thickBot="1" x14ac:dyDescent="0.35">
      <c r="A8" s="2" t="s">
        <v>17</v>
      </c>
      <c r="B8" s="2"/>
      <c r="C8" s="2"/>
      <c r="D8" s="2" t="s">
        <v>18</v>
      </c>
      <c r="E8" s="2"/>
      <c r="F8" s="2"/>
      <c r="G8" s="2" t="s">
        <v>19</v>
      </c>
      <c r="H8" s="2"/>
    </row>
    <row r="9" spans="1:8" ht="18.75" thickTop="1" thickBot="1" x14ac:dyDescent="0.35">
      <c r="A9" s="3" t="s">
        <v>1</v>
      </c>
      <c r="B9" s="3" t="s">
        <v>15</v>
      </c>
      <c r="C9" s="3" t="s">
        <v>3</v>
      </c>
      <c r="D9" s="3" t="s">
        <v>4</v>
      </c>
      <c r="E9" s="3" t="s">
        <v>16</v>
      </c>
      <c r="F9" s="3" t="s">
        <v>44</v>
      </c>
      <c r="G9" s="3" t="s">
        <v>20</v>
      </c>
      <c r="H9" s="3" t="s">
        <v>21</v>
      </c>
    </row>
    <row r="10" spans="1:8" ht="15.75" thickTop="1" x14ac:dyDescent="0.25">
      <c r="A10">
        <v>1</v>
      </c>
      <c r="B10" t="s">
        <v>6</v>
      </c>
      <c r="C10">
        <f>C3</f>
        <v>429.3</v>
      </c>
      <c r="D10" s="4">
        <f>D3</f>
        <v>143.9</v>
      </c>
      <c r="E10" s="4">
        <f>TAN(ACOS(F10))*D10</f>
        <v>110.92674835062502</v>
      </c>
      <c r="F10" s="22">
        <f>E3</f>
        <v>0.79200000000000004</v>
      </c>
      <c r="G10">
        <f>0.7*D10</f>
        <v>100.73</v>
      </c>
      <c r="H10" s="22">
        <f>0.7*E10</f>
        <v>77.648723845437502</v>
      </c>
    </row>
    <row r="11" spans="1:8" x14ac:dyDescent="0.25">
      <c r="A11">
        <v>2</v>
      </c>
      <c r="B11" t="s">
        <v>7</v>
      </c>
      <c r="C11">
        <f>C4</f>
        <v>320</v>
      </c>
      <c r="D11" s="4">
        <f t="shared" ref="D11:D13" si="0">D4</f>
        <v>173.43799999999999</v>
      </c>
      <c r="E11" s="4">
        <f t="shared" ref="E11:E13" si="1">TAN(ACOS(F11))*D11</f>
        <v>92.572657897870087</v>
      </c>
      <c r="F11" s="22">
        <f t="shared" ref="F11:F13" si="2">E4</f>
        <v>0.88219999999999998</v>
      </c>
      <c r="G11" s="4">
        <f>D11</f>
        <v>173.43799999999999</v>
      </c>
      <c r="H11" s="4">
        <f>E11</f>
        <v>92.572657897870087</v>
      </c>
    </row>
    <row r="12" spans="1:8" x14ac:dyDescent="0.25">
      <c r="A12">
        <v>3</v>
      </c>
      <c r="B12" t="s">
        <v>8</v>
      </c>
      <c r="C12" t="s">
        <v>10</v>
      </c>
      <c r="D12" s="4">
        <f t="shared" si="0"/>
        <v>350</v>
      </c>
      <c r="E12" s="4">
        <f t="shared" si="1"/>
        <v>262.49999999999994</v>
      </c>
      <c r="F12" s="22">
        <f t="shared" si="2"/>
        <v>0.8</v>
      </c>
      <c r="G12">
        <f>0.6*D12</f>
        <v>210</v>
      </c>
      <c r="H12">
        <f>0.6*E12</f>
        <v>157.49999999999997</v>
      </c>
    </row>
    <row r="13" spans="1:8" x14ac:dyDescent="0.25">
      <c r="A13">
        <v>4</v>
      </c>
      <c r="B13" t="s">
        <v>9</v>
      </c>
      <c r="C13" t="s">
        <v>10</v>
      </c>
      <c r="D13" s="4">
        <f t="shared" si="0"/>
        <v>280</v>
      </c>
      <c r="E13" s="4">
        <f t="shared" si="1"/>
        <v>217.30369092007152</v>
      </c>
      <c r="F13" s="22">
        <f t="shared" si="2"/>
        <v>0.79</v>
      </c>
      <c r="G13" t="s">
        <v>10</v>
      </c>
      <c r="H13" t="s">
        <v>10</v>
      </c>
    </row>
    <row r="15" spans="1:8" ht="20.25" thickBot="1" x14ac:dyDescent="0.35">
      <c r="A15" s="2" t="s">
        <v>82</v>
      </c>
      <c r="B15" s="2"/>
      <c r="C15" s="2"/>
      <c r="D15" s="2"/>
      <c r="E15" s="2"/>
      <c r="F15" s="2"/>
      <c r="G15" s="2"/>
    </row>
    <row r="16" spans="1:8" ht="18.75" thickTop="1" thickBot="1" x14ac:dyDescent="0.35">
      <c r="A16" s="3" t="s">
        <v>17</v>
      </c>
      <c r="B16" s="3" t="s">
        <v>4</v>
      </c>
      <c r="C16" s="3" t="s">
        <v>47</v>
      </c>
      <c r="D16" s="3" t="s">
        <v>48</v>
      </c>
      <c r="E16" s="3" t="s">
        <v>49</v>
      </c>
      <c r="F16" s="3" t="s">
        <v>50</v>
      </c>
      <c r="G16" s="3" t="s">
        <v>41</v>
      </c>
    </row>
    <row r="17" spans="1:9" ht="15.75" thickTop="1" x14ac:dyDescent="0.25">
      <c r="A17">
        <v>1</v>
      </c>
      <c r="B17" s="4">
        <f>D10</f>
        <v>143.9</v>
      </c>
      <c r="C17" s="22">
        <f>F10</f>
        <v>0.79200000000000004</v>
      </c>
      <c r="D17" s="22">
        <f>0.91</f>
        <v>0.91</v>
      </c>
      <c r="E17" s="22">
        <f>SQRT(1-C17^2)/C17</f>
        <v>0.77085996074096608</v>
      </c>
      <c r="F17" s="22">
        <f>SQRT(1-D17^2)/D17</f>
        <v>0.45561346025555771</v>
      </c>
      <c r="G17" s="4">
        <f>B17*(E17-F17)</f>
        <v>45.363971419850266</v>
      </c>
      <c r="I17">
        <f>B17*E17</f>
        <v>110.92674835062502</v>
      </c>
    </row>
    <row r="18" spans="1:9" x14ac:dyDescent="0.25">
      <c r="A18">
        <v>2</v>
      </c>
      <c r="B18" s="4">
        <f>D11</f>
        <v>173.43799999999999</v>
      </c>
      <c r="C18" s="22">
        <f>F11</f>
        <v>0.88219999999999998</v>
      </c>
      <c r="D18" s="22">
        <f t="shared" ref="D18:D20" si="3">0.91</f>
        <v>0.91</v>
      </c>
      <c r="E18" s="22">
        <f t="shared" ref="E18:E20" si="4">SQRT(1-C18^2)/C18</f>
        <v>0.53375072301266213</v>
      </c>
      <c r="F18" s="22">
        <f t="shared" ref="F18:F20" si="5">SQRT(1-D18^2)/D18</f>
        <v>0.45561346025555771</v>
      </c>
      <c r="G18" s="4">
        <f t="shared" ref="G18:G20" si="6">B18*(E18-F18)</f>
        <v>13.551970578066676</v>
      </c>
    </row>
    <row r="19" spans="1:9" x14ac:dyDescent="0.25">
      <c r="A19">
        <v>3</v>
      </c>
      <c r="B19" s="4">
        <f>D12</f>
        <v>350</v>
      </c>
      <c r="C19" s="22">
        <f>F12</f>
        <v>0.8</v>
      </c>
      <c r="D19" s="22">
        <f t="shared" si="3"/>
        <v>0.91</v>
      </c>
      <c r="E19" s="22">
        <f t="shared" si="4"/>
        <v>0.74999999999999978</v>
      </c>
      <c r="F19" s="22">
        <f t="shared" si="5"/>
        <v>0.45561346025555771</v>
      </c>
      <c r="G19" s="4">
        <f t="shared" si="6"/>
        <v>103.03528891055473</v>
      </c>
    </row>
    <row r="20" spans="1:9" x14ac:dyDescent="0.25">
      <c r="A20">
        <v>4</v>
      </c>
      <c r="B20" s="4">
        <f>D13</f>
        <v>280</v>
      </c>
      <c r="C20" s="22">
        <f>F13</f>
        <v>0.79</v>
      </c>
      <c r="D20" s="22">
        <f t="shared" si="3"/>
        <v>0.91</v>
      </c>
      <c r="E20" s="22">
        <f t="shared" si="4"/>
        <v>0.77608461042882682</v>
      </c>
      <c r="F20" s="22">
        <f t="shared" si="5"/>
        <v>0.45561346025555771</v>
      </c>
      <c r="G20" s="4">
        <f t="shared" si="6"/>
        <v>89.731922048515344</v>
      </c>
    </row>
    <row r="22" spans="1:9" ht="20.25" thickBot="1" x14ac:dyDescent="0.35">
      <c r="A22" s="2" t="s">
        <v>84</v>
      </c>
      <c r="B22" s="2"/>
      <c r="C22" s="2"/>
      <c r="D22" s="2"/>
      <c r="E22" s="2"/>
      <c r="F22" s="2"/>
      <c r="G22" s="2"/>
      <c r="H22" s="2"/>
    </row>
    <row r="23" spans="1:9" ht="36" thickTop="1" thickBot="1" x14ac:dyDescent="0.35">
      <c r="A23" s="3" t="s">
        <v>17</v>
      </c>
      <c r="B23" s="3" t="s">
        <v>54</v>
      </c>
      <c r="C23" s="3" t="s">
        <v>55</v>
      </c>
      <c r="D23" s="7" t="s">
        <v>60</v>
      </c>
      <c r="E23" s="7" t="s">
        <v>61</v>
      </c>
      <c r="F23" s="3" t="s">
        <v>56</v>
      </c>
      <c r="G23" s="3" t="s">
        <v>57</v>
      </c>
      <c r="H23" s="3" t="s">
        <v>58</v>
      </c>
    </row>
    <row r="24" spans="1:9" ht="15.75" thickTop="1" x14ac:dyDescent="0.25">
      <c r="A24">
        <v>1</v>
      </c>
      <c r="B24" t="s">
        <v>59</v>
      </c>
      <c r="C24" t="s">
        <v>235</v>
      </c>
      <c r="D24">
        <v>55</v>
      </c>
      <c r="E24">
        <v>5</v>
      </c>
      <c r="F24">
        <v>4</v>
      </c>
      <c r="G24">
        <v>11</v>
      </c>
      <c r="H24" t="s">
        <v>68</v>
      </c>
    </row>
    <row r="25" spans="1:9" x14ac:dyDescent="0.25">
      <c r="A25">
        <v>2</v>
      </c>
      <c r="B25" t="s">
        <v>59</v>
      </c>
      <c r="C25" t="s">
        <v>368</v>
      </c>
      <c r="D25">
        <v>16</v>
      </c>
      <c r="E25">
        <v>2</v>
      </c>
      <c r="F25">
        <v>4</v>
      </c>
      <c r="G25">
        <v>8</v>
      </c>
      <c r="H25" t="s">
        <v>85</v>
      </c>
    </row>
    <row r="26" spans="1:9" x14ac:dyDescent="0.25">
      <c r="A26">
        <v>3</v>
      </c>
      <c r="B26" t="s">
        <v>59</v>
      </c>
      <c r="C26" t="s">
        <v>367</v>
      </c>
      <c r="D26">
        <v>115</v>
      </c>
      <c r="E26">
        <v>5</v>
      </c>
      <c r="F26">
        <v>5</v>
      </c>
      <c r="G26">
        <v>23</v>
      </c>
      <c r="H26" t="s">
        <v>87</v>
      </c>
    </row>
    <row r="27" spans="1:9" x14ac:dyDescent="0.25">
      <c r="A27">
        <v>4</v>
      </c>
      <c r="B27" t="s">
        <v>59</v>
      </c>
      <c r="C27" t="s">
        <v>369</v>
      </c>
      <c r="D27">
        <v>95</v>
      </c>
      <c r="E27">
        <v>5</v>
      </c>
      <c r="F27">
        <v>5</v>
      </c>
      <c r="G27">
        <v>19</v>
      </c>
      <c r="H27" t="s">
        <v>86</v>
      </c>
    </row>
    <row r="29" spans="1:9" ht="20.25" thickBot="1" x14ac:dyDescent="0.35">
      <c r="A29" s="2" t="s">
        <v>83</v>
      </c>
      <c r="B29" s="2"/>
      <c r="C29" s="2"/>
      <c r="D29" s="2"/>
      <c r="E29" s="2"/>
      <c r="F29" s="2"/>
      <c r="G29" s="2"/>
      <c r="H29" s="2"/>
      <c r="I29" s="2"/>
    </row>
    <row r="30" spans="1:9" ht="18.75" thickTop="1" thickBot="1" x14ac:dyDescent="0.35">
      <c r="A30" s="3" t="s">
        <v>17</v>
      </c>
      <c r="B30" s="7" t="s">
        <v>36</v>
      </c>
      <c r="C30" s="9" t="s">
        <v>37</v>
      </c>
      <c r="D30" s="7" t="s">
        <v>22</v>
      </c>
      <c r="E30" s="7" t="s">
        <v>45</v>
      </c>
      <c r="F30" s="9" t="s">
        <v>41</v>
      </c>
      <c r="G30" s="9" t="s">
        <v>69</v>
      </c>
      <c r="H30" s="9" t="s">
        <v>70</v>
      </c>
      <c r="I30" s="9" t="s">
        <v>71</v>
      </c>
    </row>
    <row r="31" spans="1:9" ht="15.75" thickTop="1" x14ac:dyDescent="0.25">
      <c r="A31">
        <v>1</v>
      </c>
      <c r="B31" s="4">
        <f>B17</f>
        <v>143.9</v>
      </c>
      <c r="C31" s="4">
        <f>B17*E17</f>
        <v>110.92674835062502</v>
      </c>
      <c r="D31" s="4">
        <f>SQRT(B31^2+C31^2)</f>
        <v>181.6919191919192</v>
      </c>
      <c r="E31" s="22">
        <f>C17</f>
        <v>0.79200000000000004</v>
      </c>
      <c r="F31" s="4">
        <f>G17</f>
        <v>45.363971419850266</v>
      </c>
      <c r="G31" s="4">
        <f>D24-E24</f>
        <v>50</v>
      </c>
      <c r="H31" s="4">
        <f>SQRT(B31^2+(C31-G31)^2)</f>
        <v>156.26669083518851</v>
      </c>
      <c r="I31" s="22">
        <f>B31/H31</f>
        <v>0.92086163232168639</v>
      </c>
    </row>
    <row r="32" spans="1:9" x14ac:dyDescent="0.25">
      <c r="A32">
        <v>2</v>
      </c>
      <c r="B32" s="4">
        <f t="shared" ref="B32:B34" si="7">B18</f>
        <v>173.43799999999999</v>
      </c>
      <c r="C32" s="4">
        <f t="shared" ref="C32:C34" si="8">B18*E18</f>
        <v>92.572657897870087</v>
      </c>
      <c r="D32" s="4">
        <f>SQRT(B32^2+C32^2)</f>
        <v>196.59714350487417</v>
      </c>
      <c r="E32" s="22">
        <f t="shared" ref="E32:E34" si="9">C18</f>
        <v>0.88219999999999998</v>
      </c>
      <c r="F32" s="4">
        <f>G18</f>
        <v>13.551970578066676</v>
      </c>
      <c r="G32" s="4">
        <f>D25-E25</f>
        <v>14</v>
      </c>
      <c r="H32" s="4">
        <f t="shared" ref="H32:H33" si="10">SQRT(B32^2+(C32-G32)^2)</f>
        <v>190.40588859889738</v>
      </c>
      <c r="I32" s="22">
        <f>B32/H32</f>
        <v>0.91088569411505249</v>
      </c>
    </row>
    <row r="33" spans="1:14" x14ac:dyDescent="0.25">
      <c r="A33">
        <v>3</v>
      </c>
      <c r="B33" s="4">
        <f t="shared" si="7"/>
        <v>350</v>
      </c>
      <c r="C33" s="4">
        <f t="shared" si="8"/>
        <v>262.49999999999994</v>
      </c>
      <c r="D33" s="4">
        <f t="shared" ref="D33:D34" si="11">SQRT(B33^2+C33^2)</f>
        <v>437.49999999999994</v>
      </c>
      <c r="E33" s="22">
        <f t="shared" si="9"/>
        <v>0.8</v>
      </c>
      <c r="F33" s="4">
        <f t="shared" ref="F33:F34" si="12">G19</f>
        <v>103.03528891055473</v>
      </c>
      <c r="G33" s="4">
        <f t="shared" ref="G33:G34" si="13">D26-E26</f>
        <v>110</v>
      </c>
      <c r="H33" s="4">
        <f t="shared" si="10"/>
        <v>381.78036879860645</v>
      </c>
      <c r="I33" s="22">
        <f t="shared" ref="I33" si="14">B33/H33</f>
        <v>0.91675745691531096</v>
      </c>
    </row>
    <row r="34" spans="1:14" x14ac:dyDescent="0.25">
      <c r="A34">
        <v>4</v>
      </c>
      <c r="B34" s="4">
        <f t="shared" si="7"/>
        <v>280</v>
      </c>
      <c r="C34" s="4">
        <f t="shared" si="8"/>
        <v>217.30369092007152</v>
      </c>
      <c r="D34" s="4">
        <f t="shared" si="11"/>
        <v>354.43037974683546</v>
      </c>
      <c r="E34" s="22">
        <f t="shared" si="9"/>
        <v>0.79</v>
      </c>
      <c r="F34" s="4">
        <f t="shared" si="12"/>
        <v>89.731922048515344</v>
      </c>
      <c r="G34" s="4">
        <f t="shared" si="13"/>
        <v>90</v>
      </c>
      <c r="H34" s="4">
        <f>SQRT(B34^2+(C34-G34)^2)</f>
        <v>307.58125710431887</v>
      </c>
      <c r="I34" s="22">
        <f>B34/H34</f>
        <v>0.91032855069265661</v>
      </c>
    </row>
    <row r="36" spans="1:14" ht="23.25" x14ac:dyDescent="0.35">
      <c r="A36" s="1" t="s">
        <v>72</v>
      </c>
    </row>
    <row r="37" spans="1:14" ht="20.25" thickBot="1" x14ac:dyDescent="0.35">
      <c r="A37" s="2" t="s">
        <v>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8.75" thickTop="1" thickBot="1" x14ac:dyDescent="0.35">
      <c r="A38" s="3" t="s">
        <v>40</v>
      </c>
      <c r="B38" s="3"/>
      <c r="C38" s="3"/>
      <c r="D38" s="3"/>
      <c r="E38" s="3"/>
      <c r="F38" s="3"/>
      <c r="G38" s="10" t="s">
        <v>18</v>
      </c>
      <c r="H38" s="10"/>
      <c r="I38" s="10"/>
      <c r="J38" s="10"/>
      <c r="K38" s="3" t="s">
        <v>88</v>
      </c>
      <c r="L38" s="3"/>
      <c r="M38" s="3"/>
      <c r="N38" s="3"/>
    </row>
    <row r="39" spans="1:14" ht="36" thickTop="1" thickBot="1" x14ac:dyDescent="0.35">
      <c r="A39" s="6" t="s">
        <v>38</v>
      </c>
      <c r="B39" s="5" t="s">
        <v>24</v>
      </c>
      <c r="C39" s="5" t="s">
        <v>23</v>
      </c>
      <c r="D39" s="5" t="s">
        <v>46</v>
      </c>
      <c r="E39" s="7" t="s">
        <v>29</v>
      </c>
      <c r="F39" s="9" t="s">
        <v>30</v>
      </c>
      <c r="G39" s="11" t="s">
        <v>36</v>
      </c>
      <c r="H39" s="11" t="s">
        <v>37</v>
      </c>
      <c r="I39" s="11" t="s">
        <v>22</v>
      </c>
      <c r="J39" s="11" t="s">
        <v>44</v>
      </c>
      <c r="K39" s="6" t="s">
        <v>36</v>
      </c>
      <c r="L39" s="6" t="s">
        <v>37</v>
      </c>
      <c r="M39" s="6" t="s">
        <v>22</v>
      </c>
      <c r="N39" s="6" t="s">
        <v>44</v>
      </c>
    </row>
    <row r="40" spans="1:14" x14ac:dyDescent="0.25">
      <c r="A40" s="8" t="s">
        <v>27</v>
      </c>
      <c r="B40" t="s">
        <v>25</v>
      </c>
      <c r="C40">
        <v>320</v>
      </c>
      <c r="D40">
        <v>0.91</v>
      </c>
      <c r="E40" t="s">
        <v>32</v>
      </c>
      <c r="F40">
        <v>2</v>
      </c>
      <c r="G40" s="23">
        <f t="shared" ref="G40:J41" si="15">C46</f>
        <v>493.9</v>
      </c>
      <c r="H40" s="23">
        <f t="shared" si="15"/>
        <v>213.4418618279287</v>
      </c>
      <c r="I40" s="23">
        <f t="shared" si="15"/>
        <v>538.04705963379502</v>
      </c>
      <c r="J40" s="23">
        <f t="shared" si="15"/>
        <v>0.91794944541869183</v>
      </c>
      <c r="K40" s="4">
        <f>D56</f>
        <v>667.33799999999997</v>
      </c>
      <c r="L40" s="4">
        <f>E56</f>
        <v>292.01451972579878</v>
      </c>
      <c r="M40" s="4">
        <f>F56</f>
        <v>728.45294823269239</v>
      </c>
      <c r="N40" s="22">
        <f>G56</f>
        <v>0.91610309439893944</v>
      </c>
    </row>
    <row r="41" spans="1:14" x14ac:dyDescent="0.25">
      <c r="A41" s="8" t="s">
        <v>28</v>
      </c>
      <c r="B41" t="s">
        <v>26</v>
      </c>
      <c r="C41">
        <v>160</v>
      </c>
      <c r="D41">
        <v>0.91</v>
      </c>
      <c r="E41" t="s">
        <v>33</v>
      </c>
      <c r="F41" t="s">
        <v>32</v>
      </c>
      <c r="G41" s="23">
        <f t="shared" si="15"/>
        <v>453.43799999999999</v>
      </c>
      <c r="H41" s="23">
        <f t="shared" si="15"/>
        <v>205.87660732010406</v>
      </c>
      <c r="I41" s="23">
        <f t="shared" si="15"/>
        <v>497.98714570321624</v>
      </c>
      <c r="J41" s="23">
        <f t="shared" si="15"/>
        <v>0.9105415750434529</v>
      </c>
      <c r="K41" s="4">
        <f>D57</f>
        <v>764.16800000000001</v>
      </c>
      <c r="L41" s="4">
        <f>E57</f>
        <v>340.03543008760255</v>
      </c>
      <c r="M41" s="4">
        <f>F57</f>
        <v>836.44205056701207</v>
      </c>
      <c r="N41" s="22">
        <f t="shared" ref="N41" si="16">G57</f>
        <v>0.91359347546190617</v>
      </c>
    </row>
    <row r="44" spans="1:14" ht="20.25" thickBot="1" x14ac:dyDescent="0.35">
      <c r="A44" s="2" t="s">
        <v>31</v>
      </c>
      <c r="B44" s="2"/>
      <c r="C44" s="2"/>
      <c r="D44" s="2"/>
      <c r="E44" s="2"/>
      <c r="F44" s="2"/>
    </row>
    <row r="45" spans="1:14" ht="36" thickTop="1" thickBot="1" x14ac:dyDescent="0.35">
      <c r="A45" s="3" t="s">
        <v>38</v>
      </c>
      <c r="B45" s="7" t="s">
        <v>29</v>
      </c>
      <c r="C45" s="7" t="s">
        <v>36</v>
      </c>
      <c r="D45" s="3" t="s">
        <v>37</v>
      </c>
      <c r="E45" s="7" t="s">
        <v>22</v>
      </c>
      <c r="F45" s="7" t="s">
        <v>45</v>
      </c>
    </row>
    <row r="46" spans="1:14" ht="15.75" thickTop="1" x14ac:dyDescent="0.25">
      <c r="A46" s="8" t="s">
        <v>27</v>
      </c>
      <c r="B46" t="s">
        <v>32</v>
      </c>
      <c r="C46" s="4">
        <f>B31+B33</f>
        <v>493.9</v>
      </c>
      <c r="D46" s="4">
        <f>SQRT(1-F46^2)*E46</f>
        <v>213.4418618279287</v>
      </c>
      <c r="E46" s="4">
        <f>H31+H33</f>
        <v>538.04705963379502</v>
      </c>
      <c r="F46" s="22">
        <f>C46/E46</f>
        <v>0.91794944541869183</v>
      </c>
    </row>
    <row r="47" spans="1:14" x14ac:dyDescent="0.25">
      <c r="A47" s="8" t="s">
        <v>28</v>
      </c>
      <c r="B47" t="s">
        <v>33</v>
      </c>
      <c r="C47" s="4">
        <f>B32+B34</f>
        <v>453.43799999999999</v>
      </c>
      <c r="D47" s="4">
        <f>SQRT(1-F47^2)*E47</f>
        <v>205.87660732010406</v>
      </c>
      <c r="E47" s="4">
        <f>H32+H34</f>
        <v>497.98714570321624</v>
      </c>
      <c r="F47" s="22">
        <f>C47/E47</f>
        <v>0.9105415750434529</v>
      </c>
    </row>
    <row r="49" spans="1:14" ht="20.25" thickBot="1" x14ac:dyDescent="0.35">
      <c r="A49" s="2" t="s">
        <v>34</v>
      </c>
      <c r="B49" s="2"/>
      <c r="C49" s="2"/>
      <c r="D49" s="2"/>
      <c r="E49" s="2"/>
      <c r="F49" s="2"/>
    </row>
    <row r="50" spans="1:14" ht="36" thickTop="1" thickBot="1" x14ac:dyDescent="0.35">
      <c r="A50" s="3" t="s">
        <v>38</v>
      </c>
      <c r="B50" s="9" t="s">
        <v>30</v>
      </c>
      <c r="C50" s="7" t="s">
        <v>36</v>
      </c>
      <c r="D50" s="3" t="s">
        <v>37</v>
      </c>
      <c r="E50" s="7" t="s">
        <v>22</v>
      </c>
      <c r="F50" s="7" t="s">
        <v>44</v>
      </c>
    </row>
    <row r="51" spans="1:14" ht="15.75" thickTop="1" x14ac:dyDescent="0.25">
      <c r="A51" s="8" t="s">
        <v>27</v>
      </c>
      <c r="B51">
        <v>2</v>
      </c>
      <c r="C51" s="4">
        <f>G11</f>
        <v>173.43799999999999</v>
      </c>
      <c r="D51" s="4">
        <f>SQRT(1-F51^2)*E51</f>
        <v>78.572657897870059</v>
      </c>
      <c r="E51" s="4">
        <f>H32</f>
        <v>190.40588859889738</v>
      </c>
      <c r="F51" s="22">
        <f>C51/E51</f>
        <v>0.91088569411505249</v>
      </c>
    </row>
    <row r="52" spans="1:14" x14ac:dyDescent="0.25">
      <c r="A52" s="8" t="s">
        <v>28</v>
      </c>
      <c r="B52" t="s">
        <v>32</v>
      </c>
      <c r="C52">
        <f>G10+G12</f>
        <v>310.73</v>
      </c>
      <c r="D52" s="4">
        <f>SQRT(1-F52^2)*E52</f>
        <v>134.15882276749852</v>
      </c>
      <c r="E52" s="4">
        <f>0.7*H31+0.6*H33</f>
        <v>338.45490486379583</v>
      </c>
      <c r="F52" s="22">
        <f>C52/E52</f>
        <v>0.9180839028615847</v>
      </c>
    </row>
    <row r="54" spans="1:14" ht="20.25" thickBot="1" x14ac:dyDescent="0.35">
      <c r="A54" s="2" t="s">
        <v>35</v>
      </c>
      <c r="B54" s="2"/>
      <c r="C54" s="2"/>
      <c r="D54" s="2"/>
      <c r="E54" s="2"/>
      <c r="F54" s="2"/>
      <c r="G54" s="2"/>
    </row>
    <row r="55" spans="1:14" ht="36" thickTop="1" thickBot="1" x14ac:dyDescent="0.35">
      <c r="A55" s="3" t="s">
        <v>38</v>
      </c>
      <c r="B55" s="7" t="s">
        <v>29</v>
      </c>
      <c r="C55" s="9" t="s">
        <v>30</v>
      </c>
      <c r="D55" s="7" t="s">
        <v>36</v>
      </c>
      <c r="E55" s="9" t="s">
        <v>37</v>
      </c>
      <c r="F55" s="7" t="s">
        <v>22</v>
      </c>
      <c r="G55" s="7" t="s">
        <v>44</v>
      </c>
    </row>
    <row r="56" spans="1:14" ht="15.75" thickTop="1" x14ac:dyDescent="0.25">
      <c r="A56" s="8" t="s">
        <v>27</v>
      </c>
      <c r="B56" t="s">
        <v>32</v>
      </c>
      <c r="C56">
        <v>2</v>
      </c>
      <c r="D56" s="4">
        <f>C46+C51</f>
        <v>667.33799999999997</v>
      </c>
      <c r="E56" s="4">
        <f>D46+D51</f>
        <v>292.01451972579878</v>
      </c>
      <c r="F56" s="4">
        <f>E51+E46</f>
        <v>728.45294823269239</v>
      </c>
      <c r="G56" s="22">
        <f>D56/F56</f>
        <v>0.91610309439893944</v>
      </c>
    </row>
    <row r="57" spans="1:14" x14ac:dyDescent="0.25">
      <c r="A57" s="8" t="s">
        <v>28</v>
      </c>
      <c r="B57" t="s">
        <v>33</v>
      </c>
      <c r="C57" t="s">
        <v>32</v>
      </c>
      <c r="D57" s="4">
        <f>C47+C52</f>
        <v>764.16800000000001</v>
      </c>
      <c r="E57" s="4">
        <f>D47+D52</f>
        <v>340.03543008760255</v>
      </c>
      <c r="F57" s="4">
        <f>E52+E47</f>
        <v>836.44205056701207</v>
      </c>
      <c r="G57" s="22">
        <f>D57/F57</f>
        <v>0.91359347546190617</v>
      </c>
    </row>
    <row r="59" spans="1:14" ht="20.25" thickBot="1" x14ac:dyDescent="0.35">
      <c r="A59" s="2" t="s">
        <v>102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4" ht="18.75" thickTop="1" thickBot="1" x14ac:dyDescent="0.35">
      <c r="A60" s="3" t="s">
        <v>38</v>
      </c>
      <c r="B60" s="3" t="s">
        <v>103</v>
      </c>
      <c r="C60" s="3" t="s">
        <v>104</v>
      </c>
      <c r="D60" s="3" t="s">
        <v>90</v>
      </c>
      <c r="E60" s="3" t="s">
        <v>54</v>
      </c>
      <c r="F60" s="3" t="s">
        <v>105</v>
      </c>
      <c r="G60" s="3" t="s">
        <v>106</v>
      </c>
      <c r="H60" s="26" t="s">
        <v>136</v>
      </c>
      <c r="I60" s="3" t="s">
        <v>107</v>
      </c>
      <c r="J60" s="25" t="s">
        <v>108</v>
      </c>
      <c r="K60" s="25" t="s">
        <v>109</v>
      </c>
      <c r="L60" s="25" t="s">
        <v>113</v>
      </c>
      <c r="M60" s="26" t="s">
        <v>137</v>
      </c>
      <c r="N60" s="25" t="s">
        <v>114</v>
      </c>
    </row>
    <row r="61" spans="1:14" ht="15.75" thickTop="1" x14ac:dyDescent="0.25">
      <c r="A61" t="str">
        <f>A40</f>
        <v>SO1</v>
      </c>
      <c r="B61" t="str">
        <f>B40</f>
        <v>30 / 0,4</v>
      </c>
      <c r="C61" s="4">
        <f>M40</f>
        <v>728.45294823269239</v>
      </c>
      <c r="D61" s="4">
        <f>1.3*C61</f>
        <v>946.98883270250019</v>
      </c>
      <c r="E61" t="s">
        <v>110</v>
      </c>
      <c r="F61" t="s">
        <v>111</v>
      </c>
      <c r="G61" t="s">
        <v>112</v>
      </c>
      <c r="H61">
        <v>800</v>
      </c>
      <c r="I61">
        <v>6.5</v>
      </c>
      <c r="J61">
        <v>33</v>
      </c>
      <c r="K61">
        <v>400</v>
      </c>
      <c r="L61">
        <v>1495</v>
      </c>
      <c r="M61">
        <v>8800</v>
      </c>
      <c r="N61">
        <v>0.9</v>
      </c>
    </row>
    <row r="62" spans="1:14" x14ac:dyDescent="0.25">
      <c r="A62" t="str">
        <f>A41</f>
        <v>SO2</v>
      </c>
      <c r="B62" t="str">
        <f>B41</f>
        <v>15/0,4</v>
      </c>
      <c r="C62" s="4">
        <f>M41</f>
        <v>836.44205056701207</v>
      </c>
      <c r="D62" s="4">
        <f>1.3*C62</f>
        <v>1087.3746657371157</v>
      </c>
      <c r="E62" t="s">
        <v>110</v>
      </c>
      <c r="F62" t="s">
        <v>111</v>
      </c>
      <c r="G62" t="s">
        <v>115</v>
      </c>
      <c r="H62">
        <v>1000</v>
      </c>
      <c r="I62">
        <v>6</v>
      </c>
      <c r="J62">
        <v>15</v>
      </c>
      <c r="K62">
        <v>400</v>
      </c>
      <c r="L62">
        <v>1550</v>
      </c>
      <c r="M62">
        <v>9000</v>
      </c>
      <c r="N62">
        <v>0.7</v>
      </c>
    </row>
    <row r="64" spans="1:14" ht="20.25" thickBot="1" x14ac:dyDescent="0.35">
      <c r="D64" s="2"/>
      <c r="E64" s="2"/>
      <c r="F64" s="2"/>
      <c r="G64" s="2"/>
    </row>
    <row r="65" ht="15.75" thickTop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52F4-274C-4C05-8544-916C0BAFE690}">
  <dimension ref="A1:N68"/>
  <sheetViews>
    <sheetView topLeftCell="A37" zoomScale="80" zoomScaleNormal="80" workbookViewId="0">
      <selection activeCell="C67" sqref="C67"/>
    </sheetView>
  </sheetViews>
  <sheetFormatPr defaultRowHeight="15" x14ac:dyDescent="0.25"/>
  <cols>
    <col min="2" max="2" width="16.42578125" customWidth="1"/>
    <col min="3" max="3" width="14.7109375" bestFit="1" customWidth="1"/>
    <col min="4" max="4" width="14.28515625" customWidth="1"/>
    <col min="5" max="5" width="16.28515625" customWidth="1"/>
    <col min="6" max="6" width="17.140625" customWidth="1"/>
    <col min="7" max="7" width="10.28515625" customWidth="1"/>
    <col min="8" max="8" width="14.5703125" bestFit="1" customWidth="1"/>
    <col min="9" max="9" width="13.140625" bestFit="1" customWidth="1"/>
    <col min="10" max="10" width="13.28515625" bestFit="1" customWidth="1"/>
  </cols>
  <sheetData>
    <row r="1" spans="1:14" ht="23.25" x14ac:dyDescent="0.35">
      <c r="A1" s="1" t="s">
        <v>0</v>
      </c>
    </row>
    <row r="2" spans="1:14" ht="20.25" thickBo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44</v>
      </c>
      <c r="F2" s="2" t="s">
        <v>5</v>
      </c>
      <c r="G2" s="2"/>
      <c r="H2" s="2"/>
    </row>
    <row r="3" spans="1:14" ht="15.75" thickTop="1" x14ac:dyDescent="0.25">
      <c r="A3">
        <v>1</v>
      </c>
      <c r="B3" t="s">
        <v>6</v>
      </c>
      <c r="C3">
        <v>429.3</v>
      </c>
      <c r="D3">
        <v>143.9</v>
      </c>
      <c r="E3">
        <v>0.79200000000000004</v>
      </c>
      <c r="F3" t="s">
        <v>11</v>
      </c>
    </row>
    <row r="4" spans="1:14" x14ac:dyDescent="0.25">
      <c r="A4">
        <v>2</v>
      </c>
      <c r="B4" t="s">
        <v>7</v>
      </c>
      <c r="C4">
        <v>320</v>
      </c>
      <c r="D4">
        <v>173.43799999999999</v>
      </c>
      <c r="E4">
        <v>0.88219999999999998</v>
      </c>
      <c r="F4" t="s">
        <v>12</v>
      </c>
    </row>
    <row r="5" spans="1:14" x14ac:dyDescent="0.25">
      <c r="A5">
        <v>3</v>
      </c>
      <c r="B5" t="s">
        <v>8</v>
      </c>
      <c r="C5" t="s">
        <v>10</v>
      </c>
      <c r="D5">
        <v>350</v>
      </c>
      <c r="E5">
        <v>0.8</v>
      </c>
      <c r="F5" t="s">
        <v>13</v>
      </c>
    </row>
    <row r="6" spans="1:14" x14ac:dyDescent="0.25">
      <c r="A6">
        <v>4</v>
      </c>
      <c r="B6" t="s">
        <v>9</v>
      </c>
      <c r="C6" t="s">
        <v>10</v>
      </c>
      <c r="D6">
        <v>280</v>
      </c>
      <c r="E6">
        <v>0.79</v>
      </c>
      <c r="F6" t="s">
        <v>14</v>
      </c>
    </row>
    <row r="8" spans="1:14" ht="20.25" thickBot="1" x14ac:dyDescent="0.35">
      <c r="A8" s="2" t="s">
        <v>17</v>
      </c>
      <c r="B8" s="2"/>
      <c r="C8" s="2"/>
      <c r="D8" s="2" t="s">
        <v>18</v>
      </c>
      <c r="E8" s="2"/>
      <c r="F8" s="2"/>
      <c r="G8" s="2" t="s">
        <v>19</v>
      </c>
      <c r="H8" s="2"/>
    </row>
    <row r="9" spans="1:14" ht="18.75" thickTop="1" thickBot="1" x14ac:dyDescent="0.35">
      <c r="A9" s="3" t="s">
        <v>1</v>
      </c>
      <c r="B9" s="3" t="s">
        <v>15</v>
      </c>
      <c r="C9" s="3" t="s">
        <v>3</v>
      </c>
      <c r="D9" s="3" t="s">
        <v>4</v>
      </c>
      <c r="E9" s="3" t="s">
        <v>16</v>
      </c>
      <c r="F9" s="3" t="s">
        <v>44</v>
      </c>
      <c r="G9" s="3" t="s">
        <v>20</v>
      </c>
      <c r="H9" s="3" t="s">
        <v>21</v>
      </c>
    </row>
    <row r="10" spans="1:14" ht="15.75" thickTop="1" x14ac:dyDescent="0.25">
      <c r="A10">
        <v>1</v>
      </c>
      <c r="B10" t="s">
        <v>6</v>
      </c>
      <c r="C10">
        <f>C3</f>
        <v>429.3</v>
      </c>
      <c r="D10" s="4">
        <f>D3</f>
        <v>143.9</v>
      </c>
      <c r="E10" s="4">
        <f>TAN(ACOS(F10))*D10</f>
        <v>110.92674835062502</v>
      </c>
      <c r="F10" s="22">
        <f>E3</f>
        <v>0.79200000000000004</v>
      </c>
      <c r="G10" s="4">
        <f>0.7*D10</f>
        <v>100.73</v>
      </c>
      <c r="H10" s="4">
        <f>0.7*E10</f>
        <v>77.648723845437502</v>
      </c>
    </row>
    <row r="11" spans="1:14" x14ac:dyDescent="0.25">
      <c r="A11">
        <v>2</v>
      </c>
      <c r="B11" t="s">
        <v>7</v>
      </c>
      <c r="C11" s="4">
        <f>C4</f>
        <v>320</v>
      </c>
      <c r="D11" s="4">
        <f t="shared" ref="D11:D13" si="0">D4</f>
        <v>173.43799999999999</v>
      </c>
      <c r="E11" s="4">
        <f t="shared" ref="E11:E13" si="1">TAN(ACOS(F11))*D11</f>
        <v>92.572657897870087</v>
      </c>
      <c r="F11" s="22">
        <f t="shared" ref="F11:F13" si="2">E4</f>
        <v>0.88219999999999998</v>
      </c>
      <c r="G11" s="4">
        <f>D11</f>
        <v>173.43799999999999</v>
      </c>
      <c r="H11" s="4">
        <f>E11</f>
        <v>92.572657897870087</v>
      </c>
    </row>
    <row r="12" spans="1:14" x14ac:dyDescent="0.25">
      <c r="A12">
        <v>3</v>
      </c>
      <c r="B12" t="s">
        <v>8</v>
      </c>
      <c r="C12" t="s">
        <v>10</v>
      </c>
      <c r="D12" s="4">
        <f t="shared" si="0"/>
        <v>350</v>
      </c>
      <c r="E12" s="4">
        <f t="shared" si="1"/>
        <v>262.49999999999994</v>
      </c>
      <c r="F12" s="22">
        <f t="shared" si="2"/>
        <v>0.8</v>
      </c>
      <c r="G12" s="4">
        <f>0.6*D12</f>
        <v>210</v>
      </c>
      <c r="H12" s="4">
        <f>0.6*E12</f>
        <v>157.49999999999997</v>
      </c>
    </row>
    <row r="13" spans="1:14" x14ac:dyDescent="0.25">
      <c r="A13">
        <v>4</v>
      </c>
      <c r="B13" t="s">
        <v>9</v>
      </c>
      <c r="C13" t="s">
        <v>10</v>
      </c>
      <c r="D13" s="4">
        <f t="shared" si="0"/>
        <v>280</v>
      </c>
      <c r="E13" s="4">
        <f t="shared" si="1"/>
        <v>217.30369092007152</v>
      </c>
      <c r="F13" s="22">
        <f t="shared" si="2"/>
        <v>0.79</v>
      </c>
      <c r="G13" s="4" t="s">
        <v>10</v>
      </c>
      <c r="H13" s="4" t="s">
        <v>10</v>
      </c>
    </row>
    <row r="15" spans="1:14" ht="23.25" x14ac:dyDescent="0.35">
      <c r="A15" s="1" t="s">
        <v>72</v>
      </c>
    </row>
    <row r="16" spans="1:14" ht="20.25" thickBot="1" x14ac:dyDescent="0.35">
      <c r="A16" s="2" t="s">
        <v>39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8.75" thickTop="1" thickBot="1" x14ac:dyDescent="0.35">
      <c r="A17" s="3" t="s">
        <v>40</v>
      </c>
      <c r="B17" s="3"/>
      <c r="C17" s="3"/>
      <c r="D17" s="3"/>
      <c r="E17" s="3"/>
      <c r="F17" s="3"/>
      <c r="G17" s="10" t="s">
        <v>18</v>
      </c>
      <c r="H17" s="10"/>
      <c r="I17" s="10"/>
      <c r="J17" s="10"/>
      <c r="K17" s="3" t="s">
        <v>88</v>
      </c>
      <c r="L17" s="3"/>
      <c r="M17" s="3"/>
      <c r="N17" s="3"/>
    </row>
    <row r="18" spans="1:14" ht="36" thickTop="1" thickBot="1" x14ac:dyDescent="0.35">
      <c r="A18" s="6" t="s">
        <v>38</v>
      </c>
      <c r="B18" s="5" t="s">
        <v>24</v>
      </c>
      <c r="C18" s="5" t="s">
        <v>23</v>
      </c>
      <c r="D18" s="5" t="s">
        <v>46</v>
      </c>
      <c r="E18" s="7" t="s">
        <v>29</v>
      </c>
      <c r="F18" s="9" t="s">
        <v>30</v>
      </c>
      <c r="G18" s="11" t="s">
        <v>36</v>
      </c>
      <c r="H18" s="11" t="s">
        <v>37</v>
      </c>
      <c r="I18" s="11" t="s">
        <v>22</v>
      </c>
      <c r="J18" s="11" t="s">
        <v>44</v>
      </c>
      <c r="K18" s="6" t="s">
        <v>36</v>
      </c>
      <c r="L18" s="6" t="s">
        <v>37</v>
      </c>
      <c r="M18" s="6" t="s">
        <v>22</v>
      </c>
      <c r="N18" s="6" t="s">
        <v>44</v>
      </c>
    </row>
    <row r="19" spans="1:14" x14ac:dyDescent="0.25">
      <c r="A19" s="8" t="s">
        <v>27</v>
      </c>
      <c r="B19" t="s">
        <v>98</v>
      </c>
      <c r="C19">
        <v>160</v>
      </c>
      <c r="D19">
        <v>0.91</v>
      </c>
      <c r="E19" t="s">
        <v>32</v>
      </c>
      <c r="F19">
        <v>2</v>
      </c>
      <c r="G19" s="12">
        <f>C25</f>
        <v>493.9</v>
      </c>
      <c r="H19" s="12">
        <f>D25</f>
        <v>373.42674835062496</v>
      </c>
      <c r="I19" s="12">
        <f>E25</f>
        <v>619.19191919191917</v>
      </c>
      <c r="J19" s="12">
        <f>F25</f>
        <v>0.79765252854812396</v>
      </c>
      <c r="K19" s="4">
        <f>D35</f>
        <v>667.33799999999997</v>
      </c>
      <c r="L19" s="4">
        <f>E35</f>
        <v>465.99940624849506</v>
      </c>
      <c r="M19" s="4">
        <f>F35</f>
        <v>815.78906269679328</v>
      </c>
      <c r="N19" s="4">
        <f>G35</f>
        <v>0.81802763792143585</v>
      </c>
    </row>
    <row r="20" spans="1:14" x14ac:dyDescent="0.25">
      <c r="A20" s="8" t="s">
        <v>99</v>
      </c>
      <c r="B20" t="s">
        <v>26</v>
      </c>
      <c r="C20">
        <v>320</v>
      </c>
      <c r="D20">
        <v>0.91</v>
      </c>
      <c r="E20" t="s">
        <v>33</v>
      </c>
      <c r="F20" t="s">
        <v>32</v>
      </c>
      <c r="G20" s="12">
        <f t="shared" ref="G20:J20" si="3">C26</f>
        <v>453.43799999999999</v>
      </c>
      <c r="H20" s="12">
        <f t="shared" si="3"/>
        <v>309.87634881794162</v>
      </c>
      <c r="I20" s="12">
        <f t="shared" si="3"/>
        <v>551.02752325170957</v>
      </c>
      <c r="J20" s="12">
        <f t="shared" si="3"/>
        <v>0.8228953743075903</v>
      </c>
      <c r="K20" s="4">
        <f t="shared" ref="K20:N20" si="4">D36</f>
        <v>764.16800000000001</v>
      </c>
      <c r="L20" s="4">
        <f t="shared" si="4"/>
        <v>545.02507266337909</v>
      </c>
      <c r="M20" s="4">
        <f t="shared" si="4"/>
        <v>940.71186668605299</v>
      </c>
      <c r="N20" s="4">
        <f t="shared" si="4"/>
        <v>0.81232949967136792</v>
      </c>
    </row>
    <row r="23" spans="1:14" ht="20.25" thickBot="1" x14ac:dyDescent="0.35">
      <c r="A23" s="2" t="s">
        <v>31</v>
      </c>
      <c r="B23" s="2"/>
      <c r="C23" s="2"/>
      <c r="D23" s="2"/>
      <c r="E23" s="2"/>
      <c r="F23" s="2"/>
    </row>
    <row r="24" spans="1:14" ht="36" thickTop="1" thickBot="1" x14ac:dyDescent="0.35">
      <c r="A24" s="3" t="s">
        <v>38</v>
      </c>
      <c r="B24" s="7" t="s">
        <v>29</v>
      </c>
      <c r="C24" s="7" t="s">
        <v>36</v>
      </c>
      <c r="D24" s="9" t="s">
        <v>37</v>
      </c>
      <c r="E24" s="7" t="s">
        <v>22</v>
      </c>
      <c r="F24" s="7" t="s">
        <v>45</v>
      </c>
      <c r="G24" s="24" t="s">
        <v>101</v>
      </c>
    </row>
    <row r="25" spans="1:14" ht="15.75" thickTop="1" x14ac:dyDescent="0.25">
      <c r="A25" s="8" t="s">
        <v>27</v>
      </c>
      <c r="B25" t="s">
        <v>32</v>
      </c>
      <c r="C25" s="4">
        <f>D10+D12</f>
        <v>493.9</v>
      </c>
      <c r="D25" s="4">
        <f>E10+E12</f>
        <v>373.42674835062496</v>
      </c>
      <c r="E25" s="4">
        <f>D10/F10+D12/F12</f>
        <v>619.19191919191917</v>
      </c>
      <c r="F25" s="22">
        <f>C25/E25</f>
        <v>0.79765252854812396</v>
      </c>
      <c r="G25">
        <f>SQRT(1-F25^2)</f>
        <v>0.60311727193041342</v>
      </c>
    </row>
    <row r="26" spans="1:14" x14ac:dyDescent="0.25">
      <c r="A26" s="8" t="s">
        <v>28</v>
      </c>
      <c r="B26" t="s">
        <v>33</v>
      </c>
      <c r="C26" s="4">
        <f>D11+$D$13</f>
        <v>453.43799999999999</v>
      </c>
      <c r="D26" s="4">
        <f>E11+E13</f>
        <v>309.87634881794162</v>
      </c>
      <c r="E26" s="4">
        <f>D11/F11+D13/F13</f>
        <v>551.02752325170957</v>
      </c>
      <c r="F26" s="22">
        <f>C26/E26</f>
        <v>0.8228953743075903</v>
      </c>
      <c r="G26">
        <f>SQRT(1-F26^2)</f>
        <v>0.56819292757229112</v>
      </c>
    </row>
    <row r="28" spans="1:14" ht="20.25" thickBot="1" x14ac:dyDescent="0.35">
      <c r="A28" s="2" t="s">
        <v>34</v>
      </c>
      <c r="B28" s="2"/>
      <c r="C28" s="2"/>
      <c r="D28" s="2"/>
      <c r="E28" s="2"/>
      <c r="F28" s="2"/>
    </row>
    <row r="29" spans="1:14" ht="36" thickTop="1" thickBot="1" x14ac:dyDescent="0.35">
      <c r="A29" s="3" t="s">
        <v>38</v>
      </c>
      <c r="B29" s="9" t="s">
        <v>30</v>
      </c>
      <c r="C29" s="7" t="s">
        <v>36</v>
      </c>
      <c r="D29" s="9" t="s">
        <v>37</v>
      </c>
      <c r="E29" s="7" t="s">
        <v>22</v>
      </c>
      <c r="F29" s="7" t="s">
        <v>44</v>
      </c>
    </row>
    <row r="30" spans="1:14" ht="15.75" thickTop="1" x14ac:dyDescent="0.25">
      <c r="A30" s="8" t="s">
        <v>27</v>
      </c>
      <c r="B30">
        <v>2</v>
      </c>
      <c r="C30" s="4">
        <f>G11</f>
        <v>173.43799999999999</v>
      </c>
      <c r="D30" s="4">
        <f>H11</f>
        <v>92.572657897870087</v>
      </c>
      <c r="E30">
        <f>G11/F11</f>
        <v>196.59714350487417</v>
      </c>
      <c r="F30" s="22">
        <f>C30/E30</f>
        <v>0.88219999999999998</v>
      </c>
    </row>
    <row r="31" spans="1:14" x14ac:dyDescent="0.25">
      <c r="A31" s="8" t="s">
        <v>28</v>
      </c>
      <c r="B31" t="s">
        <v>32</v>
      </c>
      <c r="C31">
        <f>G10+G12</f>
        <v>310.73</v>
      </c>
      <c r="D31">
        <f>H10+H12</f>
        <v>235.14872384543747</v>
      </c>
      <c r="E31">
        <f>G10/F10+G12/F12</f>
        <v>389.68434343434342</v>
      </c>
      <c r="F31" s="22">
        <f>C31/E31</f>
        <v>0.79738897709231127</v>
      </c>
    </row>
    <row r="33" spans="1:7" ht="20.25" thickBot="1" x14ac:dyDescent="0.35">
      <c r="A33" s="2" t="s">
        <v>35</v>
      </c>
      <c r="B33" s="2"/>
      <c r="C33" s="2"/>
      <c r="D33" s="2"/>
      <c r="E33" s="2"/>
      <c r="F33" s="2"/>
      <c r="G33" s="2"/>
    </row>
    <row r="34" spans="1:7" ht="36" thickTop="1" thickBot="1" x14ac:dyDescent="0.35">
      <c r="A34" s="3" t="s">
        <v>38</v>
      </c>
      <c r="B34" s="7" t="s">
        <v>29</v>
      </c>
      <c r="C34" s="9" t="s">
        <v>30</v>
      </c>
      <c r="D34" s="7" t="s">
        <v>36</v>
      </c>
      <c r="E34" s="9" t="s">
        <v>37</v>
      </c>
      <c r="F34" s="7" t="s">
        <v>22</v>
      </c>
      <c r="G34" s="7" t="s">
        <v>44</v>
      </c>
    </row>
    <row r="35" spans="1:7" ht="15.75" thickTop="1" x14ac:dyDescent="0.25">
      <c r="A35" s="8" t="s">
        <v>27</v>
      </c>
      <c r="B35" t="s">
        <v>32</v>
      </c>
      <c r="C35">
        <v>2</v>
      </c>
      <c r="D35" s="4">
        <f>C25+C30</f>
        <v>667.33799999999997</v>
      </c>
      <c r="E35" s="4">
        <f>D25+D30</f>
        <v>465.99940624849506</v>
      </c>
      <c r="F35" s="4">
        <f>E30+E25</f>
        <v>815.78906269679328</v>
      </c>
      <c r="G35" s="22">
        <f>D35/F35</f>
        <v>0.81802763792143585</v>
      </c>
    </row>
    <row r="36" spans="1:7" x14ac:dyDescent="0.25">
      <c r="A36" s="8" t="s">
        <v>28</v>
      </c>
      <c r="B36" t="s">
        <v>33</v>
      </c>
      <c r="C36" t="s">
        <v>32</v>
      </c>
      <c r="D36" s="4">
        <f>C26+C31</f>
        <v>764.16800000000001</v>
      </c>
      <c r="E36" s="4">
        <f>D26+D31</f>
        <v>545.02507266337909</v>
      </c>
      <c r="F36" s="4">
        <f>E31+E26</f>
        <v>940.71186668605299</v>
      </c>
      <c r="G36" s="22">
        <f>D36/F36</f>
        <v>0.81232949967136792</v>
      </c>
    </row>
    <row r="38" spans="1:7" ht="23.25" x14ac:dyDescent="0.35">
      <c r="A38" s="1" t="s">
        <v>73</v>
      </c>
    </row>
    <row r="39" spans="1:7" ht="20.25" thickBot="1" x14ac:dyDescent="0.35">
      <c r="A39" s="2" t="s">
        <v>42</v>
      </c>
      <c r="B39" s="2"/>
      <c r="C39" s="2"/>
      <c r="D39" s="2"/>
      <c r="E39" s="2"/>
      <c r="F39" s="2"/>
      <c r="G39" s="2"/>
    </row>
    <row r="40" spans="1:7" ht="18.75" thickTop="1" thickBot="1" x14ac:dyDescent="0.35">
      <c r="A40" s="3" t="s">
        <v>38</v>
      </c>
      <c r="B40" s="3" t="s">
        <v>4</v>
      </c>
      <c r="C40" s="3" t="s">
        <v>47</v>
      </c>
      <c r="D40" s="3" t="s">
        <v>48</v>
      </c>
      <c r="E40" s="3" t="s">
        <v>49</v>
      </c>
      <c r="F40" s="3" t="s">
        <v>50</v>
      </c>
      <c r="G40" s="3" t="s">
        <v>41</v>
      </c>
    </row>
    <row r="41" spans="1:7" ht="15.75" thickTop="1" x14ac:dyDescent="0.25">
      <c r="A41" t="s">
        <v>27</v>
      </c>
      <c r="B41" s="4">
        <f>C25</f>
        <v>493.9</v>
      </c>
      <c r="C41" s="22">
        <f>F25</f>
        <v>0.79765252854812396</v>
      </c>
      <c r="D41">
        <f>D19</f>
        <v>0.91</v>
      </c>
      <c r="E41" s="22">
        <f>SQRT(1-C41^2)/C41</f>
        <v>0.75611528873129641</v>
      </c>
      <c r="F41" s="22">
        <f>SQRT(1-D41^2)/D41</f>
        <v>0.45561346025555771</v>
      </c>
      <c r="G41">
        <f>B41*(E41-F41)</f>
        <v>148.41785308416735</v>
      </c>
    </row>
    <row r="42" spans="1:7" x14ac:dyDescent="0.25">
      <c r="A42" t="s">
        <v>28</v>
      </c>
      <c r="B42" s="4">
        <f>C26</f>
        <v>453.43799999999999</v>
      </c>
      <c r="C42" s="22">
        <f>F26</f>
        <v>0.8228953743075903</v>
      </c>
      <c r="D42">
        <f>D20</f>
        <v>0.91</v>
      </c>
      <c r="E42" s="22">
        <f>SQRT(1-C42^2)/C42</f>
        <v>0.69048015739593416</v>
      </c>
      <c r="F42" s="22">
        <f>SQRT(1-D42^2)/D42</f>
        <v>0.45561346025555771</v>
      </c>
      <c r="G42">
        <f>B42*(E42-F42)</f>
        <v>106.49748541793801</v>
      </c>
    </row>
    <row r="44" spans="1:7" ht="20.25" thickBot="1" x14ac:dyDescent="0.35">
      <c r="A44" s="2" t="s">
        <v>43</v>
      </c>
      <c r="B44" s="2"/>
      <c r="C44" s="2"/>
      <c r="D44" s="2"/>
      <c r="E44" s="2"/>
      <c r="F44" s="2"/>
      <c r="G44" s="2"/>
    </row>
    <row r="45" spans="1:7" ht="18.75" thickTop="1" thickBot="1" x14ac:dyDescent="0.35">
      <c r="A45" s="3" t="s">
        <v>38</v>
      </c>
      <c r="B45" s="3" t="s">
        <v>4</v>
      </c>
      <c r="C45" s="3" t="s">
        <v>47</v>
      </c>
      <c r="D45" s="3" t="s">
        <v>48</v>
      </c>
      <c r="E45" s="3" t="s">
        <v>49</v>
      </c>
      <c r="F45" s="3" t="s">
        <v>50</v>
      </c>
      <c r="G45" s="3" t="s">
        <v>41</v>
      </c>
    </row>
    <row r="46" spans="1:7" ht="15.75" thickTop="1" x14ac:dyDescent="0.25">
      <c r="A46" t="s">
        <v>27</v>
      </c>
      <c r="B46" s="4">
        <f>D35</f>
        <v>667.33799999999997</v>
      </c>
      <c r="C46" s="22">
        <f>G35</f>
        <v>0.81802763792143585</v>
      </c>
      <c r="D46">
        <f>D19</f>
        <v>0.91</v>
      </c>
      <c r="E46" s="22">
        <f>SQRT(1-C46^2)/C46</f>
        <v>0.7031289503669742</v>
      </c>
      <c r="F46" s="22">
        <f>SQRT(1-D46^2)/D46</f>
        <v>0.45561346025555771</v>
      </c>
      <c r="G46">
        <f>B46*(E46-F46)</f>
        <v>165.17649213997245</v>
      </c>
    </row>
    <row r="47" spans="1:7" x14ac:dyDescent="0.25">
      <c r="A47" t="s">
        <v>28</v>
      </c>
      <c r="B47" s="4">
        <f>D36</f>
        <v>764.16800000000001</v>
      </c>
      <c r="C47" s="22">
        <f>G36</f>
        <v>0.81232949967136792</v>
      </c>
      <c r="D47">
        <f>D20</f>
        <v>0.91</v>
      </c>
      <c r="E47" s="22">
        <f>SQRT(1-C47^2)/C47</f>
        <v>0.71793373491683643</v>
      </c>
      <c r="F47" s="22">
        <f>SQRT(1-D47^2)/D47</f>
        <v>0.45561346025555771</v>
      </c>
      <c r="G47">
        <f>B47*(E47-F47)</f>
        <v>200.45675964736003</v>
      </c>
    </row>
    <row r="49" spans="1:11" ht="20.25" thickBot="1" x14ac:dyDescent="0.35">
      <c r="A49" s="2" t="s">
        <v>53</v>
      </c>
      <c r="B49" s="2"/>
      <c r="C49" s="2"/>
      <c r="D49" s="2"/>
      <c r="E49" s="2"/>
      <c r="F49" s="2"/>
      <c r="G49" s="2"/>
      <c r="H49" s="2"/>
    </row>
    <row r="50" spans="1:11" ht="36" thickTop="1" thickBot="1" x14ac:dyDescent="0.35">
      <c r="A50" s="3" t="s">
        <v>38</v>
      </c>
      <c r="B50" s="3" t="s">
        <v>54</v>
      </c>
      <c r="C50" s="3" t="s">
        <v>55</v>
      </c>
      <c r="D50" s="7" t="s">
        <v>60</v>
      </c>
      <c r="E50" s="7" t="s">
        <v>61</v>
      </c>
      <c r="F50" s="3" t="s">
        <v>56</v>
      </c>
      <c r="G50" s="3" t="s">
        <v>57</v>
      </c>
      <c r="H50" s="3" t="s">
        <v>58</v>
      </c>
    </row>
    <row r="51" spans="1:11" ht="15.75" thickTop="1" x14ac:dyDescent="0.25">
      <c r="A51" t="s">
        <v>27</v>
      </c>
      <c r="B51" t="s">
        <v>59</v>
      </c>
      <c r="C51" t="s">
        <v>67</v>
      </c>
      <c r="D51">
        <v>187.5</v>
      </c>
      <c r="E51">
        <v>12.5</v>
      </c>
      <c r="F51">
        <v>5</v>
      </c>
      <c r="G51">
        <v>15</v>
      </c>
      <c r="H51" t="s">
        <v>68</v>
      </c>
    </row>
    <row r="52" spans="1:11" x14ac:dyDescent="0.25">
      <c r="A52" t="s">
        <v>28</v>
      </c>
      <c r="B52" t="s">
        <v>59</v>
      </c>
      <c r="C52" t="s">
        <v>63</v>
      </c>
      <c r="D52">
        <v>125</v>
      </c>
      <c r="E52">
        <v>12.5</v>
      </c>
      <c r="F52">
        <v>5</v>
      </c>
      <c r="G52">
        <v>10</v>
      </c>
      <c r="H52" t="s">
        <v>64</v>
      </c>
    </row>
    <row r="53" spans="1:11" x14ac:dyDescent="0.25">
      <c r="A53" t="s">
        <v>100</v>
      </c>
      <c r="B53" t="s">
        <v>59</v>
      </c>
      <c r="C53" t="s">
        <v>65</v>
      </c>
      <c r="D53">
        <v>218.75</v>
      </c>
      <c r="E53">
        <v>6.25</v>
      </c>
      <c r="F53">
        <v>7</v>
      </c>
      <c r="G53">
        <v>35</v>
      </c>
      <c r="H53" t="s">
        <v>66</v>
      </c>
    </row>
    <row r="55" spans="1:11" ht="20.25" thickBot="1" x14ac:dyDescent="0.35">
      <c r="A55" s="2" t="s">
        <v>62</v>
      </c>
      <c r="B55" s="2"/>
      <c r="C55" s="2"/>
      <c r="D55" s="2"/>
      <c r="E55" s="2"/>
      <c r="F55" s="2"/>
      <c r="G55" s="2"/>
      <c r="H55" s="2"/>
      <c r="I55" s="2"/>
      <c r="J55" s="2"/>
    </row>
    <row r="56" spans="1:11" ht="36" thickTop="1" thickBot="1" x14ac:dyDescent="0.35">
      <c r="A56" s="3" t="s">
        <v>38</v>
      </c>
      <c r="B56" s="7" t="s">
        <v>29</v>
      </c>
      <c r="C56" s="7" t="s">
        <v>36</v>
      </c>
      <c r="D56" s="9" t="s">
        <v>37</v>
      </c>
      <c r="E56" s="7" t="s">
        <v>22</v>
      </c>
      <c r="F56" s="7" t="s">
        <v>45</v>
      </c>
      <c r="G56" s="9" t="s">
        <v>41</v>
      </c>
      <c r="H56" s="9" t="s">
        <v>69</v>
      </c>
      <c r="I56" s="9" t="s">
        <v>70</v>
      </c>
      <c r="J56" s="9" t="s">
        <v>71</v>
      </c>
    </row>
    <row r="57" spans="1:11" ht="15.75" thickTop="1" x14ac:dyDescent="0.25">
      <c r="A57" s="8" t="s">
        <v>27</v>
      </c>
      <c r="B57" t="s">
        <v>32</v>
      </c>
      <c r="C57" s="4">
        <f t="shared" ref="C57:F58" si="5">C25</f>
        <v>493.9</v>
      </c>
      <c r="D57" s="4">
        <f t="shared" si="5"/>
        <v>373.42674835062496</v>
      </c>
      <c r="E57" s="4">
        <f t="shared" si="5"/>
        <v>619.19191919191917</v>
      </c>
      <c r="F57" s="22">
        <f t="shared" si="5"/>
        <v>0.79765252854812396</v>
      </c>
      <c r="G57" s="4">
        <f>G41</f>
        <v>148.41785308416735</v>
      </c>
      <c r="H57" s="4">
        <f>D51-3*E51</f>
        <v>150</v>
      </c>
      <c r="I57" s="22">
        <f>SQRT(C57^2+(D57-H57)^2)</f>
        <v>542.08553003980239</v>
      </c>
      <c r="J57" s="22">
        <f>C57/I57</f>
        <v>0.91111083515499036</v>
      </c>
    </row>
    <row r="58" spans="1:11" x14ac:dyDescent="0.25">
      <c r="A58" s="8" t="s">
        <v>28</v>
      </c>
      <c r="B58" t="s">
        <v>33</v>
      </c>
      <c r="C58" s="4">
        <f t="shared" si="5"/>
        <v>453.43799999999999</v>
      </c>
      <c r="D58" s="4">
        <f t="shared" si="5"/>
        <v>309.87634881794162</v>
      </c>
      <c r="E58" s="4">
        <f t="shared" si="5"/>
        <v>551.02752325170957</v>
      </c>
      <c r="F58" s="22">
        <f t="shared" si="5"/>
        <v>0.8228953743075903</v>
      </c>
      <c r="G58" s="4">
        <f>G42</f>
        <v>106.49748541793801</v>
      </c>
      <c r="H58" s="4">
        <f>D52-E52</f>
        <v>112.5</v>
      </c>
      <c r="I58" s="22">
        <f>SQRT(C58^2+(D58-H58)^2)</f>
        <v>494.53356096093393</v>
      </c>
      <c r="J58" s="22">
        <f>C58/I58</f>
        <v>0.91690035984396956</v>
      </c>
    </row>
    <row r="60" spans="1:11" ht="20.25" thickBot="1" x14ac:dyDescent="0.35">
      <c r="A60" s="2" t="s">
        <v>35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ht="36" thickTop="1" thickBot="1" x14ac:dyDescent="0.35">
      <c r="A61" s="3" t="s">
        <v>38</v>
      </c>
      <c r="B61" s="7" t="s">
        <v>29</v>
      </c>
      <c r="C61" s="9" t="s">
        <v>30</v>
      </c>
      <c r="D61" s="7" t="s">
        <v>36</v>
      </c>
      <c r="E61" s="9" t="s">
        <v>37</v>
      </c>
      <c r="F61" s="7" t="s">
        <v>22</v>
      </c>
      <c r="G61" s="7" t="s">
        <v>44</v>
      </c>
      <c r="H61" s="9" t="s">
        <v>41</v>
      </c>
      <c r="I61" s="9" t="s">
        <v>69</v>
      </c>
      <c r="J61" s="9" t="s">
        <v>70</v>
      </c>
      <c r="K61" s="3" t="s">
        <v>71</v>
      </c>
    </row>
    <row r="62" spans="1:11" ht="15.75" thickTop="1" x14ac:dyDescent="0.25">
      <c r="A62" s="8" t="s">
        <v>27</v>
      </c>
      <c r="B62" t="s">
        <v>32</v>
      </c>
      <c r="C62">
        <v>2</v>
      </c>
      <c r="D62" s="4">
        <f>D35</f>
        <v>667.33799999999997</v>
      </c>
      <c r="E62" s="4">
        <f>E35</f>
        <v>465.99940624849506</v>
      </c>
      <c r="F62" s="4">
        <f>F35</f>
        <v>815.78906269679328</v>
      </c>
      <c r="G62" s="22">
        <f>G35</f>
        <v>0.81802763792143585</v>
      </c>
      <c r="H62" s="4">
        <f>G46</f>
        <v>165.17649213997245</v>
      </c>
      <c r="I62" s="4">
        <f>D51-E51</f>
        <v>175</v>
      </c>
      <c r="J62" s="22">
        <f>SQRT(D62^2+(E62-I62)^2)</f>
        <v>728.0251786037187</v>
      </c>
      <c r="K62" s="22">
        <f>D62/J62</f>
        <v>0.91664137396990741</v>
      </c>
    </row>
    <row r="63" spans="1:11" x14ac:dyDescent="0.25">
      <c r="A63" s="8" t="s">
        <v>28</v>
      </c>
      <c r="B63" t="s">
        <v>33</v>
      </c>
      <c r="C63" t="s">
        <v>32</v>
      </c>
      <c r="D63" s="4">
        <f>D36</f>
        <v>764.16800000000001</v>
      </c>
      <c r="E63" s="4">
        <f t="shared" ref="E63:G63" si="6">E36</f>
        <v>545.02507266337909</v>
      </c>
      <c r="F63" s="4">
        <f t="shared" si="6"/>
        <v>940.71186668605299</v>
      </c>
      <c r="G63" s="22">
        <f t="shared" si="6"/>
        <v>0.81232949967136792</v>
      </c>
      <c r="H63" s="4">
        <f>G47</f>
        <v>200.45675964736003</v>
      </c>
      <c r="I63" s="4">
        <f>D53-E53</f>
        <v>212.5</v>
      </c>
      <c r="J63" s="22">
        <f>SQRT(D63^2+(E63-I63)^2)</f>
        <v>833.38205894642681</v>
      </c>
      <c r="K63" s="22">
        <f>D63/J63</f>
        <v>0.9169479853766852</v>
      </c>
    </row>
    <row r="65" spans="1:6" x14ac:dyDescent="0.25">
      <c r="A65" t="s">
        <v>89</v>
      </c>
    </row>
    <row r="66" spans="1:6" x14ac:dyDescent="0.25">
      <c r="A66" t="s">
        <v>17</v>
      </c>
      <c r="B66" t="s">
        <v>70</v>
      </c>
      <c r="C66" t="s">
        <v>90</v>
      </c>
      <c r="D66" t="s">
        <v>91</v>
      </c>
      <c r="E66" t="s">
        <v>94</v>
      </c>
      <c r="F66" t="s">
        <v>54</v>
      </c>
    </row>
    <row r="67" spans="1:6" x14ac:dyDescent="0.25">
      <c r="A67" t="s">
        <v>27</v>
      </c>
      <c r="B67" s="22">
        <f>J62</f>
        <v>728.0251786037187</v>
      </c>
      <c r="C67" s="4">
        <f>1.3*B67</f>
        <v>946.43273218483432</v>
      </c>
      <c r="D67" t="s">
        <v>93</v>
      </c>
      <c r="E67" t="s">
        <v>96</v>
      </c>
      <c r="F67" t="s">
        <v>97</v>
      </c>
    </row>
    <row r="68" spans="1:6" x14ac:dyDescent="0.25">
      <c r="A68" t="s">
        <v>28</v>
      </c>
      <c r="B68" s="22">
        <f>J63</f>
        <v>833.38205894642681</v>
      </c>
      <c r="C68" s="4">
        <f>1.3*B68</f>
        <v>1083.3966766303549</v>
      </c>
      <c r="D68" t="s">
        <v>92</v>
      </c>
      <c r="E68" t="s">
        <v>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7F67-D061-4DD0-8D19-18A438403393}">
  <dimension ref="A1:N69"/>
  <sheetViews>
    <sheetView topLeftCell="A19" workbookViewId="0">
      <selection activeCell="C25" sqref="C25"/>
    </sheetView>
  </sheetViews>
  <sheetFormatPr defaultColWidth="9.140625" defaultRowHeight="15" x14ac:dyDescent="0.25"/>
  <cols>
    <col min="1" max="16384" width="9.140625" style="13"/>
  </cols>
  <sheetData>
    <row r="1" spans="1:14" ht="23.25" x14ac:dyDescent="0.35">
      <c r="A1" s="1" t="s">
        <v>0</v>
      </c>
    </row>
    <row r="2" spans="1:14" ht="20.25" thickBo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44</v>
      </c>
      <c r="F2" s="2" t="s">
        <v>5</v>
      </c>
      <c r="G2" s="2"/>
      <c r="H2" s="2"/>
    </row>
    <row r="3" spans="1:14" ht="15.75" thickTop="1" x14ac:dyDescent="0.25">
      <c r="A3" s="13">
        <v>1</v>
      </c>
      <c r="B3" s="13" t="s">
        <v>6</v>
      </c>
      <c r="C3" s="13">
        <v>429.3</v>
      </c>
      <c r="D3" s="13">
        <v>143.9</v>
      </c>
      <c r="E3" s="13">
        <v>0.79200000000000004</v>
      </c>
      <c r="F3" s="13" t="s">
        <v>11</v>
      </c>
    </row>
    <row r="4" spans="1:14" x14ac:dyDescent="0.25">
      <c r="A4" s="13">
        <v>2</v>
      </c>
      <c r="B4" s="13" t="s">
        <v>7</v>
      </c>
      <c r="C4" s="13">
        <v>320</v>
      </c>
      <c r="D4" s="13">
        <v>173.43799999999999</v>
      </c>
      <c r="E4" s="13">
        <v>0.88219999999999998</v>
      </c>
      <c r="F4" s="13" t="s">
        <v>12</v>
      </c>
    </row>
    <row r="5" spans="1:14" x14ac:dyDescent="0.25">
      <c r="A5" s="13">
        <v>3</v>
      </c>
      <c r="B5" s="13" t="s">
        <v>8</v>
      </c>
      <c r="C5" s="13" t="s">
        <v>10</v>
      </c>
      <c r="D5" s="13">
        <v>350</v>
      </c>
      <c r="E5" s="13">
        <v>0.8</v>
      </c>
      <c r="F5" s="13" t="s">
        <v>13</v>
      </c>
    </row>
    <row r="6" spans="1:14" x14ac:dyDescent="0.25">
      <c r="A6" s="13">
        <v>4</v>
      </c>
      <c r="B6" s="13" t="s">
        <v>9</v>
      </c>
      <c r="C6" s="13" t="s">
        <v>10</v>
      </c>
      <c r="D6" s="13">
        <v>280</v>
      </c>
      <c r="E6" s="13">
        <v>0.79</v>
      </c>
      <c r="F6" s="13" t="s">
        <v>14</v>
      </c>
    </row>
    <row r="8" spans="1:14" ht="20.25" thickBot="1" x14ac:dyDescent="0.35">
      <c r="A8" s="2" t="s">
        <v>17</v>
      </c>
      <c r="B8" s="2"/>
      <c r="C8" s="2"/>
      <c r="D8" s="2" t="s">
        <v>18</v>
      </c>
      <c r="E8" s="2"/>
      <c r="F8" s="2"/>
      <c r="G8" s="2" t="s">
        <v>19</v>
      </c>
      <c r="H8" s="2"/>
    </row>
    <row r="9" spans="1:14" ht="18.75" thickTop="1" thickBot="1" x14ac:dyDescent="0.35">
      <c r="A9" s="3" t="s">
        <v>1</v>
      </c>
      <c r="B9" s="3" t="s">
        <v>15</v>
      </c>
      <c r="C9" s="3" t="s">
        <v>3</v>
      </c>
      <c r="D9" s="3" t="s">
        <v>4</v>
      </c>
      <c r="E9" s="3" t="s">
        <v>16</v>
      </c>
      <c r="F9" s="3" t="s">
        <v>44</v>
      </c>
      <c r="G9" s="3" t="s">
        <v>20</v>
      </c>
      <c r="H9" s="3" t="s">
        <v>21</v>
      </c>
    </row>
    <row r="10" spans="1:14" ht="15.75" thickTop="1" x14ac:dyDescent="0.25">
      <c r="A10" s="13">
        <v>1</v>
      </c>
      <c r="B10" s="13" t="s">
        <v>6</v>
      </c>
      <c r="C10" s="13">
        <f>C3</f>
        <v>429.3</v>
      </c>
      <c r="D10" s="14">
        <f>D3</f>
        <v>143.9</v>
      </c>
      <c r="E10" s="14">
        <f>TAN(ACOS(F10))*D10</f>
        <v>110.92674835062502</v>
      </c>
      <c r="F10" s="13">
        <f>E3</f>
        <v>0.79200000000000004</v>
      </c>
      <c r="G10" s="13">
        <f>0.7*D10</f>
        <v>100.73</v>
      </c>
      <c r="H10" s="13">
        <f>0.7*E10</f>
        <v>77.648723845437502</v>
      </c>
    </row>
    <row r="11" spans="1:14" x14ac:dyDescent="0.25">
      <c r="A11" s="13">
        <v>2</v>
      </c>
      <c r="B11" s="13" t="s">
        <v>7</v>
      </c>
      <c r="C11" s="13">
        <f>C4</f>
        <v>320</v>
      </c>
      <c r="D11" s="14">
        <f t="shared" ref="D11:D13" si="0">D4</f>
        <v>173.43799999999999</v>
      </c>
      <c r="E11" s="14">
        <f t="shared" ref="E11:E13" si="1">TAN(ACOS(F11))*D11</f>
        <v>92.572657897870087</v>
      </c>
      <c r="F11" s="13">
        <f t="shared" ref="F11:F13" si="2">E4</f>
        <v>0.88219999999999998</v>
      </c>
      <c r="G11" s="14">
        <f>D11</f>
        <v>173.43799999999999</v>
      </c>
      <c r="H11" s="14">
        <f>E11</f>
        <v>92.572657897870087</v>
      </c>
    </row>
    <row r="12" spans="1:14" x14ac:dyDescent="0.25">
      <c r="A12" s="13">
        <v>3</v>
      </c>
      <c r="B12" s="13" t="s">
        <v>8</v>
      </c>
      <c r="C12" s="13" t="s">
        <v>10</v>
      </c>
      <c r="D12" s="14">
        <f t="shared" si="0"/>
        <v>350</v>
      </c>
      <c r="E12" s="14">
        <f t="shared" si="1"/>
        <v>262.49999999999994</v>
      </c>
      <c r="F12" s="13">
        <f t="shared" si="2"/>
        <v>0.8</v>
      </c>
      <c r="G12" s="13">
        <f>0.6*D12</f>
        <v>210</v>
      </c>
      <c r="H12" s="13">
        <f>0.6*E12</f>
        <v>157.49999999999997</v>
      </c>
    </row>
    <row r="13" spans="1:14" x14ac:dyDescent="0.25">
      <c r="A13" s="13">
        <v>4</v>
      </c>
      <c r="B13" s="13" t="s">
        <v>9</v>
      </c>
      <c r="C13" s="13" t="s">
        <v>10</v>
      </c>
      <c r="D13" s="14">
        <f t="shared" si="0"/>
        <v>280</v>
      </c>
      <c r="E13" s="14">
        <f t="shared" si="1"/>
        <v>217.30369092007152</v>
      </c>
      <c r="F13" s="13">
        <f t="shared" si="2"/>
        <v>0.79</v>
      </c>
      <c r="G13" s="13" t="s">
        <v>10</v>
      </c>
      <c r="H13" s="13" t="s">
        <v>10</v>
      </c>
    </row>
    <row r="15" spans="1:14" ht="23.25" x14ac:dyDescent="0.35">
      <c r="A15" s="1" t="s">
        <v>72</v>
      </c>
    </row>
    <row r="16" spans="1:14" ht="20.25" thickBot="1" x14ac:dyDescent="0.35">
      <c r="A16" s="2" t="s">
        <v>39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8.75" thickTop="1" thickBot="1" x14ac:dyDescent="0.35">
      <c r="A17" s="3" t="s">
        <v>40</v>
      </c>
      <c r="B17" s="3"/>
      <c r="C17" s="3"/>
      <c r="D17" s="3"/>
      <c r="E17" s="3"/>
      <c r="F17" s="3"/>
      <c r="G17" s="10" t="s">
        <v>18</v>
      </c>
      <c r="H17" s="10"/>
      <c r="I17" s="10"/>
      <c r="J17" s="10"/>
      <c r="K17" s="3" t="s">
        <v>19</v>
      </c>
      <c r="L17" s="3"/>
      <c r="M17" s="3"/>
      <c r="N17" s="3"/>
    </row>
    <row r="18" spans="1:14" ht="70.5" thickTop="1" thickBot="1" x14ac:dyDescent="0.35">
      <c r="A18" s="6" t="s">
        <v>38</v>
      </c>
      <c r="B18" s="5" t="s">
        <v>24</v>
      </c>
      <c r="C18" s="5" t="s">
        <v>23</v>
      </c>
      <c r="D18" s="5" t="s">
        <v>46</v>
      </c>
      <c r="E18" s="7" t="s">
        <v>29</v>
      </c>
      <c r="F18" s="9" t="s">
        <v>30</v>
      </c>
      <c r="G18" s="11" t="s">
        <v>36</v>
      </c>
      <c r="H18" s="11" t="s">
        <v>37</v>
      </c>
      <c r="I18" s="11" t="s">
        <v>22</v>
      </c>
      <c r="J18" s="11" t="s">
        <v>44</v>
      </c>
      <c r="K18" s="6" t="s">
        <v>36</v>
      </c>
      <c r="L18" s="6" t="s">
        <v>37</v>
      </c>
      <c r="M18" s="6" t="s">
        <v>22</v>
      </c>
      <c r="N18" s="6" t="s">
        <v>44</v>
      </c>
    </row>
    <row r="19" spans="1:14" x14ac:dyDescent="0.25">
      <c r="A19" s="15" t="s">
        <v>27</v>
      </c>
      <c r="B19" s="13" t="s">
        <v>25</v>
      </c>
      <c r="C19" s="13">
        <v>320</v>
      </c>
      <c r="D19" s="13">
        <v>0.91</v>
      </c>
      <c r="E19" s="13" t="s">
        <v>33</v>
      </c>
      <c r="F19" s="13" t="s">
        <v>32</v>
      </c>
      <c r="G19" s="16">
        <f>C25</f>
        <v>523.43799999999999</v>
      </c>
      <c r="H19" s="16">
        <f t="shared" ref="G19:J20" si="3">D25</f>
        <v>355.07265789787004</v>
      </c>
      <c r="I19" s="16">
        <f t="shared" si="3"/>
        <v>632.50607288045694</v>
      </c>
      <c r="J19" s="16">
        <f t="shared" si="3"/>
        <v>0.82756201472697843</v>
      </c>
      <c r="K19" s="14">
        <f t="shared" ref="K19:N20" si="4">D35</f>
        <v>624.16800000000001</v>
      </c>
      <c r="L19" s="14">
        <f t="shared" si="4"/>
        <v>432.72138174330757</v>
      </c>
      <c r="M19" s="14">
        <f t="shared" si="4"/>
        <v>759.69041631480036</v>
      </c>
      <c r="N19" s="14">
        <f t="shared" si="4"/>
        <v>0.82160836387510439</v>
      </c>
    </row>
    <row r="20" spans="1:14" x14ac:dyDescent="0.25">
      <c r="A20" s="15" t="s">
        <v>28</v>
      </c>
      <c r="B20" s="13" t="s">
        <v>26</v>
      </c>
      <c r="C20" s="13">
        <v>160</v>
      </c>
      <c r="D20" s="13">
        <v>0.91</v>
      </c>
      <c r="E20" s="13" t="s">
        <v>32</v>
      </c>
      <c r="F20" s="13">
        <v>2</v>
      </c>
      <c r="G20" s="16">
        <f t="shared" si="3"/>
        <v>423.9</v>
      </c>
      <c r="H20" s="16">
        <f t="shared" si="3"/>
        <v>328.23043927069654</v>
      </c>
      <c r="I20" s="16">
        <f t="shared" si="3"/>
        <v>536.12165714866842</v>
      </c>
      <c r="J20" s="16">
        <f t="shared" si="3"/>
        <v>0.79067874678759897</v>
      </c>
      <c r="K20" s="14">
        <f>D36</f>
        <v>807.33799999999997</v>
      </c>
      <c r="L20" s="14">
        <f t="shared" si="4"/>
        <v>578.30309716856664</v>
      </c>
      <c r="M20" s="14">
        <f t="shared" si="4"/>
        <v>993.90002499942784</v>
      </c>
      <c r="N20" s="14">
        <f t="shared" si="4"/>
        <v>0.81229296679056295</v>
      </c>
    </row>
    <row r="23" spans="1:14" ht="20.25" thickBot="1" x14ac:dyDescent="0.35">
      <c r="A23" s="2" t="s">
        <v>31</v>
      </c>
      <c r="B23" s="2"/>
      <c r="C23" s="2"/>
      <c r="D23" s="2"/>
      <c r="E23" s="2"/>
      <c r="F23" s="2"/>
    </row>
    <row r="24" spans="1:14" ht="70.5" thickTop="1" thickBot="1" x14ac:dyDescent="0.35">
      <c r="A24" s="3" t="s">
        <v>38</v>
      </c>
      <c r="B24" s="7" t="s">
        <v>29</v>
      </c>
      <c r="C24" s="7" t="s">
        <v>36</v>
      </c>
      <c r="D24" s="9" t="s">
        <v>37</v>
      </c>
      <c r="E24" s="7" t="s">
        <v>22</v>
      </c>
      <c r="F24" s="7" t="s">
        <v>45</v>
      </c>
    </row>
    <row r="25" spans="1:14" ht="15.75" thickTop="1" x14ac:dyDescent="0.25">
      <c r="A25" s="15" t="s">
        <v>27</v>
      </c>
      <c r="B25" s="13" t="s">
        <v>33</v>
      </c>
      <c r="C25" s="14">
        <v>523.43799999999999</v>
      </c>
      <c r="D25" s="14">
        <v>355.07265789787004</v>
      </c>
      <c r="E25" s="14">
        <v>632.50607288045694</v>
      </c>
      <c r="F25" s="13">
        <v>0.82756201472697843</v>
      </c>
    </row>
    <row r="26" spans="1:14" x14ac:dyDescent="0.25">
      <c r="A26" s="15" t="s">
        <v>28</v>
      </c>
      <c r="B26" s="13" t="s">
        <v>32</v>
      </c>
      <c r="C26" s="14">
        <v>423.9</v>
      </c>
      <c r="D26" s="14">
        <v>328.23043927069654</v>
      </c>
      <c r="E26" s="14">
        <v>536.12165714866842</v>
      </c>
      <c r="F26" s="13">
        <v>0.79067874678759897</v>
      </c>
    </row>
    <row r="28" spans="1:14" ht="20.25" thickBot="1" x14ac:dyDescent="0.35">
      <c r="A28" s="2" t="s">
        <v>34</v>
      </c>
      <c r="B28" s="2"/>
      <c r="C28" s="2"/>
      <c r="D28" s="2"/>
      <c r="E28" s="2"/>
      <c r="F28" s="2"/>
    </row>
    <row r="29" spans="1:14" ht="70.5" thickTop="1" thickBot="1" x14ac:dyDescent="0.35">
      <c r="A29" s="3" t="s">
        <v>38</v>
      </c>
      <c r="B29" s="9" t="s">
        <v>30</v>
      </c>
      <c r="C29" s="7" t="s">
        <v>36</v>
      </c>
      <c r="D29" s="9" t="s">
        <v>37</v>
      </c>
      <c r="E29" s="7" t="s">
        <v>22</v>
      </c>
      <c r="F29" s="7" t="s">
        <v>44</v>
      </c>
    </row>
    <row r="30" spans="1:14" ht="15.75" thickTop="1" x14ac:dyDescent="0.25">
      <c r="A30" s="15" t="s">
        <v>27</v>
      </c>
      <c r="B30" s="13">
        <v>1</v>
      </c>
      <c r="C30" s="13">
        <f>[1]Arkusz1!C29</f>
        <v>100.73</v>
      </c>
      <c r="D30" s="13">
        <f>[1]Arkusz1!D29</f>
        <v>77.648723845437502</v>
      </c>
      <c r="E30" s="13">
        <f>[1]Arkusz1!E29</f>
        <v>127.18434343434342</v>
      </c>
      <c r="F30" s="17">
        <f>[1]Arkusz1!F29</f>
        <v>0.79200000000000015</v>
      </c>
    </row>
    <row r="31" spans="1:14" x14ac:dyDescent="0.25">
      <c r="A31" s="15" t="s">
        <v>28</v>
      </c>
      <c r="B31" s="13" t="s">
        <v>74</v>
      </c>
      <c r="C31" s="14">
        <f>[1]Arkusz1!C30</f>
        <v>383.43799999999999</v>
      </c>
      <c r="D31" s="14">
        <f>[1]Arkusz1!D30</f>
        <v>250.07265789787004</v>
      </c>
      <c r="E31" s="13">
        <f>[1]Arkusz1!E30</f>
        <v>457.77836785075937</v>
      </c>
      <c r="F31" s="13">
        <f>[1]Arkusz1!F30</f>
        <v>0.83760620188371349</v>
      </c>
    </row>
    <row r="33" spans="1:7" ht="20.25" thickBot="1" x14ac:dyDescent="0.35">
      <c r="A33" s="2" t="s">
        <v>35</v>
      </c>
      <c r="B33" s="2"/>
      <c r="C33" s="2"/>
      <c r="D33" s="2"/>
      <c r="E33" s="2"/>
      <c r="F33" s="2"/>
      <c r="G33" s="2"/>
    </row>
    <row r="34" spans="1:7" ht="70.5" thickTop="1" thickBot="1" x14ac:dyDescent="0.35">
      <c r="A34" s="3" t="s">
        <v>38</v>
      </c>
      <c r="B34" s="7" t="s">
        <v>29</v>
      </c>
      <c r="C34" s="9" t="s">
        <v>30</v>
      </c>
      <c r="D34" s="7" t="s">
        <v>36</v>
      </c>
      <c r="E34" s="9" t="s">
        <v>37</v>
      </c>
      <c r="F34" s="7" t="s">
        <v>22</v>
      </c>
      <c r="G34" s="7" t="s">
        <v>44</v>
      </c>
    </row>
    <row r="35" spans="1:7" ht="15.75" thickTop="1" x14ac:dyDescent="0.25">
      <c r="A35" s="15" t="s">
        <v>27</v>
      </c>
      <c r="B35" s="13" t="str">
        <f>[1]Arkusz1!B34</f>
        <v>2 i 3</v>
      </c>
      <c r="C35" s="13">
        <f>[1]Arkusz1!C34</f>
        <v>1</v>
      </c>
      <c r="D35" s="14">
        <f>[1]Arkusz1!D34</f>
        <v>624.16800000000001</v>
      </c>
      <c r="E35" s="14">
        <f>[1]Arkusz1!E34</f>
        <v>432.72138174330757</v>
      </c>
      <c r="F35" s="14">
        <f>[1]Arkusz1!F34</f>
        <v>759.69041631480036</v>
      </c>
      <c r="G35" s="13">
        <f>[1]Arkusz1!G34</f>
        <v>0.82160836387510439</v>
      </c>
    </row>
    <row r="36" spans="1:7" x14ac:dyDescent="0.25">
      <c r="A36" s="15" t="s">
        <v>28</v>
      </c>
      <c r="B36" s="13" t="str">
        <f>[1]Arkusz1!B35</f>
        <v>1 i 4</v>
      </c>
      <c r="C36" s="13" t="str">
        <f>[1]Arkusz1!C35</f>
        <v>2 i 3</v>
      </c>
      <c r="D36" s="14">
        <f>[1]Arkusz1!D35</f>
        <v>807.33799999999997</v>
      </c>
      <c r="E36" s="14">
        <f>[1]Arkusz1!E35</f>
        <v>578.30309716856664</v>
      </c>
      <c r="F36" s="14">
        <f>[1]Arkusz1!F35</f>
        <v>993.90002499942784</v>
      </c>
      <c r="G36" s="13">
        <f>[1]Arkusz1!G35</f>
        <v>0.81229296679056295</v>
      </c>
    </row>
    <row r="38" spans="1:7" ht="23.25" x14ac:dyDescent="0.35">
      <c r="A38" s="1" t="s">
        <v>73</v>
      </c>
    </row>
    <row r="39" spans="1:7" ht="20.25" thickBot="1" x14ac:dyDescent="0.35">
      <c r="A39" s="2" t="s">
        <v>42</v>
      </c>
      <c r="B39" s="2"/>
      <c r="C39" s="2"/>
      <c r="D39" s="2"/>
      <c r="E39" s="2"/>
      <c r="F39" s="2"/>
      <c r="G39" s="2"/>
    </row>
    <row r="40" spans="1:7" ht="18.75" thickTop="1" thickBot="1" x14ac:dyDescent="0.35">
      <c r="A40" s="3" t="s">
        <v>38</v>
      </c>
      <c r="B40" s="3" t="s">
        <v>4</v>
      </c>
      <c r="C40" s="3" t="s">
        <v>47</v>
      </c>
      <c r="D40" s="3" t="s">
        <v>48</v>
      </c>
      <c r="E40" s="3" t="s">
        <v>49</v>
      </c>
      <c r="F40" s="3" t="s">
        <v>50</v>
      </c>
      <c r="G40" s="3" t="s">
        <v>41</v>
      </c>
    </row>
    <row r="41" spans="1:7" ht="15.75" thickTop="1" x14ac:dyDescent="0.25">
      <c r="A41" s="13" t="s">
        <v>27</v>
      </c>
      <c r="B41" s="14">
        <f>C25</f>
        <v>523.43799999999999</v>
      </c>
      <c r="C41" s="13">
        <f>F25</f>
        <v>0.82756201472697843</v>
      </c>
      <c r="D41" s="13">
        <f>D19</f>
        <v>0.91</v>
      </c>
      <c r="E41" s="13">
        <f>SQRT(1-C41^2)/C41</f>
        <v>0.67834711636883471</v>
      </c>
      <c r="F41" s="13">
        <f>SQRT(1-D41^2)/D41</f>
        <v>0.45561346025555771</v>
      </c>
      <c r="G41" s="18">
        <f>B41*(E41-F41)</f>
        <v>116.58725948862148</v>
      </c>
    </row>
    <row r="42" spans="1:7" x14ac:dyDescent="0.25">
      <c r="A42" s="13" t="s">
        <v>28</v>
      </c>
      <c r="B42" s="14">
        <f>C26</f>
        <v>423.9</v>
      </c>
      <c r="C42" s="13">
        <f>F26</f>
        <v>0.79067874678759897</v>
      </c>
      <c r="D42" s="13">
        <f>D20</f>
        <v>0.91</v>
      </c>
      <c r="E42" s="13">
        <f>SQRT(1-C42^2)/C42</f>
        <v>0.77431101502877231</v>
      </c>
      <c r="F42" s="13">
        <f>SQRT(1-D42^2)/D42</f>
        <v>0.45561346025555771</v>
      </c>
      <c r="G42" s="19">
        <f>B42*(E42-F42)</f>
        <v>135.09589346836566</v>
      </c>
    </row>
    <row r="44" spans="1:7" ht="20.25" thickBot="1" x14ac:dyDescent="0.35">
      <c r="A44" s="2" t="s">
        <v>43</v>
      </c>
      <c r="B44" s="2"/>
      <c r="C44" s="2"/>
      <c r="D44" s="2"/>
      <c r="E44" s="2"/>
      <c r="F44" s="2"/>
      <c r="G44" s="2"/>
    </row>
    <row r="45" spans="1:7" ht="18.75" thickTop="1" thickBot="1" x14ac:dyDescent="0.35">
      <c r="A45" s="3" t="s">
        <v>38</v>
      </c>
      <c r="B45" s="3" t="s">
        <v>4</v>
      </c>
      <c r="C45" s="3" t="s">
        <v>47</v>
      </c>
      <c r="D45" s="3" t="s">
        <v>48</v>
      </c>
      <c r="E45" s="3" t="s">
        <v>49</v>
      </c>
      <c r="F45" s="3" t="s">
        <v>50</v>
      </c>
      <c r="G45" s="3" t="s">
        <v>41</v>
      </c>
    </row>
    <row r="46" spans="1:7" ht="15.75" thickTop="1" x14ac:dyDescent="0.25">
      <c r="A46" s="13" t="s">
        <v>27</v>
      </c>
      <c r="B46" s="14">
        <f>D35</f>
        <v>624.16800000000001</v>
      </c>
      <c r="C46" s="13">
        <f>G35</f>
        <v>0.82160836387510439</v>
      </c>
      <c r="D46" s="13">
        <f>D19</f>
        <v>0.91</v>
      </c>
      <c r="E46" s="13">
        <f>SQRT(1-C46^2)/C46</f>
        <v>0.69382492673097018</v>
      </c>
      <c r="F46" s="13">
        <f>SQRT(1-D46^2)/D46</f>
        <v>0.45561346025555771</v>
      </c>
      <c r="G46" s="18">
        <f>B46*(E46-F46)</f>
        <v>148.68397460702525</v>
      </c>
    </row>
    <row r="47" spans="1:7" x14ac:dyDescent="0.25">
      <c r="A47" s="13" t="s">
        <v>28</v>
      </c>
      <c r="B47" s="14">
        <f>D36</f>
        <v>807.33799999999997</v>
      </c>
      <c r="C47" s="13">
        <f>G36</f>
        <v>0.81229296679056295</v>
      </c>
      <c r="D47" s="13">
        <f>D20</f>
        <v>0.91</v>
      </c>
      <c r="E47" s="13">
        <f>SQRT(1-C47^2)/C47</f>
        <v>0.71802866491462503</v>
      </c>
      <c r="F47" s="13">
        <f>SQRT(1-D47^2)/D47</f>
        <v>0.45561346025555771</v>
      </c>
      <c r="G47" s="19">
        <f>B47*(E47-F47)</f>
        <v>211.85776649904207</v>
      </c>
    </row>
    <row r="49" spans="1:11" ht="20.25" thickBot="1" x14ac:dyDescent="0.35">
      <c r="A49" s="20" t="s">
        <v>75</v>
      </c>
      <c r="B49" s="20"/>
      <c r="C49" s="20"/>
      <c r="D49" s="20"/>
      <c r="E49" s="20"/>
      <c r="F49" s="20"/>
      <c r="G49" s="20"/>
      <c r="H49" s="19"/>
    </row>
    <row r="50" spans="1:11" ht="70.5" thickTop="1" thickBot="1" x14ac:dyDescent="0.35">
      <c r="A50" s="3" t="s">
        <v>54</v>
      </c>
      <c r="B50" s="3" t="s">
        <v>55</v>
      </c>
      <c r="C50" s="7" t="s">
        <v>60</v>
      </c>
      <c r="D50" s="7" t="s">
        <v>61</v>
      </c>
      <c r="E50" s="3" t="s">
        <v>56</v>
      </c>
      <c r="F50" s="3" t="s">
        <v>57</v>
      </c>
      <c r="G50" s="3" t="s">
        <v>58</v>
      </c>
      <c r="K50" s="18"/>
    </row>
    <row r="51" spans="1:11" ht="15.75" thickTop="1" x14ac:dyDescent="0.25">
      <c r="A51" s="13" t="s">
        <v>59</v>
      </c>
      <c r="B51" s="13" t="s">
        <v>76</v>
      </c>
      <c r="C51" s="13">
        <v>162.5</v>
      </c>
      <c r="D51" s="13">
        <v>12.5</v>
      </c>
      <c r="E51" s="13">
        <v>5</v>
      </c>
      <c r="F51" s="13">
        <v>13</v>
      </c>
      <c r="G51" s="13" t="s">
        <v>77</v>
      </c>
    </row>
    <row r="53" spans="1:11" ht="20.25" thickBot="1" x14ac:dyDescent="0.35">
      <c r="A53" s="20" t="s">
        <v>78</v>
      </c>
      <c r="B53" s="20"/>
      <c r="C53" s="20"/>
      <c r="D53" s="20"/>
      <c r="E53" s="20"/>
      <c r="F53" s="20"/>
      <c r="G53" s="20"/>
      <c r="H53" s="19"/>
    </row>
    <row r="54" spans="1:11" ht="70.5" thickTop="1" thickBot="1" x14ac:dyDescent="0.35">
      <c r="A54" s="3" t="s">
        <v>54</v>
      </c>
      <c r="B54" s="3" t="s">
        <v>55</v>
      </c>
      <c r="C54" s="7" t="s">
        <v>60</v>
      </c>
      <c r="D54" s="7" t="s">
        <v>61</v>
      </c>
      <c r="E54" s="3" t="s">
        <v>56</v>
      </c>
      <c r="F54" s="3" t="s">
        <v>57</v>
      </c>
      <c r="G54" s="3" t="s">
        <v>58</v>
      </c>
    </row>
    <row r="55" spans="1:11" ht="15.75" thickTop="1" x14ac:dyDescent="0.25">
      <c r="A55" s="13" t="s">
        <v>59</v>
      </c>
      <c r="B55" s="13" t="s">
        <v>79</v>
      </c>
      <c r="C55" s="13">
        <v>237.5</v>
      </c>
      <c r="D55" s="13">
        <v>12.5</v>
      </c>
      <c r="E55" s="13">
        <v>6</v>
      </c>
      <c r="F55" s="13">
        <v>19</v>
      </c>
      <c r="G55" s="13" t="s">
        <v>68</v>
      </c>
    </row>
    <row r="57" spans="1:11" ht="20.25" thickBot="1" x14ac:dyDescent="0.35">
      <c r="A57" s="21" t="s">
        <v>80</v>
      </c>
      <c r="B57" s="21"/>
      <c r="C57" s="21"/>
      <c r="D57" s="21"/>
      <c r="E57" s="21"/>
      <c r="F57" s="21"/>
      <c r="G57" s="21"/>
    </row>
    <row r="58" spans="1:11" ht="70.5" thickTop="1" thickBot="1" x14ac:dyDescent="0.35">
      <c r="A58" s="3" t="s">
        <v>54</v>
      </c>
      <c r="B58" s="3" t="s">
        <v>55</v>
      </c>
      <c r="C58" s="7" t="s">
        <v>60</v>
      </c>
      <c r="D58" s="7" t="s">
        <v>61</v>
      </c>
      <c r="E58" s="3" t="s">
        <v>56</v>
      </c>
      <c r="F58" s="3" t="s">
        <v>57</v>
      </c>
      <c r="G58" s="3" t="s">
        <v>58</v>
      </c>
    </row>
    <row r="59" spans="1:11" ht="15.75" thickTop="1" x14ac:dyDescent="0.25">
      <c r="A59" s="13" t="s">
        <v>59</v>
      </c>
      <c r="B59" s="13" t="s">
        <v>81</v>
      </c>
      <c r="C59" s="13">
        <v>170</v>
      </c>
      <c r="D59" s="13">
        <v>10</v>
      </c>
      <c r="E59" s="13">
        <v>6</v>
      </c>
      <c r="F59" s="13">
        <v>17</v>
      </c>
      <c r="G59" s="13" t="s">
        <v>68</v>
      </c>
    </row>
    <row r="61" spans="1:11" ht="20.25" thickBot="1" x14ac:dyDescent="0.35">
      <c r="A61" s="2" t="s">
        <v>62</v>
      </c>
      <c r="B61" s="2"/>
      <c r="C61" s="2"/>
      <c r="D61" s="2"/>
      <c r="E61" s="2"/>
      <c r="F61" s="2"/>
      <c r="G61" s="2"/>
      <c r="H61" s="2"/>
      <c r="I61" s="2"/>
      <c r="J61" s="2"/>
    </row>
    <row r="62" spans="1:11" ht="70.5" thickTop="1" thickBot="1" x14ac:dyDescent="0.35">
      <c r="A62" s="3" t="s">
        <v>38</v>
      </c>
      <c r="B62" s="7" t="s">
        <v>29</v>
      </c>
      <c r="C62" s="7" t="s">
        <v>36</v>
      </c>
      <c r="D62" s="9" t="s">
        <v>37</v>
      </c>
      <c r="E62" s="7" t="s">
        <v>22</v>
      </c>
      <c r="F62" s="7" t="s">
        <v>45</v>
      </c>
      <c r="G62" s="9" t="s">
        <v>41</v>
      </c>
      <c r="H62" s="9" t="s">
        <v>69</v>
      </c>
      <c r="I62" s="9" t="s">
        <v>70</v>
      </c>
      <c r="J62" s="9" t="s">
        <v>71</v>
      </c>
    </row>
    <row r="63" spans="1:11" ht="15.75" thickTop="1" x14ac:dyDescent="0.25">
      <c r="A63" s="15" t="s">
        <v>27</v>
      </c>
      <c r="B63" s="13" t="s">
        <v>52</v>
      </c>
      <c r="C63" s="14">
        <f>C25</f>
        <v>523.43799999999999</v>
      </c>
      <c r="D63" s="14">
        <f>D25</f>
        <v>355.07265789787004</v>
      </c>
      <c r="E63" s="14">
        <f t="shared" ref="D63:F64" si="5">E25</f>
        <v>632.50607288045694</v>
      </c>
      <c r="F63" s="14">
        <f t="shared" si="5"/>
        <v>0.82756201472697843</v>
      </c>
      <c r="G63" s="14">
        <f>G41</f>
        <v>116.58725948862148</v>
      </c>
      <c r="H63" s="14">
        <f>C59-D59</f>
        <v>160</v>
      </c>
      <c r="I63" s="13">
        <f>SQRT(C63^2+(D63-H63)^2)</f>
        <v>558.60601652984315</v>
      </c>
      <c r="J63" s="13">
        <f>C63/I63</f>
        <v>0.93704325501484398</v>
      </c>
    </row>
    <row r="64" spans="1:11" x14ac:dyDescent="0.25">
      <c r="A64" s="15" t="s">
        <v>28</v>
      </c>
      <c r="B64" s="13" t="s">
        <v>51</v>
      </c>
      <c r="C64" s="14">
        <f>C26</f>
        <v>423.9</v>
      </c>
      <c r="D64" s="14">
        <f t="shared" si="5"/>
        <v>328.23043927069654</v>
      </c>
      <c r="E64" s="14">
        <f t="shared" si="5"/>
        <v>536.12165714866842</v>
      </c>
      <c r="F64" s="14">
        <f t="shared" si="5"/>
        <v>0.79067874678759897</v>
      </c>
      <c r="G64" s="14">
        <f>G42</f>
        <v>135.09589346836566</v>
      </c>
      <c r="H64" s="14">
        <f>C51-2*D51</f>
        <v>137.5</v>
      </c>
      <c r="I64" s="13">
        <f>SQRT(C64^2+(D64-H64)^2)</f>
        <v>464.83256175142554</v>
      </c>
      <c r="J64" s="13">
        <f>C64/I64</f>
        <v>0.91194127709729011</v>
      </c>
    </row>
    <row r="66" spans="1:11" ht="20.25" thickBot="1" x14ac:dyDescent="0.35">
      <c r="A66" s="2" t="s">
        <v>35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ht="70.5" thickTop="1" thickBot="1" x14ac:dyDescent="0.35">
      <c r="A67" s="3" t="s">
        <v>38</v>
      </c>
      <c r="B67" s="7" t="s">
        <v>29</v>
      </c>
      <c r="C67" s="9" t="s">
        <v>30</v>
      </c>
      <c r="D67" s="7" t="s">
        <v>36</v>
      </c>
      <c r="E67" s="9" t="s">
        <v>37</v>
      </c>
      <c r="F67" s="7" t="s">
        <v>22</v>
      </c>
      <c r="G67" s="7" t="s">
        <v>44</v>
      </c>
      <c r="H67" s="9" t="s">
        <v>41</v>
      </c>
      <c r="I67" s="9" t="s">
        <v>69</v>
      </c>
      <c r="J67" s="9" t="s">
        <v>70</v>
      </c>
      <c r="K67" s="3" t="s">
        <v>71</v>
      </c>
    </row>
    <row r="68" spans="1:11" ht="15.75" thickTop="1" x14ac:dyDescent="0.25">
      <c r="A68" s="15" t="s">
        <v>27</v>
      </c>
      <c r="B68" s="13" t="s">
        <v>52</v>
      </c>
      <c r="C68" s="13">
        <v>1</v>
      </c>
      <c r="D68" s="14">
        <f>D35</f>
        <v>624.16800000000001</v>
      </c>
      <c r="E68" s="14">
        <f t="shared" ref="E68:G69" si="6">E35</f>
        <v>432.72138174330757</v>
      </c>
      <c r="F68" s="14">
        <f t="shared" si="6"/>
        <v>759.69041631480036</v>
      </c>
      <c r="G68" s="14">
        <f t="shared" si="6"/>
        <v>0.82160836387510439</v>
      </c>
      <c r="H68" s="14">
        <f>G46</f>
        <v>148.68397460702525</v>
      </c>
      <c r="I68" s="14">
        <f>C59-2*D59</f>
        <v>150</v>
      </c>
      <c r="J68" s="13">
        <f>SQRT(D68^2+(E68-I68)^2)</f>
        <v>685.21315801642709</v>
      </c>
      <c r="K68" s="13">
        <f>D68/J68</f>
        <v>0.91091070376823735</v>
      </c>
    </row>
    <row r="69" spans="1:11" x14ac:dyDescent="0.25">
      <c r="A69" s="15" t="s">
        <v>28</v>
      </c>
      <c r="B69" s="13" t="s">
        <v>51</v>
      </c>
      <c r="C69" s="13" t="s">
        <v>52</v>
      </c>
      <c r="D69" s="14">
        <f>D36</f>
        <v>807.33799999999997</v>
      </c>
      <c r="E69" s="14">
        <f t="shared" si="6"/>
        <v>578.30309716856664</v>
      </c>
      <c r="F69" s="14">
        <f t="shared" si="6"/>
        <v>993.90002499942784</v>
      </c>
      <c r="G69" s="14">
        <f t="shared" si="6"/>
        <v>0.81229296679056295</v>
      </c>
      <c r="H69" s="14">
        <f>G47</f>
        <v>211.85776649904207</v>
      </c>
      <c r="I69" s="14">
        <f>C55-D55</f>
        <v>225</v>
      </c>
      <c r="J69" s="13">
        <f>SQRT(D69^2+(E69-I69)^2)</f>
        <v>881.25917000216327</v>
      </c>
      <c r="K69" s="13">
        <f>D69/J69</f>
        <v>0.91611869411585034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B2B-B66C-4688-BC36-BD304341F38E}">
  <dimension ref="A1:N45"/>
  <sheetViews>
    <sheetView topLeftCell="A7" workbookViewId="0">
      <selection activeCell="A35" sqref="A35"/>
    </sheetView>
  </sheetViews>
  <sheetFormatPr defaultRowHeight="15" x14ac:dyDescent="0.25"/>
  <cols>
    <col min="2" max="2" width="13.7109375" customWidth="1"/>
    <col min="3" max="3" width="14.7109375" bestFit="1" customWidth="1"/>
    <col min="5" max="5" width="16.28515625" customWidth="1"/>
    <col min="6" max="6" width="17.140625" customWidth="1"/>
    <col min="7" max="7" width="10.28515625" customWidth="1"/>
    <col min="8" max="8" width="14.5703125" bestFit="1" customWidth="1"/>
    <col min="9" max="9" width="13.140625" bestFit="1" customWidth="1"/>
    <col min="10" max="10" width="12" bestFit="1" customWidth="1"/>
  </cols>
  <sheetData>
    <row r="1" spans="1:12" ht="23.25" x14ac:dyDescent="0.35">
      <c r="A1" s="1" t="s">
        <v>0</v>
      </c>
    </row>
    <row r="2" spans="1:12" ht="20.25" thickBo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44</v>
      </c>
      <c r="F2" s="2" t="s">
        <v>5</v>
      </c>
      <c r="G2" s="2"/>
      <c r="H2" s="2"/>
    </row>
    <row r="3" spans="1:12" ht="15.75" thickTop="1" x14ac:dyDescent="0.25">
      <c r="A3">
        <v>1</v>
      </c>
      <c r="B3" t="s">
        <v>6</v>
      </c>
      <c r="C3">
        <v>429.3</v>
      </c>
      <c r="D3">
        <v>143.9</v>
      </c>
      <c r="E3">
        <v>0.79200000000000004</v>
      </c>
      <c r="F3" t="s">
        <v>11</v>
      </c>
    </row>
    <row r="4" spans="1:12" x14ac:dyDescent="0.25">
      <c r="A4">
        <v>2</v>
      </c>
      <c r="B4" t="s">
        <v>7</v>
      </c>
      <c r="C4">
        <v>320</v>
      </c>
      <c r="D4">
        <v>173.43799999999999</v>
      </c>
      <c r="E4">
        <v>0.88219999999999998</v>
      </c>
      <c r="F4" t="s">
        <v>12</v>
      </c>
    </row>
    <row r="5" spans="1:12" x14ac:dyDescent="0.25">
      <c r="A5">
        <v>3</v>
      </c>
      <c r="B5" t="s">
        <v>8</v>
      </c>
      <c r="C5" t="s">
        <v>10</v>
      </c>
      <c r="D5">
        <v>350</v>
      </c>
      <c r="E5">
        <v>0.8</v>
      </c>
      <c r="F5" t="s">
        <v>13</v>
      </c>
    </row>
    <row r="6" spans="1:12" x14ac:dyDescent="0.25">
      <c r="A6">
        <v>4</v>
      </c>
      <c r="B6" t="s">
        <v>9</v>
      </c>
      <c r="C6" t="s">
        <v>10</v>
      </c>
      <c r="D6">
        <v>280</v>
      </c>
      <c r="E6">
        <v>0.79</v>
      </c>
      <c r="F6" t="s">
        <v>14</v>
      </c>
    </row>
    <row r="8" spans="1:12" ht="20.25" thickBot="1" x14ac:dyDescent="0.35">
      <c r="A8" s="2" t="s">
        <v>17</v>
      </c>
      <c r="B8" s="2"/>
      <c r="C8" s="2"/>
      <c r="D8" s="2" t="s">
        <v>18</v>
      </c>
      <c r="E8" s="2"/>
      <c r="F8" s="2"/>
      <c r="G8" s="2" t="s">
        <v>19</v>
      </c>
      <c r="H8" s="2"/>
    </row>
    <row r="9" spans="1:12" ht="18.75" thickTop="1" thickBot="1" x14ac:dyDescent="0.35">
      <c r="A9" s="3" t="s">
        <v>1</v>
      </c>
      <c r="B9" s="3" t="s">
        <v>15</v>
      </c>
      <c r="C9" s="3" t="s">
        <v>3</v>
      </c>
      <c r="D9" s="3" t="s">
        <v>4</v>
      </c>
      <c r="E9" s="3" t="s">
        <v>16</v>
      </c>
      <c r="F9" s="3" t="s">
        <v>44</v>
      </c>
      <c r="G9" s="3" t="s">
        <v>20</v>
      </c>
      <c r="H9" s="3" t="s">
        <v>21</v>
      </c>
    </row>
    <row r="10" spans="1:12" ht="15.75" thickTop="1" x14ac:dyDescent="0.25">
      <c r="A10">
        <v>1</v>
      </c>
      <c r="B10" t="s">
        <v>6</v>
      </c>
      <c r="C10">
        <f>C3</f>
        <v>429.3</v>
      </c>
      <c r="D10" s="4">
        <f>D3</f>
        <v>143.9</v>
      </c>
      <c r="E10" s="4">
        <f>TAN(ACOS(F10))*D10</f>
        <v>110.92674835062502</v>
      </c>
      <c r="F10">
        <f>E3</f>
        <v>0.79200000000000004</v>
      </c>
      <c r="G10">
        <f>0.7*D10</f>
        <v>100.73</v>
      </c>
      <c r="H10">
        <f>0.7*E10</f>
        <v>77.648723845437502</v>
      </c>
    </row>
    <row r="11" spans="1:12" x14ac:dyDescent="0.25">
      <c r="A11">
        <v>2</v>
      </c>
      <c r="B11" t="s">
        <v>7</v>
      </c>
      <c r="C11">
        <f>C4</f>
        <v>320</v>
      </c>
      <c r="D11" s="4">
        <f t="shared" ref="D11:D13" si="0">D4</f>
        <v>173.43799999999999</v>
      </c>
      <c r="E11" s="4">
        <f t="shared" ref="E11:E13" si="1">TAN(ACOS(F11))*D11</f>
        <v>92.572657897870087</v>
      </c>
      <c r="F11">
        <f t="shared" ref="F11:F13" si="2">E4</f>
        <v>0.88219999999999998</v>
      </c>
      <c r="G11" s="4">
        <f>D11</f>
        <v>173.43799999999999</v>
      </c>
      <c r="H11" s="4">
        <f>E11</f>
        <v>92.572657897870087</v>
      </c>
    </row>
    <row r="12" spans="1:12" x14ac:dyDescent="0.25">
      <c r="A12">
        <v>3</v>
      </c>
      <c r="B12" t="s">
        <v>8</v>
      </c>
      <c r="C12" t="s">
        <v>10</v>
      </c>
      <c r="D12" s="4">
        <f t="shared" si="0"/>
        <v>350</v>
      </c>
      <c r="E12" s="4">
        <f t="shared" si="1"/>
        <v>262.49999999999994</v>
      </c>
      <c r="F12">
        <f t="shared" si="2"/>
        <v>0.8</v>
      </c>
      <c r="G12">
        <f>0.6*D12</f>
        <v>210</v>
      </c>
      <c r="H12">
        <f>0.6*E12</f>
        <v>157.49999999999997</v>
      </c>
    </row>
    <row r="13" spans="1:12" x14ac:dyDescent="0.25">
      <c r="A13">
        <v>4</v>
      </c>
      <c r="B13" t="s">
        <v>9</v>
      </c>
      <c r="C13" t="s">
        <v>10</v>
      </c>
      <c r="D13" s="4">
        <f t="shared" si="0"/>
        <v>280</v>
      </c>
      <c r="E13" s="4">
        <f t="shared" si="1"/>
        <v>217.30369092007152</v>
      </c>
      <c r="F13">
        <f t="shared" si="2"/>
        <v>0.79</v>
      </c>
      <c r="G13" t="s">
        <v>10</v>
      </c>
      <c r="H13" t="s">
        <v>10</v>
      </c>
    </row>
    <row r="15" spans="1:12" ht="20.25" thickBot="1" x14ac:dyDescent="0.35">
      <c r="A15" s="2" t="s">
        <v>39</v>
      </c>
      <c r="B15" s="2"/>
      <c r="C15" s="2"/>
      <c r="D15" s="2"/>
      <c r="E15" s="2"/>
      <c r="F15" s="2"/>
      <c r="G15" s="2"/>
      <c r="H15" s="2"/>
      <c r="I15" s="2"/>
      <c r="J15" s="2"/>
    </row>
    <row r="16" spans="1:12" ht="18.75" thickTop="1" thickBot="1" x14ac:dyDescent="0.35">
      <c r="A16" s="3" t="s">
        <v>40</v>
      </c>
      <c r="B16" s="3"/>
      <c r="C16" s="3"/>
      <c r="D16" s="3"/>
      <c r="E16" s="3"/>
      <c r="F16" s="3"/>
      <c r="G16" s="3" t="s">
        <v>18</v>
      </c>
      <c r="H16" s="3"/>
      <c r="I16" s="3"/>
      <c r="J16" s="3"/>
      <c r="K16" s="3" t="s">
        <v>19</v>
      </c>
      <c r="L16" s="3"/>
    </row>
    <row r="17" spans="1:14" ht="36" thickTop="1" thickBot="1" x14ac:dyDescent="0.35">
      <c r="A17" s="6" t="s">
        <v>38</v>
      </c>
      <c r="B17" s="5" t="s">
        <v>24</v>
      </c>
      <c r="C17" s="5" t="s">
        <v>23</v>
      </c>
      <c r="D17" s="5" t="s">
        <v>46</v>
      </c>
      <c r="E17" s="7" t="s">
        <v>29</v>
      </c>
      <c r="F17" s="9" t="s">
        <v>30</v>
      </c>
      <c r="G17" s="6" t="s">
        <v>36</v>
      </c>
      <c r="H17" s="6" t="s">
        <v>37</v>
      </c>
      <c r="I17" s="6" t="s">
        <v>22</v>
      </c>
      <c r="J17" s="6" t="s">
        <v>44</v>
      </c>
      <c r="K17" s="6" t="s">
        <v>36</v>
      </c>
      <c r="L17" s="6" t="s">
        <v>37</v>
      </c>
      <c r="M17" s="6" t="s">
        <v>22</v>
      </c>
      <c r="N17" s="6" t="s">
        <v>44</v>
      </c>
    </row>
    <row r="18" spans="1:14" x14ac:dyDescent="0.25">
      <c r="A18" s="8" t="s">
        <v>27</v>
      </c>
      <c r="B18" t="s">
        <v>25</v>
      </c>
      <c r="C18">
        <v>320</v>
      </c>
      <c r="D18">
        <v>0.91</v>
      </c>
      <c r="E18" t="s">
        <v>52</v>
      </c>
      <c r="F18">
        <v>1</v>
      </c>
      <c r="G18" s="4">
        <f>C25</f>
        <v>523.43799999999999</v>
      </c>
      <c r="H18" s="4">
        <f>D25</f>
        <v>355.07265789787004</v>
      </c>
      <c r="I18" s="4">
        <f>E25</f>
        <v>634.09714350487411</v>
      </c>
      <c r="J18" s="4">
        <f>F25</f>
        <v>0.82548550385636055</v>
      </c>
      <c r="K18" s="4">
        <f>D35</f>
        <v>624.16800000000001</v>
      </c>
      <c r="L18" s="4">
        <f>E35</f>
        <v>432.72138174330757</v>
      </c>
      <c r="M18" s="4">
        <f>F35</f>
        <v>761.28148693921753</v>
      </c>
      <c r="N18" s="4">
        <f t="shared" ref="N18" si="3">G35</f>
        <v>0.81989121068674431</v>
      </c>
    </row>
    <row r="19" spans="1:14" x14ac:dyDescent="0.25">
      <c r="A19" s="8" t="s">
        <v>28</v>
      </c>
      <c r="B19" t="s">
        <v>26</v>
      </c>
      <c r="C19">
        <v>160</v>
      </c>
      <c r="D19">
        <v>0.91</v>
      </c>
      <c r="E19" t="s">
        <v>51</v>
      </c>
      <c r="F19" t="s">
        <v>52</v>
      </c>
      <c r="G19" s="4">
        <f>C24</f>
        <v>423.9</v>
      </c>
      <c r="H19" s="4">
        <f>D24</f>
        <v>328.23043927069654</v>
      </c>
      <c r="I19" s="4">
        <f>E24</f>
        <v>536.12229893875462</v>
      </c>
      <c r="J19" s="4">
        <f>F24</f>
        <v>0.79067780026889967</v>
      </c>
      <c r="K19" s="4">
        <f>D34</f>
        <v>807.33799999999997</v>
      </c>
      <c r="L19" s="4">
        <f>E34</f>
        <v>578.30309716856664</v>
      </c>
      <c r="M19" s="4">
        <f>F34</f>
        <v>995.21944244362885</v>
      </c>
      <c r="N19" s="4">
        <f>G34</f>
        <v>0.8112160650898147</v>
      </c>
    </row>
    <row r="22" spans="1:14" ht="20.25" thickBot="1" x14ac:dyDescent="0.35">
      <c r="A22" s="2" t="s">
        <v>31</v>
      </c>
      <c r="B22" s="2"/>
      <c r="C22" s="2"/>
      <c r="D22" s="2"/>
      <c r="E22" s="2"/>
      <c r="F22" s="2"/>
    </row>
    <row r="23" spans="1:14" ht="36" thickTop="1" thickBot="1" x14ac:dyDescent="0.35">
      <c r="A23" s="3" t="s">
        <v>38</v>
      </c>
      <c r="B23" s="7" t="s">
        <v>29</v>
      </c>
      <c r="C23" s="7" t="s">
        <v>36</v>
      </c>
      <c r="D23" s="9" t="s">
        <v>37</v>
      </c>
      <c r="E23" s="7" t="s">
        <v>22</v>
      </c>
      <c r="F23" s="7" t="s">
        <v>45</v>
      </c>
    </row>
    <row r="24" spans="1:14" ht="15.75" thickTop="1" x14ac:dyDescent="0.25">
      <c r="A24" s="8" t="s">
        <v>27</v>
      </c>
      <c r="B24" t="s">
        <v>51</v>
      </c>
      <c r="C24" s="4">
        <f>D10+D13</f>
        <v>423.9</v>
      </c>
      <c r="D24" s="4">
        <f>E10+E13</f>
        <v>328.23043927069654</v>
      </c>
      <c r="E24" s="4">
        <f>D10/F10+D13/F13</f>
        <v>536.12229893875462</v>
      </c>
      <c r="F24">
        <f>C24/E24</f>
        <v>0.79067780026889967</v>
      </c>
    </row>
    <row r="25" spans="1:14" x14ac:dyDescent="0.25">
      <c r="A25" s="8" t="s">
        <v>28</v>
      </c>
      <c r="B25" t="s">
        <v>52</v>
      </c>
      <c r="C25" s="4">
        <f>D11+D12</f>
        <v>523.43799999999999</v>
      </c>
      <c r="D25" s="4">
        <f>E11+E12</f>
        <v>355.07265789787004</v>
      </c>
      <c r="E25" s="4">
        <f>D11/F11+D12/F12</f>
        <v>634.09714350487411</v>
      </c>
      <c r="F25">
        <f>C25/E25</f>
        <v>0.82548550385636055</v>
      </c>
    </row>
    <row r="27" spans="1:14" ht="20.25" thickBot="1" x14ac:dyDescent="0.35">
      <c r="A27" s="2" t="s">
        <v>34</v>
      </c>
      <c r="B27" s="2"/>
      <c r="C27" s="2"/>
      <c r="D27" s="2"/>
      <c r="E27" s="2"/>
      <c r="F27" s="2"/>
    </row>
    <row r="28" spans="1:14" ht="36" thickTop="1" thickBot="1" x14ac:dyDescent="0.35">
      <c r="A28" s="3" t="s">
        <v>38</v>
      </c>
      <c r="B28" s="9" t="s">
        <v>30</v>
      </c>
      <c r="C28" s="7" t="s">
        <v>36</v>
      </c>
      <c r="D28" s="9" t="s">
        <v>37</v>
      </c>
      <c r="E28" s="7" t="s">
        <v>22</v>
      </c>
      <c r="F28" s="7" t="s">
        <v>44</v>
      </c>
    </row>
    <row r="29" spans="1:14" ht="15.75" thickTop="1" x14ac:dyDescent="0.25">
      <c r="A29" s="8" t="s">
        <v>27</v>
      </c>
      <c r="B29" t="s">
        <v>52</v>
      </c>
      <c r="C29" s="4">
        <f>G11+G12</f>
        <v>383.43799999999999</v>
      </c>
      <c r="D29" s="4">
        <f>H11+H12</f>
        <v>250.07265789787004</v>
      </c>
      <c r="E29">
        <f>G11/F11+G12/F12</f>
        <v>459.09714350487417</v>
      </c>
      <c r="F29">
        <f>C29/E29</f>
        <v>0.83520014320439584</v>
      </c>
    </row>
    <row r="30" spans="1:14" x14ac:dyDescent="0.25">
      <c r="A30" s="8" t="s">
        <v>28</v>
      </c>
      <c r="B30">
        <v>1</v>
      </c>
      <c r="C30">
        <f>G10</f>
        <v>100.73</v>
      </c>
      <c r="D30">
        <f>H10</f>
        <v>77.648723845437502</v>
      </c>
      <c r="E30">
        <f>G10/F10</f>
        <v>127.18434343434343</v>
      </c>
      <c r="F30">
        <f>C30/E30</f>
        <v>0.79200000000000004</v>
      </c>
    </row>
    <row r="32" spans="1:14" ht="20.25" thickBot="1" x14ac:dyDescent="0.35">
      <c r="A32" s="2" t="s">
        <v>35</v>
      </c>
      <c r="B32" s="2"/>
      <c r="C32" s="2"/>
      <c r="D32" s="2"/>
      <c r="E32" s="2"/>
      <c r="F32" s="2"/>
      <c r="G32" s="2"/>
    </row>
    <row r="33" spans="1:7" ht="36" thickTop="1" thickBot="1" x14ac:dyDescent="0.35">
      <c r="A33" s="3" t="s">
        <v>38</v>
      </c>
      <c r="B33" s="7" t="s">
        <v>29</v>
      </c>
      <c r="C33" s="9" t="s">
        <v>30</v>
      </c>
      <c r="D33" s="7" t="s">
        <v>36</v>
      </c>
      <c r="E33" s="9" t="s">
        <v>37</v>
      </c>
      <c r="F33" s="7" t="s">
        <v>22</v>
      </c>
      <c r="G33" s="7" t="s">
        <v>44</v>
      </c>
    </row>
    <row r="34" spans="1:7" ht="15.75" thickTop="1" x14ac:dyDescent="0.25">
      <c r="A34" s="8" t="s">
        <v>27</v>
      </c>
      <c r="B34" t="s">
        <v>51</v>
      </c>
      <c r="C34" t="s">
        <v>52</v>
      </c>
      <c r="D34" s="4">
        <f>C24+C29</f>
        <v>807.33799999999997</v>
      </c>
      <c r="E34" s="4">
        <f>D24+D29</f>
        <v>578.30309716856664</v>
      </c>
      <c r="F34" s="4">
        <f>E29+E24</f>
        <v>995.21944244362885</v>
      </c>
      <c r="G34">
        <f>D34/F34</f>
        <v>0.8112160650898147</v>
      </c>
    </row>
    <row r="35" spans="1:7" x14ac:dyDescent="0.25">
      <c r="A35" s="8" t="s">
        <v>28</v>
      </c>
      <c r="B35" t="s">
        <v>52</v>
      </c>
      <c r="C35">
        <v>1</v>
      </c>
      <c r="D35" s="4">
        <f>C25+C30</f>
        <v>624.16800000000001</v>
      </c>
      <c r="E35" s="4">
        <f>D25+D30</f>
        <v>432.72138174330757</v>
      </c>
      <c r="F35" s="4">
        <f>E30+E25</f>
        <v>761.28148693921753</v>
      </c>
      <c r="G35">
        <f>D35/F35</f>
        <v>0.81989121068674431</v>
      </c>
    </row>
    <row r="37" spans="1:7" ht="20.25" thickBot="1" x14ac:dyDescent="0.35">
      <c r="A37" s="2" t="s">
        <v>42</v>
      </c>
      <c r="B37" s="2"/>
      <c r="C37" s="2"/>
      <c r="D37" s="2"/>
      <c r="E37" s="2"/>
      <c r="F37" s="2"/>
      <c r="G37" s="2"/>
    </row>
    <row r="38" spans="1:7" ht="18.75" thickTop="1" thickBot="1" x14ac:dyDescent="0.35">
      <c r="A38" s="3" t="s">
        <v>38</v>
      </c>
      <c r="B38" s="3" t="s">
        <v>4</v>
      </c>
      <c r="C38" s="3" t="s">
        <v>47</v>
      </c>
      <c r="D38" s="3" t="s">
        <v>48</v>
      </c>
      <c r="E38" s="3" t="s">
        <v>49</v>
      </c>
      <c r="F38" s="3" t="s">
        <v>50</v>
      </c>
      <c r="G38" s="3" t="s">
        <v>41</v>
      </c>
    </row>
    <row r="39" spans="1:7" ht="15.75" thickTop="1" x14ac:dyDescent="0.25">
      <c r="A39" t="s">
        <v>27</v>
      </c>
      <c r="B39" s="4">
        <f>C25</f>
        <v>523.43799999999999</v>
      </c>
      <c r="C39">
        <f>F25</f>
        <v>0.82548550385636055</v>
      </c>
      <c r="D39">
        <f>D18</f>
        <v>0.91</v>
      </c>
      <c r="E39">
        <f>SQRT(1-C39^2)/C39</f>
        <v>0.68374709945551149</v>
      </c>
      <c r="F39">
        <f>SQRT(1-D39^2)/D39</f>
        <v>0.45561346025555771</v>
      </c>
      <c r="G39">
        <f>B39*(E39-F39)</f>
        <v>119.41381583554541</v>
      </c>
    </row>
    <row r="40" spans="1:7" x14ac:dyDescent="0.25">
      <c r="A40" t="s">
        <v>28</v>
      </c>
      <c r="B40" s="4">
        <f>C24</f>
        <v>423.9</v>
      </c>
      <c r="C40">
        <f>F24</f>
        <v>0.79067780026889967</v>
      </c>
      <c r="D40">
        <f>D19</f>
        <v>0.91</v>
      </c>
      <c r="E40">
        <f>SQRT(1-C40^2)/C40</f>
        <v>0.77431348796918276</v>
      </c>
      <c r="F40">
        <f>SQRT(1-D40^2)/D40</f>
        <v>0.45561346025555771</v>
      </c>
      <c r="G40">
        <f>B40*(E40-F40)</f>
        <v>135.09694174780566</v>
      </c>
    </row>
    <row r="42" spans="1:7" ht="20.25" thickBot="1" x14ac:dyDescent="0.35">
      <c r="A42" s="2" t="s">
        <v>43</v>
      </c>
      <c r="B42" s="2"/>
      <c r="C42" s="2"/>
      <c r="D42" s="2"/>
      <c r="E42" s="2"/>
      <c r="F42" s="2"/>
      <c r="G42" s="2"/>
    </row>
    <row r="43" spans="1:7" ht="18.75" thickTop="1" thickBot="1" x14ac:dyDescent="0.35">
      <c r="A43" s="3" t="s">
        <v>38</v>
      </c>
      <c r="B43" s="3" t="s">
        <v>4</v>
      </c>
      <c r="C43" s="3" t="s">
        <v>47</v>
      </c>
      <c r="D43" s="3" t="s">
        <v>48</v>
      </c>
      <c r="E43" s="3" t="s">
        <v>49</v>
      </c>
      <c r="F43" s="3" t="s">
        <v>50</v>
      </c>
      <c r="G43" s="3" t="s">
        <v>41</v>
      </c>
    </row>
    <row r="44" spans="1:7" ht="15.75" thickTop="1" x14ac:dyDescent="0.25">
      <c r="A44" t="s">
        <v>27</v>
      </c>
      <c r="B44" s="4">
        <f>D35</f>
        <v>624.16800000000001</v>
      </c>
      <c r="C44">
        <f>G35</f>
        <v>0.81989121068674431</v>
      </c>
      <c r="D44">
        <f>D18</f>
        <v>0.91</v>
      </c>
      <c r="E44">
        <f>SQRT(1-C44^2)/C44</f>
        <v>0.69828696721384953</v>
      </c>
      <c r="F44">
        <f>SQRT(1-D44^2)/D44</f>
        <v>0.45561346025555771</v>
      </c>
      <c r="G44">
        <f>B44*(E44-F44)</f>
        <v>151.4690374911431</v>
      </c>
    </row>
    <row r="45" spans="1:7" x14ac:dyDescent="0.25">
      <c r="A45" t="s">
        <v>28</v>
      </c>
      <c r="B45" s="4">
        <f>D34</f>
        <v>807.33799999999997</v>
      </c>
      <c r="C45">
        <f>G34</f>
        <v>0.8112160650898147</v>
      </c>
      <c r="D45">
        <f>D19</f>
        <v>0.91</v>
      </c>
      <c r="E45">
        <f>SQRT(1-C45^2)/C45</f>
        <v>0.72082709872836892</v>
      </c>
      <c r="F45">
        <f>SQRT(1-D45^2)/D45</f>
        <v>0.45561346025555771</v>
      </c>
      <c r="G45">
        <f>B45*(E45-F45)</f>
        <v>214.11704845736244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Instalacja 3-fazowa</vt:lpstr>
      <vt:lpstr>Dobór WLZ</vt:lpstr>
      <vt:lpstr>Wariant 1 - kompensacja miejsc.</vt:lpstr>
      <vt:lpstr>Wariant 1 - kompensacja SO</vt:lpstr>
      <vt:lpstr>Wariant 2</vt:lpstr>
      <vt:lpstr>Wariant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2020-04-06T07:44:05Z</dcterms:created>
  <dcterms:modified xsi:type="dcterms:W3CDTF">2020-06-18T20:39:39Z</dcterms:modified>
</cp:coreProperties>
</file>