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neDrive - Politechnika Wroclawska\studia\Informatyka - modelowanie cyfrowe\cw5\"/>
    </mc:Choice>
  </mc:AlternateContent>
  <xr:revisionPtr revIDLastSave="249" documentId="13_ncr:1_{CBE62D6B-6ABA-49E2-99C1-A04CD62915B7}" xr6:coauthVersionLast="45" xr6:coauthVersionMax="45" xr10:uidLastSave="{6958751B-8E93-469D-A833-049B3DC88A17}"/>
  <bookViews>
    <workbookView xWindow="14460" yWindow="1515" windowWidth="14340" windowHeight="12255" xr2:uid="{970F991D-033C-434B-B6BA-FB4E275F25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/>
  <c r="L25" i="1" s="1"/>
  <c r="L24" i="1" s="1"/>
  <c r="B24" i="1"/>
  <c r="I24" i="1"/>
  <c r="O16" i="1"/>
  <c r="P16" i="1"/>
  <c r="Q16" i="1"/>
  <c r="R16" i="1"/>
  <c r="N16" i="1"/>
  <c r="O13" i="1"/>
  <c r="O14" i="1"/>
  <c r="O15" i="1"/>
  <c r="P13" i="1"/>
  <c r="Q13" i="1"/>
  <c r="R13" i="1"/>
  <c r="P14" i="1"/>
  <c r="Q14" i="1"/>
  <c r="R14" i="1"/>
  <c r="P15" i="1"/>
  <c r="Q15" i="1"/>
  <c r="R15" i="1"/>
  <c r="N15" i="1"/>
  <c r="N14" i="1"/>
  <c r="N13" i="1"/>
  <c r="L23" i="1" l="1"/>
  <c r="K27" i="1"/>
  <c r="B6" i="1"/>
  <c r="B23" i="1"/>
  <c r="K13" i="1" l="1"/>
  <c r="K14" i="1"/>
  <c r="K15" i="1"/>
  <c r="K12" i="1"/>
  <c r="J13" i="1"/>
  <c r="J14" i="1"/>
  <c r="J15" i="1"/>
  <c r="J12" i="1"/>
  <c r="B19" i="1"/>
  <c r="B16" i="1"/>
  <c r="B17" i="1"/>
  <c r="B15" i="1"/>
  <c r="E24" i="1"/>
  <c r="F12" i="1"/>
  <c r="B22" i="1"/>
  <c r="B18" i="1"/>
  <c r="E19" i="1"/>
  <c r="E18" i="1"/>
  <c r="E17" i="1"/>
  <c r="C29" i="1"/>
  <c r="C28" i="1"/>
  <c r="B14" i="1" l="1"/>
  <c r="B13" i="1" s="1"/>
  <c r="B21" i="1"/>
  <c r="C21" i="1" s="1"/>
  <c r="E10" i="1"/>
  <c r="B10" i="1"/>
  <c r="B12" i="1" l="1"/>
  <c r="B20" i="1"/>
  <c r="B29" i="1"/>
  <c r="B28" i="1"/>
  <c r="F13" i="1" l="1"/>
  <c r="B30" i="1"/>
</calcChain>
</file>

<file path=xl/sharedStrings.xml><?xml version="1.0" encoding="utf-8"?>
<sst xmlns="http://schemas.openxmlformats.org/spreadsheetml/2006/main" count="57" uniqueCount="50">
  <si>
    <t>t_z</t>
  </si>
  <si>
    <t>0 stopni, 33 stopnie, 66 stopni, 90 stopni</t>
  </si>
  <si>
    <t>Ia=0,8In/20In</t>
  </si>
  <si>
    <t>transformator ma być odwrócony, bo charakterystyki podajemy dla strony wtórnej (stąd staje się ona pierwotną)</t>
  </si>
  <si>
    <t>na jednym wykresie: przebieg wtórny z pierwotnym (uwzgl przekładni) na jednym wykresie</t>
  </si>
  <si>
    <t>przekładnik dla mnie: 500/5</t>
  </si>
  <si>
    <t>I=E/(Zs+Zpp)=10In</t>
  </si>
  <si>
    <t>I=E/(Zs+Zpp+Zodb)=0,8In</t>
  </si>
  <si>
    <t>punkt kolankowy: 120V</t>
  </si>
  <si>
    <t>zwoje</t>
  </si>
  <si>
    <t>Rs/Xs</t>
  </si>
  <si>
    <t>Xs</t>
  </si>
  <si>
    <t>L[mH]</t>
  </si>
  <si>
    <t>Rs[Om]</t>
  </si>
  <si>
    <t>168 zwojów</t>
  </si>
  <si>
    <t>rezystancja strony wtórnej</t>
  </si>
  <si>
    <t>cosfi</t>
  </si>
  <si>
    <t>E skuteczne</t>
  </si>
  <si>
    <t>Zs</t>
  </si>
  <si>
    <t>Zo</t>
  </si>
  <si>
    <t>Zobc</t>
  </si>
  <si>
    <t>Uo</t>
  </si>
  <si>
    <t>I zamknięte W1</t>
  </si>
  <si>
    <t>I otwarte W1</t>
  </si>
  <si>
    <t>Ro</t>
  </si>
  <si>
    <t>Xo</t>
  </si>
  <si>
    <t>Lo [mH]</t>
  </si>
  <si>
    <t>Robc</t>
  </si>
  <si>
    <t>Xobc</t>
  </si>
  <si>
    <t>kąt fi</t>
  </si>
  <si>
    <t>tg fi</t>
  </si>
  <si>
    <t>zadane cos fi</t>
  </si>
  <si>
    <t>Lobc [mH]</t>
  </si>
  <si>
    <t>Napięcie w obw przekładnika</t>
  </si>
  <si>
    <t>przekładnia</t>
  </si>
  <si>
    <t>cos fi</t>
  </si>
  <si>
    <t>sin fi</t>
  </si>
  <si>
    <t>I2</t>
  </si>
  <si>
    <t>I1</t>
  </si>
  <si>
    <t>t1</t>
  </si>
  <si>
    <t>t2</t>
  </si>
  <si>
    <t>t3</t>
  </si>
  <si>
    <t>t4</t>
  </si>
  <si>
    <t>napięcie zasilające (skuteczne)</t>
  </si>
  <si>
    <t>R</t>
  </si>
  <si>
    <t>L</t>
  </si>
  <si>
    <t>X</t>
  </si>
  <si>
    <t>Z0</t>
  </si>
  <si>
    <t>cosfi2</t>
  </si>
  <si>
    <t>sinfi2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</si>
</sst>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2" xfId="0" applyBorder="1"/>
    <xf numFmtId="164" fontId="0" fillId="0" borderId="0" xfId="0" applyNumberFormat="1" applyBorder="1"/>
    <xf numFmtId="164" fontId="0" fillId="0" borderId="10" xfId="0" applyNumberFormat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8DE8-95D8-49C6-98D5-4B9AD6AB84AD}">
  <dimension ref="A1:R30"/>
  <sheetViews>
    <sheetView tabSelected="1" workbookViewId="0">
      <selection activeCell="E27" sqref="E27"/>
    </sheetView>
  </sheetViews>
  <sheetFormatPr defaultRowHeight="15" x14ac:dyDescent="0.25"/>
  <cols>
    <col min="1" max="1" width="29.85546875" customWidth="1"/>
    <col min="4" max="4" width="12.7109375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</row>
    <row r="3" spans="1:18" x14ac:dyDescent="0.25">
      <c r="A3" t="s">
        <v>3</v>
      </c>
    </row>
    <row r="4" spans="1:18" x14ac:dyDescent="0.25">
      <c r="A4" t="s">
        <v>4</v>
      </c>
    </row>
    <row r="5" spans="1:18" x14ac:dyDescent="0.25">
      <c r="A5" t="s">
        <v>5</v>
      </c>
    </row>
    <row r="6" spans="1:18" x14ac:dyDescent="0.25">
      <c r="A6" t="s">
        <v>43</v>
      </c>
      <c r="B6">
        <f>20/SQRT(3)*1000</f>
        <v>11547.005383792517</v>
      </c>
      <c r="C6" t="s">
        <v>38</v>
      </c>
      <c r="D6">
        <v>500</v>
      </c>
      <c r="E6" t="s">
        <v>37</v>
      </c>
      <c r="F6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  <c r="E9" t="s">
        <v>15</v>
      </c>
    </row>
    <row r="10" spans="1:18" x14ac:dyDescent="0.25">
      <c r="A10" t="s">
        <v>9</v>
      </c>
      <c r="B10">
        <f>300/1.785</f>
        <v>168.0672268907563</v>
      </c>
      <c r="C10" t="s">
        <v>14</v>
      </c>
      <c r="E10">
        <f>0.0024*168</f>
        <v>0.40319999999999995</v>
      </c>
    </row>
    <row r="11" spans="1:18" ht="15.75" thickBot="1" x14ac:dyDescent="0.3">
      <c r="A11" t="s">
        <v>10</v>
      </c>
      <c r="B11">
        <v>1.2E-2</v>
      </c>
      <c r="I11">
        <v>20</v>
      </c>
    </row>
    <row r="12" spans="1:18" x14ac:dyDescent="0.25">
      <c r="A12" s="1" t="s">
        <v>13</v>
      </c>
      <c r="B12" s="5">
        <f>0.012*B14</f>
        <v>2.7710817814040702E-2</v>
      </c>
      <c r="E12" t="s">
        <v>34</v>
      </c>
      <c r="F12">
        <f>500/5</f>
        <v>100</v>
      </c>
      <c r="H12" t="s">
        <v>39</v>
      </c>
      <c r="I12">
        <v>0</v>
      </c>
      <c r="J12">
        <f>I12/360*$I$11</f>
        <v>0</v>
      </c>
      <c r="K12">
        <f>20+J12</f>
        <v>20</v>
      </c>
      <c r="M12" s="1" t="s">
        <v>47</v>
      </c>
      <c r="N12" s="9">
        <v>0.7</v>
      </c>
      <c r="O12" s="9">
        <v>1</v>
      </c>
      <c r="P12" s="9">
        <v>1.5</v>
      </c>
      <c r="Q12" s="9">
        <v>3</v>
      </c>
      <c r="R12" s="10">
        <v>5</v>
      </c>
    </row>
    <row r="13" spans="1:18" x14ac:dyDescent="0.25">
      <c r="A13" s="2" t="s">
        <v>12</v>
      </c>
      <c r="B13" s="6">
        <f>B14/(2*PI()*50)*1000</f>
        <v>7.3505227203725454</v>
      </c>
      <c r="F13">
        <f>1/100*B29</f>
        <v>1.9065962412677147</v>
      </c>
      <c r="H13" t="s">
        <v>40</v>
      </c>
      <c r="I13">
        <v>30</v>
      </c>
      <c r="J13">
        <f t="shared" ref="J13:J15" si="0">I13/360*$I$11</f>
        <v>1.6666666666666665</v>
      </c>
      <c r="K13">
        <f t="shared" ref="K13:K15" si="1">20+J13</f>
        <v>21.666666666666668</v>
      </c>
      <c r="M13" s="2" t="s">
        <v>44</v>
      </c>
      <c r="N13" s="11">
        <f>N$12*$B$15</f>
        <v>1.3089999999999999</v>
      </c>
      <c r="O13" s="11">
        <f>O$12*$B$15</f>
        <v>1.87</v>
      </c>
      <c r="P13" s="11">
        <f t="shared" ref="P13:R13" si="2">P$12*$B$15</f>
        <v>2.8050000000000002</v>
      </c>
      <c r="Q13" s="11">
        <f t="shared" si="2"/>
        <v>5.61</v>
      </c>
      <c r="R13" s="6">
        <f t="shared" si="2"/>
        <v>9.3500000000000014</v>
      </c>
    </row>
    <row r="14" spans="1:18" ht="15.75" thickBot="1" x14ac:dyDescent="0.3">
      <c r="A14" s="3" t="s">
        <v>11</v>
      </c>
      <c r="B14" s="7">
        <f>SQRT(B23^2/1.000144)</f>
        <v>2.309234817836725</v>
      </c>
      <c r="H14" t="s">
        <v>41</v>
      </c>
      <c r="I14">
        <v>60</v>
      </c>
      <c r="J14">
        <f t="shared" si="0"/>
        <v>3.333333333333333</v>
      </c>
      <c r="K14">
        <f t="shared" si="1"/>
        <v>23.333333333333332</v>
      </c>
      <c r="M14" s="2" t="s">
        <v>45</v>
      </c>
      <c r="N14" s="11">
        <f>N$12*$B$16</f>
        <v>1.580430222133373</v>
      </c>
      <c r="O14" s="11">
        <f>O$12*$B$16</f>
        <v>2.257757460190533</v>
      </c>
      <c r="P14" s="11">
        <f t="shared" ref="P14:R14" si="3">P$12*$B$16</f>
        <v>3.3866361902857998</v>
      </c>
      <c r="Q14" s="11">
        <f t="shared" si="3"/>
        <v>6.7732723805715995</v>
      </c>
      <c r="R14" s="6">
        <f t="shared" si="3"/>
        <v>11.288787300952665</v>
      </c>
    </row>
    <row r="15" spans="1:18" ht="15.75" thickBot="1" x14ac:dyDescent="0.3">
      <c r="A15" s="1" t="s">
        <v>24</v>
      </c>
      <c r="B15" s="5">
        <f>B24*E23</f>
        <v>1.87</v>
      </c>
      <c r="H15" t="s">
        <v>42</v>
      </c>
      <c r="I15">
        <v>90</v>
      </c>
      <c r="J15">
        <f t="shared" si="0"/>
        <v>5</v>
      </c>
      <c r="K15">
        <f t="shared" si="1"/>
        <v>25</v>
      </c>
      <c r="M15" s="3" t="s">
        <v>46</v>
      </c>
      <c r="N15" s="12">
        <f>N$12*$B$17</f>
        <v>0.49650679753654908</v>
      </c>
      <c r="O15" s="12">
        <f>O$12*$B$17</f>
        <v>0.70929542505221299</v>
      </c>
      <c r="P15" s="12">
        <f t="shared" ref="P15:R15" si="4">P$12*$B$17</f>
        <v>1.0639431375783195</v>
      </c>
      <c r="Q15" s="12">
        <f t="shared" si="4"/>
        <v>2.127886275156639</v>
      </c>
      <c r="R15" s="7">
        <f t="shared" si="4"/>
        <v>3.546477125261065</v>
      </c>
    </row>
    <row r="16" spans="1:18" x14ac:dyDescent="0.25">
      <c r="A16" s="2" t="s">
        <v>26</v>
      </c>
      <c r="B16" s="6">
        <f>B17/(2*PI()*50)*1000</f>
        <v>2.257757460190533</v>
      </c>
      <c r="M16" s="13" t="s">
        <v>16</v>
      </c>
      <c r="N16">
        <f>COS(ATAN(N15/N13))</f>
        <v>0.93500000000000005</v>
      </c>
      <c r="O16">
        <f t="shared" ref="O16:R16" si="5">COS(ATAN(O15/O13))</f>
        <v>0.93500000000000005</v>
      </c>
      <c r="P16">
        <f t="shared" si="5"/>
        <v>0.93500000000000005</v>
      </c>
      <c r="Q16">
        <f t="shared" si="5"/>
        <v>0.93500000000000005</v>
      </c>
      <c r="R16">
        <f t="shared" si="5"/>
        <v>0.93500000000000005</v>
      </c>
    </row>
    <row r="17" spans="1:12" ht="15.75" thickBot="1" x14ac:dyDescent="0.3">
      <c r="A17" s="2" t="s">
        <v>25</v>
      </c>
      <c r="B17" s="6">
        <f>B24*E24</f>
        <v>0.70929542505221299</v>
      </c>
      <c r="D17" t="s">
        <v>31</v>
      </c>
      <c r="E17">
        <f>1-(13/200)</f>
        <v>0.93500000000000005</v>
      </c>
    </row>
    <row r="18" spans="1:12" ht="15.75" thickBot="1" x14ac:dyDescent="0.3">
      <c r="A18" s="4" t="s">
        <v>16</v>
      </c>
      <c r="B18" s="8">
        <f>COS(ATAN(B17/B15))</f>
        <v>0.93500000000000005</v>
      </c>
      <c r="D18" t="s">
        <v>29</v>
      </c>
      <c r="E18">
        <f>ACOS(0.935)</f>
        <v>0.36253726228797389</v>
      </c>
    </row>
    <row r="19" spans="1:12" x14ac:dyDescent="0.25">
      <c r="A19" s="1" t="s">
        <v>27</v>
      </c>
      <c r="B19" s="5">
        <f>E23*B25</f>
        <v>36.011925151602</v>
      </c>
      <c r="D19" t="s">
        <v>30</v>
      </c>
      <c r="E19">
        <f>TAN(E18)</f>
        <v>0.37930236633808173</v>
      </c>
    </row>
    <row r="20" spans="1:12" x14ac:dyDescent="0.25">
      <c r="A20" s="2" t="s">
        <v>32</v>
      </c>
      <c r="B20" s="6">
        <f>B21/(2*PI()*50)*1000</f>
        <v>43.479247415429157</v>
      </c>
    </row>
    <row r="21" spans="1:12" ht="15.75" thickBot="1" x14ac:dyDescent="0.3">
      <c r="A21" s="3" t="s">
        <v>28</v>
      </c>
      <c r="B21" s="7">
        <f>E24*B25</f>
        <v>13.659408426392524</v>
      </c>
      <c r="C21">
        <f>COS(ATAN(B21/B19))</f>
        <v>0.93500000000000005</v>
      </c>
    </row>
    <row r="22" spans="1:12" ht="15.75" thickBot="1" x14ac:dyDescent="0.3">
      <c r="A22" s="4" t="s">
        <v>17</v>
      </c>
      <c r="B22" s="8">
        <f>20000/(SQRT(3)*SQRT(2))</f>
        <v>8164.9658092772597</v>
      </c>
      <c r="J22" t="s">
        <v>47</v>
      </c>
    </row>
    <row r="23" spans="1:12" x14ac:dyDescent="0.25">
      <c r="A23" s="1" t="s">
        <v>18</v>
      </c>
      <c r="B23" s="5">
        <f>B6/((10*D6))</f>
        <v>2.3094010767585034</v>
      </c>
      <c r="D23" t="s">
        <v>35</v>
      </c>
      <c r="E23">
        <v>0.93500000000000005</v>
      </c>
      <c r="H23" t="s">
        <v>48</v>
      </c>
      <c r="I23">
        <v>0.8</v>
      </c>
      <c r="J23" t="s">
        <v>44</v>
      </c>
      <c r="K23" s="1" t="s">
        <v>24</v>
      </c>
      <c r="L23" s="5">
        <f>B25*I23</f>
        <v>30.812342375702247</v>
      </c>
    </row>
    <row r="24" spans="1:12" x14ac:dyDescent="0.25">
      <c r="A24" s="2" t="s">
        <v>19</v>
      </c>
      <c r="B24" s="6">
        <f>50/F6^2</f>
        <v>2</v>
      </c>
      <c r="D24" t="s">
        <v>36</v>
      </c>
      <c r="E24">
        <f>SQRT(1-E23^2)</f>
        <v>0.3546477125261065</v>
      </c>
      <c r="H24" t="s">
        <v>49</v>
      </c>
      <c r="I24">
        <f>SQRT(1-I23^2)</f>
        <v>0.59999999999999987</v>
      </c>
      <c r="J24" t="s">
        <v>46</v>
      </c>
      <c r="K24" s="2" t="s">
        <v>26</v>
      </c>
      <c r="L24" s="6">
        <f>L25/(2*PI()*50)*1000</f>
        <v>73.559048959993262</v>
      </c>
    </row>
    <row r="25" spans="1:12" ht="15.75" thickBot="1" x14ac:dyDescent="0.3">
      <c r="A25" s="3" t="s">
        <v>20</v>
      </c>
      <c r="B25" s="7">
        <f>(SQRT(2)*B6-B23*0.8*D6)/(D6*0.8)</f>
        <v>38.515427969627808</v>
      </c>
      <c r="K25" s="2" t="s">
        <v>25</v>
      </c>
      <c r="L25" s="6">
        <f>B25*I24</f>
        <v>23.109256781776679</v>
      </c>
    </row>
    <row r="26" spans="1:12" x14ac:dyDescent="0.25">
      <c r="A26" t="s">
        <v>21</v>
      </c>
    </row>
    <row r="27" spans="1:12" x14ac:dyDescent="0.25">
      <c r="A27" t="s">
        <v>33</v>
      </c>
      <c r="K27">
        <f>SQRT(L23^2+L25^2)</f>
        <v>38.515427969627801</v>
      </c>
    </row>
    <row r="28" spans="1:12" x14ac:dyDescent="0.25">
      <c r="A28" t="s">
        <v>22</v>
      </c>
      <c r="B28">
        <f>B22/(B23+B24)</f>
        <v>1894.6869098150598</v>
      </c>
      <c r="C28">
        <f>500*10</f>
        <v>5000</v>
      </c>
    </row>
    <row r="29" spans="1:12" x14ac:dyDescent="0.25">
      <c r="A29" t="s">
        <v>23</v>
      </c>
      <c r="B29">
        <f>B22/(B23+B24+B25)</f>
        <v>190.65962412677146</v>
      </c>
      <c r="C29">
        <f>0.8*500</f>
        <v>400</v>
      </c>
    </row>
    <row r="30" spans="1:12" x14ac:dyDescent="0.25">
      <c r="B30">
        <f>B29*B24</f>
        <v>381.31924825354292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2019-12-18T08:51:20Z</dcterms:created>
  <dcterms:modified xsi:type="dcterms:W3CDTF">2019-12-20T12:57:46Z</dcterms:modified>
</cp:coreProperties>
</file>