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 - Politechnika Wroclawska\Semestr III\Miernictwo elektryczne 3\Miernictwo - ćwiczenie 9 - pomiary mocy biernej\"/>
    </mc:Choice>
  </mc:AlternateContent>
  <xr:revisionPtr revIDLastSave="12" documentId="102_{7AE454E6-BA26-42DB-A15B-60E4B412AC78}" xr6:coauthVersionLast="40" xr6:coauthVersionMax="40" xr10:uidLastSave="{00CEB5E9-1B8A-4961-B5AC-075C735F5378}"/>
  <bookViews>
    <workbookView xWindow="0" yWindow="3600" windowWidth="28800" windowHeight="12210" xr2:uid="{E442D21D-D131-4F1D-9468-1A861C15054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6" i="1"/>
  <c r="Z5" i="1"/>
  <c r="AG6" i="1" l="1"/>
  <c r="AH6" i="1"/>
  <c r="AI6" i="1"/>
  <c r="AG7" i="1"/>
  <c r="AH7" i="1"/>
  <c r="AI7" i="1"/>
  <c r="AH5" i="1"/>
  <c r="AI5" i="1"/>
  <c r="AG5" i="1"/>
  <c r="AJ6" i="1"/>
  <c r="AJ7" i="1"/>
  <c r="AJ5" i="1"/>
  <c r="AP6" i="1"/>
  <c r="AP7" i="1"/>
  <c r="AO6" i="1"/>
  <c r="AO7" i="1"/>
  <c r="AN6" i="1"/>
  <c r="AN7" i="1"/>
  <c r="AN5" i="1"/>
  <c r="Y6" i="1"/>
  <c r="Y7" i="1"/>
  <c r="N11" i="1" l="1"/>
  <c r="O11" i="1" s="1"/>
  <c r="P11" i="1" s="1"/>
  <c r="N12" i="1"/>
  <c r="O12" i="1" s="1"/>
  <c r="P12" i="1" s="1"/>
  <c r="H13" i="1"/>
  <c r="G10" i="1"/>
  <c r="H10" i="1"/>
  <c r="I10" i="1"/>
  <c r="J10" i="1" s="1"/>
  <c r="G11" i="1"/>
  <c r="J11" i="1" s="1"/>
  <c r="H11" i="1"/>
  <c r="I11" i="1"/>
  <c r="H9" i="1"/>
  <c r="J9" i="1" s="1"/>
  <c r="I9" i="1"/>
  <c r="G9" i="1"/>
  <c r="C14" i="1"/>
  <c r="E12" i="1"/>
  <c r="D12" i="1"/>
  <c r="C11" i="1"/>
  <c r="D11" i="1" s="1"/>
  <c r="E11" i="1" s="1"/>
  <c r="C12" i="1"/>
  <c r="P5" i="1" l="1"/>
  <c r="U6" i="1" l="1"/>
  <c r="V6" i="1"/>
  <c r="V7" i="1"/>
  <c r="V5" i="1"/>
  <c r="T6" i="1"/>
  <c r="T7" i="1"/>
  <c r="U7" i="1" s="1"/>
  <c r="T5" i="1"/>
  <c r="U5" i="1" s="1"/>
  <c r="Q6" i="1"/>
  <c r="R6" i="1"/>
  <c r="Q7" i="1"/>
  <c r="R7" i="1"/>
  <c r="Q5" i="1"/>
  <c r="W5" i="1" s="1"/>
  <c r="R5" i="1"/>
  <c r="P6" i="1"/>
  <c r="P7" i="1"/>
  <c r="AO5" i="1" l="1"/>
  <c r="AP5" i="1" s="1"/>
  <c r="Y5" i="1"/>
  <c r="C10" i="1"/>
  <c r="N10" i="1"/>
  <c r="O10" i="1" s="1"/>
  <c r="AA5" i="1"/>
  <c r="AD5" i="1"/>
  <c r="AB6" i="1"/>
  <c r="AE6" i="1"/>
  <c r="AD7" i="1"/>
  <c r="AA7" i="1"/>
  <c r="AF7" i="1"/>
  <c r="AC7" i="1"/>
  <c r="W7" i="1"/>
  <c r="AD6" i="1"/>
  <c r="AA6" i="1"/>
  <c r="AB7" i="1"/>
  <c r="AE7" i="1"/>
  <c r="W6" i="1"/>
  <c r="AF6" i="1"/>
  <c r="AC6" i="1"/>
  <c r="AF5" i="1"/>
  <c r="AC5" i="1"/>
  <c r="AB5" i="1"/>
  <c r="AE5" i="1"/>
  <c r="D10" i="1" l="1"/>
  <c r="E10" i="1" s="1"/>
  <c r="P10" i="1"/>
  <c r="AK7" i="1"/>
  <c r="AL7" i="1" s="1"/>
  <c r="AK6" i="1"/>
  <c r="AL6" i="1" s="1"/>
  <c r="AK5" i="1"/>
  <c r="AL5" i="1" s="1"/>
  <c r="AM7" i="1" l="1"/>
  <c r="X7" i="1"/>
  <c r="AM6" i="1"/>
  <c r="X6" i="1"/>
  <c r="AM5" i="1"/>
  <c r="X5" i="1"/>
</calcChain>
</file>

<file path=xl/sharedStrings.xml><?xml version="1.0" encoding="utf-8"?>
<sst xmlns="http://schemas.openxmlformats.org/spreadsheetml/2006/main" count="86" uniqueCount="53">
  <si>
    <t>A</t>
  </si>
  <si>
    <t>V</t>
  </si>
  <si>
    <t>var</t>
  </si>
  <si>
    <t>dz</t>
  </si>
  <si>
    <t>Iz</t>
  </si>
  <si>
    <t>I1</t>
  </si>
  <si>
    <t>I2</t>
  </si>
  <si>
    <t>I3</t>
  </si>
  <si>
    <t>Uz</t>
  </si>
  <si>
    <t>U1</t>
  </si>
  <si>
    <t>U2</t>
  </si>
  <si>
    <t>U3</t>
  </si>
  <si>
    <t>Qz</t>
  </si>
  <si>
    <t>cw</t>
  </si>
  <si>
    <t>a1</t>
  </si>
  <si>
    <t>a2</t>
  </si>
  <si>
    <t>a3</t>
  </si>
  <si>
    <t>DnQw</t>
  </si>
  <si>
    <t>U</t>
  </si>
  <si>
    <t>I</t>
  </si>
  <si>
    <t>PF</t>
  </si>
  <si>
    <t>P</t>
  </si>
  <si>
    <t>-</t>
  </si>
  <si>
    <t>%</t>
  </si>
  <si>
    <t>W</t>
  </si>
  <si>
    <t>QW1</t>
  </si>
  <si>
    <t>QW2</t>
  </si>
  <si>
    <t>QW3</t>
  </si>
  <si>
    <t>rU</t>
  </si>
  <si>
    <t>W/dz</t>
  </si>
  <si>
    <t>Dane</t>
  </si>
  <si>
    <t>Obliczenia</t>
  </si>
  <si>
    <t>Amperomierze</t>
  </si>
  <si>
    <t>Woltomierze</t>
  </si>
  <si>
    <t>Watomierze</t>
  </si>
  <si>
    <t>wynik pomiaru +- niepewność</t>
  </si>
  <si>
    <t>niepewność względna</t>
  </si>
  <si>
    <t>błąd niestałości wskazań W1</t>
  </si>
  <si>
    <t>błąd niestałości wskazań W2</t>
  </si>
  <si>
    <t>błąd niestałości wskazań W3</t>
  </si>
  <si>
    <t>błąd graniczny watomierza</t>
  </si>
  <si>
    <t>błąd watomierza 1</t>
  </si>
  <si>
    <t>błąd watomierza 2</t>
  </si>
  <si>
    <t>błąd watomierza 3</t>
  </si>
  <si>
    <t>niepewność standardowa łączna pomiaru mocy biernej</t>
  </si>
  <si>
    <t>niepewność rozszerzona</t>
  </si>
  <si>
    <t>niepewność bezwzględna</t>
  </si>
  <si>
    <t>moc pozorna</t>
  </si>
  <si>
    <t>cos fi</t>
  </si>
  <si>
    <t>tg fi</t>
  </si>
  <si>
    <t>fi</t>
  </si>
  <si>
    <t>sin fi</t>
  </si>
  <si>
    <t>maksymalny błąd niesymetrii sieci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</si>
</sst>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2" fontId="0" fillId="0" borderId="1" xfId="0" applyNumberFormat="1" applyBorder="1"/>
    <xf numFmtId="2" fontId="0" fillId="0" borderId="9" xfId="0" applyNumberFormat="1" applyBorder="1"/>
    <xf numFmtId="164" fontId="0" fillId="0" borderId="1" xfId="0" applyNumberFormat="1" applyBorder="1"/>
    <xf numFmtId="164" fontId="0" fillId="0" borderId="9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" fontId="0" fillId="0" borderId="6" xfId="0" applyNumberFormat="1" applyBorder="1"/>
    <xf numFmtId="1" fontId="0" fillId="0" borderId="8" xfId="0" applyNumberFormat="1" applyBorder="1"/>
    <xf numFmtId="2" fontId="0" fillId="0" borderId="7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1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1" fontId="0" fillId="0" borderId="7" xfId="0" applyNumberFormat="1" applyBorder="1"/>
    <xf numFmtId="2" fontId="0" fillId="0" borderId="2" xfId="0" applyNumberFormat="1" applyBorder="1"/>
    <xf numFmtId="2" fontId="0" fillId="0" borderId="0" xfId="0" applyNumberFormat="1"/>
    <xf numFmtId="2" fontId="0" fillId="0" borderId="6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Fill="1" applyBorder="1" applyAlignment="1">
      <alignment wrapText="1"/>
    </xf>
    <xf numFmtId="0" fontId="0" fillId="0" borderId="23" xfId="0" applyBorder="1"/>
    <xf numFmtId="1" fontId="0" fillId="0" borderId="23" xfId="0" applyNumberFormat="1" applyBorder="1"/>
    <xf numFmtId="0" fontId="0" fillId="0" borderId="24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164B-4E1F-47F0-8686-FCCA32EE395B}">
  <dimension ref="B1:AP14"/>
  <sheetViews>
    <sheetView tabSelected="1" topLeftCell="A3" workbookViewId="0">
      <selection activeCell="AA5" sqref="AA5"/>
    </sheetView>
  </sheetViews>
  <sheetFormatPr defaultRowHeight="15" x14ac:dyDescent="0.25"/>
  <cols>
    <col min="2" max="12" width="6.140625" customWidth="1"/>
    <col min="13" max="13" width="8.28515625" customWidth="1"/>
    <col min="14" max="15" width="6.140625" customWidth="1"/>
    <col min="16" max="26" width="6.7109375" customWidth="1"/>
    <col min="27" max="29" width="4.28515625" customWidth="1"/>
    <col min="30" max="32" width="5.42578125" customWidth="1"/>
    <col min="33" max="33" width="9.5703125" bestFit="1" customWidth="1"/>
    <col min="37" max="37" width="11.5703125" bestFit="1" customWidth="1"/>
    <col min="39" max="39" width="11.5703125" bestFit="1" customWidth="1"/>
    <col min="40" max="40" width="10.28515625" bestFit="1" customWidth="1"/>
    <col min="42" max="42" width="10.28515625" bestFit="1" customWidth="1"/>
  </cols>
  <sheetData>
    <row r="1" spans="2:42" ht="15.75" thickBot="1" x14ac:dyDescent="0.3">
      <c r="B1" s="39" t="s">
        <v>30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1"/>
      <c r="P1" s="39" t="s">
        <v>31</v>
      </c>
      <c r="Q1" s="40"/>
      <c r="R1" s="40"/>
      <c r="S1" s="40"/>
      <c r="T1" s="40"/>
      <c r="U1" s="40"/>
      <c r="V1" s="40"/>
      <c r="W1" s="40"/>
      <c r="X1" s="40"/>
      <c r="Y1" s="40"/>
      <c r="Z1" s="41"/>
    </row>
    <row r="2" spans="2:42" ht="15.75" thickBot="1" x14ac:dyDescent="0.3">
      <c r="B2" s="39" t="s">
        <v>32</v>
      </c>
      <c r="C2" s="40"/>
      <c r="D2" s="40"/>
      <c r="E2" s="41"/>
      <c r="F2" s="39" t="s">
        <v>33</v>
      </c>
      <c r="G2" s="40"/>
      <c r="H2" s="40"/>
      <c r="I2" s="41"/>
      <c r="J2" s="39" t="s">
        <v>34</v>
      </c>
      <c r="K2" s="40"/>
      <c r="L2" s="40"/>
      <c r="M2" s="40"/>
      <c r="N2" s="40"/>
      <c r="O2" s="41"/>
      <c r="P2" s="39"/>
      <c r="Q2" s="40"/>
      <c r="R2" s="40"/>
      <c r="S2" s="40"/>
      <c r="T2" s="40"/>
      <c r="U2" s="40"/>
      <c r="V2" s="40"/>
      <c r="W2" s="40"/>
      <c r="X2" s="40"/>
      <c r="Y2" s="40"/>
      <c r="Z2" s="41"/>
    </row>
    <row r="3" spans="2:42" ht="150" x14ac:dyDescent="0.25">
      <c r="B3" s="3" t="s">
        <v>4</v>
      </c>
      <c r="C3" s="4" t="s">
        <v>5</v>
      </c>
      <c r="D3" s="4" t="s">
        <v>6</v>
      </c>
      <c r="E3" s="5" t="s">
        <v>7</v>
      </c>
      <c r="F3" s="3" t="s">
        <v>8</v>
      </c>
      <c r="G3" s="4" t="s">
        <v>9</v>
      </c>
      <c r="H3" s="4" t="s">
        <v>10</v>
      </c>
      <c r="I3" s="5" t="s">
        <v>11</v>
      </c>
      <c r="J3" s="3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5" t="s">
        <v>17</v>
      </c>
      <c r="P3" s="3" t="s">
        <v>25</v>
      </c>
      <c r="Q3" s="4" t="s">
        <v>26</v>
      </c>
      <c r="R3" s="5" t="s">
        <v>27</v>
      </c>
      <c r="S3" s="20"/>
      <c r="T3" s="3" t="s">
        <v>18</v>
      </c>
      <c r="U3" s="4" t="s">
        <v>28</v>
      </c>
      <c r="V3" s="5" t="s">
        <v>19</v>
      </c>
      <c r="W3" s="31" t="s">
        <v>35</v>
      </c>
      <c r="X3" s="32" t="s">
        <v>36</v>
      </c>
      <c r="Y3" s="12" t="s">
        <v>20</v>
      </c>
      <c r="Z3" s="13" t="s">
        <v>21</v>
      </c>
      <c r="AA3" s="30" t="s">
        <v>37</v>
      </c>
      <c r="AB3" s="30" t="s">
        <v>38</v>
      </c>
      <c r="AC3" s="30" t="s">
        <v>39</v>
      </c>
      <c r="AD3" s="30" t="s">
        <v>40</v>
      </c>
      <c r="AE3" s="30" t="s">
        <v>40</v>
      </c>
      <c r="AF3" s="30" t="s">
        <v>40</v>
      </c>
      <c r="AG3" s="30" t="s">
        <v>41</v>
      </c>
      <c r="AH3" s="30" t="s">
        <v>42</v>
      </c>
      <c r="AI3" s="30" t="s">
        <v>43</v>
      </c>
      <c r="AJ3" s="30" t="s">
        <v>52</v>
      </c>
      <c r="AK3" s="30" t="s">
        <v>44</v>
      </c>
      <c r="AL3" s="30" t="s">
        <v>45</v>
      </c>
      <c r="AM3" s="42" t="s">
        <v>46</v>
      </c>
      <c r="AN3" s="30" t="s">
        <v>47</v>
      </c>
      <c r="AO3" s="30" t="s">
        <v>51</v>
      </c>
      <c r="AP3" s="30" t="s">
        <v>48</v>
      </c>
    </row>
    <row r="4" spans="2:42" ht="26.25" customHeight="1" x14ac:dyDescent="0.25">
      <c r="B4" s="6" t="s">
        <v>0</v>
      </c>
      <c r="C4" s="1" t="s">
        <v>0</v>
      </c>
      <c r="D4" s="1" t="s">
        <v>0</v>
      </c>
      <c r="E4" s="7" t="s">
        <v>0</v>
      </c>
      <c r="F4" s="6" t="s">
        <v>1</v>
      </c>
      <c r="G4" s="1" t="s">
        <v>1</v>
      </c>
      <c r="H4" s="1" t="s">
        <v>1</v>
      </c>
      <c r="I4" s="7" t="s">
        <v>1</v>
      </c>
      <c r="J4" s="6" t="s">
        <v>24</v>
      </c>
      <c r="K4" s="1" t="s">
        <v>29</v>
      </c>
      <c r="L4" s="1" t="s">
        <v>3</v>
      </c>
      <c r="M4" s="1" t="s">
        <v>3</v>
      </c>
      <c r="N4" s="1" t="s">
        <v>3</v>
      </c>
      <c r="O4" s="7" t="s">
        <v>2</v>
      </c>
      <c r="P4" s="6" t="s">
        <v>2</v>
      </c>
      <c r="Q4" s="1" t="s">
        <v>2</v>
      </c>
      <c r="R4" s="7" t="s">
        <v>2</v>
      </c>
      <c r="S4" s="21" t="s">
        <v>22</v>
      </c>
      <c r="T4" s="6" t="s">
        <v>1</v>
      </c>
      <c r="U4" s="1" t="s">
        <v>23</v>
      </c>
      <c r="V4" s="7" t="s">
        <v>0</v>
      </c>
      <c r="W4" s="6" t="s">
        <v>2</v>
      </c>
      <c r="X4" s="7" t="s">
        <v>23</v>
      </c>
      <c r="Y4" s="2" t="s">
        <v>22</v>
      </c>
      <c r="Z4" s="7" t="s">
        <v>24</v>
      </c>
      <c r="AA4" s="29" t="s">
        <v>23</v>
      </c>
      <c r="AB4" s="29" t="s">
        <v>23</v>
      </c>
      <c r="AC4" s="29" t="s">
        <v>23</v>
      </c>
      <c r="AD4" s="29" t="s">
        <v>23</v>
      </c>
      <c r="AE4" s="29" t="s">
        <v>23</v>
      </c>
      <c r="AF4" s="29" t="s">
        <v>23</v>
      </c>
      <c r="AG4" s="29" t="s">
        <v>23</v>
      </c>
      <c r="AH4" s="29" t="s">
        <v>23</v>
      </c>
      <c r="AI4" s="29" t="s">
        <v>23</v>
      </c>
      <c r="AJ4" s="29"/>
      <c r="AM4" s="43"/>
    </row>
    <row r="5" spans="2:42" x14ac:dyDescent="0.25">
      <c r="B5" s="6">
        <v>3</v>
      </c>
      <c r="C5" s="1">
        <v>0.85</v>
      </c>
      <c r="D5" s="1">
        <v>0.83</v>
      </c>
      <c r="E5" s="7">
        <v>0.85</v>
      </c>
      <c r="F5" s="6">
        <v>600</v>
      </c>
      <c r="G5" s="1">
        <v>400</v>
      </c>
      <c r="H5" s="1">
        <v>395</v>
      </c>
      <c r="I5" s="7">
        <v>405</v>
      </c>
      <c r="J5" s="6">
        <v>1000</v>
      </c>
      <c r="K5" s="1">
        <v>10</v>
      </c>
      <c r="L5" s="16">
        <v>31</v>
      </c>
      <c r="M5" s="16">
        <v>30.5</v>
      </c>
      <c r="N5" s="16">
        <v>29.5</v>
      </c>
      <c r="O5" s="7">
        <v>10</v>
      </c>
      <c r="P5" s="6">
        <f>L5*$K5</f>
        <v>310</v>
      </c>
      <c r="Q5" s="2">
        <f t="shared" ref="Q5:R5" si="0">M5*$K5</f>
        <v>305</v>
      </c>
      <c r="R5" s="18">
        <f t="shared" si="0"/>
        <v>295</v>
      </c>
      <c r="S5" s="21" t="s">
        <v>22</v>
      </c>
      <c r="T5" s="38">
        <f>AVERAGE(G5:I5)</f>
        <v>400</v>
      </c>
      <c r="U5" s="16">
        <f>(1/T5)*SQRT((2/3)*((G5-T5)^2+(H5-T5)^2+(I5-T5)^2))*100</f>
        <v>1.4433756729740643</v>
      </c>
      <c r="V5" s="25">
        <f>AVERAGE(C5:E5)</f>
        <v>0.84333333333333327</v>
      </c>
      <c r="W5" s="28">
        <f>(1/SQRT(3))*(P5+Q5+R5)</f>
        <v>525.38874496255949</v>
      </c>
      <c r="X5" s="26">
        <f>AL5</f>
        <v>4.6422617252764464</v>
      </c>
      <c r="Y5" s="36">
        <f>COS(ASIN(W5/(SQRT(3)*T5*V5)))</f>
        <v>0.43751834246013466</v>
      </c>
      <c r="Z5" s="35">
        <f>T5*V5*Y5*SQRT(3)</f>
        <v>255.63254878829466</v>
      </c>
      <c r="AA5" s="33">
        <f>($O5/P5)*100</f>
        <v>3.225806451612903</v>
      </c>
      <c r="AB5" s="33">
        <f>($O5/Q5)*100</f>
        <v>3.278688524590164</v>
      </c>
      <c r="AC5" s="33">
        <f>($O5/R5)*100</f>
        <v>3.3898305084745761</v>
      </c>
      <c r="AD5" s="33">
        <f t="shared" ref="AD5:AF7" si="1">0.5*($J5/P5)</f>
        <v>1.6129032258064515</v>
      </c>
      <c r="AE5" s="33">
        <f t="shared" si="1"/>
        <v>1.639344262295082</v>
      </c>
      <c r="AF5" s="33">
        <f t="shared" si="1"/>
        <v>1.6949152542372881</v>
      </c>
      <c r="AG5" s="33">
        <f>(1/SQRT(3))*SQRT((AA5^2)+(AD5^2)+($AJ5^2))</f>
        <v>2.2791683245229359</v>
      </c>
      <c r="AH5" s="33">
        <f t="shared" ref="AH5:AI5" si="2">(1/SQRT(3))*SQRT((AB5^2)+(AE5^2)+($AJ5^2))</f>
        <v>2.3103959781129011</v>
      </c>
      <c r="AI5" s="33">
        <f t="shared" si="2"/>
        <v>2.3762876699222133</v>
      </c>
      <c r="AJ5" s="33">
        <f>U5/AO5</f>
        <v>1.6051606385162118</v>
      </c>
      <c r="AK5" s="33">
        <f>SQRT(((P5/W5)^2)*(AG5^2)+((Q5/W5)^2)*(AH5^2)+((R5/W5)^2)*(AI5^2))</f>
        <v>2.3211308626382232</v>
      </c>
      <c r="AL5" s="33">
        <f>2*AK5</f>
        <v>4.6422617252764464</v>
      </c>
      <c r="AM5" s="44">
        <f>AL5*W5/100</f>
        <v>24.38992061630718</v>
      </c>
      <c r="AN5" s="28">
        <f>T5*V5*SQRT(3)</f>
        <v>584.27847241990116</v>
      </c>
      <c r="AO5" s="37">
        <f>W5/AN5</f>
        <v>0.89920948616600815</v>
      </c>
      <c r="AP5" s="37">
        <f>SQRT(1-AO5^2)</f>
        <v>0.43751834246013455</v>
      </c>
    </row>
    <row r="6" spans="2:42" x14ac:dyDescent="0.25">
      <c r="B6" s="6">
        <v>6</v>
      </c>
      <c r="C6" s="1">
        <v>4.3499999999999996</v>
      </c>
      <c r="D6" s="1">
        <v>4.4000000000000004</v>
      </c>
      <c r="E6" s="7">
        <v>4.5</v>
      </c>
      <c r="F6" s="6">
        <v>600</v>
      </c>
      <c r="G6" s="1">
        <v>395</v>
      </c>
      <c r="H6" s="1">
        <v>395</v>
      </c>
      <c r="I6" s="7">
        <v>400</v>
      </c>
      <c r="J6" s="6">
        <v>2000</v>
      </c>
      <c r="K6" s="1">
        <v>20</v>
      </c>
      <c r="L6" s="16">
        <v>44.5</v>
      </c>
      <c r="M6" s="16">
        <v>46</v>
      </c>
      <c r="N6" s="16">
        <v>43</v>
      </c>
      <c r="O6" s="7">
        <v>20</v>
      </c>
      <c r="P6" s="6">
        <f t="shared" ref="P6:P7" si="3">L6*$K6</f>
        <v>890</v>
      </c>
      <c r="Q6" s="2">
        <f t="shared" ref="Q6:Q7" si="4">M6*$K6</f>
        <v>920</v>
      </c>
      <c r="R6" s="18">
        <f t="shared" ref="R6:R7" si="5">N6*$K6</f>
        <v>860</v>
      </c>
      <c r="S6" s="21" t="s">
        <v>22</v>
      </c>
      <c r="T6" s="23">
        <f t="shared" ref="T6:T7" si="6">AVERAGE(G6:I6)</f>
        <v>396.66666666666669</v>
      </c>
      <c r="U6" s="14">
        <f t="shared" ref="U6:U7" si="7">(1/T6)*SQRT((2/3)*((G6-T6)^2+(H6-T6)^2+(I6-T6)^2))*100</f>
        <v>0.8403361344537813</v>
      </c>
      <c r="V6" s="26">
        <f t="shared" ref="V6:V7" si="8">AVERAGE(C6:E6)</f>
        <v>4.416666666666667</v>
      </c>
      <c r="W6" s="23">
        <f t="shared" ref="W6:W7" si="9">(1/SQRT(3))*(P6+Q6+R6)</f>
        <v>1541.525218736301</v>
      </c>
      <c r="X6" s="26">
        <f t="shared" ref="X6:X7" si="10">AL6</f>
        <v>3.4738501211150634</v>
      </c>
      <c r="Y6" s="36">
        <f t="shared" ref="Y6:Y7" si="11">COS(ASIN(W6/(SQRT(3)*T6*V6)))</f>
        <v>0.86135295434210191</v>
      </c>
      <c r="Z6" s="35">
        <f t="shared" ref="Z6" si="12">T6*V6*Y6*SQRT(3)</f>
        <v>2613.7383207312969</v>
      </c>
      <c r="AA6" s="33">
        <f>(O6/P6)*100</f>
        <v>2.2471910112359552</v>
      </c>
      <c r="AB6" s="33">
        <f>($O6/Q6)*100</f>
        <v>2.1739130434782608</v>
      </c>
      <c r="AC6" s="33">
        <f>($O6/R6)*100</f>
        <v>2.3255813953488373</v>
      </c>
      <c r="AD6" s="33">
        <f t="shared" si="1"/>
        <v>1.1235955056179776</v>
      </c>
      <c r="AE6" s="33">
        <f t="shared" si="1"/>
        <v>1.0869565217391304</v>
      </c>
      <c r="AF6" s="33">
        <f t="shared" si="1"/>
        <v>1.1627906976744187</v>
      </c>
      <c r="AG6" s="33">
        <f t="shared" ref="AG6:AG7" si="13">(1/SQRT(3))*SQRT((AA6^2)+(AD6^2)+($AJ6^2))</f>
        <v>1.7367261625207695</v>
      </c>
      <c r="AH6" s="33">
        <f t="shared" ref="AH6:AH7" si="14">(1/SQRT(3))*SQRT((AB6^2)+(AE6^2)+($AJ6^2))</f>
        <v>1.6974187648980343</v>
      </c>
      <c r="AI6" s="33">
        <f t="shared" ref="AI6:AI7" si="15">(1/SQRT(3))*SQRT((AC6^2)+(AF6^2)+($AJ6^2))</f>
        <v>1.7792067541949292</v>
      </c>
      <c r="AJ6" s="33">
        <f t="shared" ref="AJ6:AJ7" si="16">U6/AO6</f>
        <v>1.6541822721597996</v>
      </c>
      <c r="AK6" s="33">
        <f>SQRT(((P6/W6)^2)*(AG6^2)+((Q6/W6)^2)*(AH6^2)+((R6/W6)^2)*(AI6^2))</f>
        <v>1.7369250605575317</v>
      </c>
      <c r="AL6" s="33">
        <f t="shared" ref="AL6:AL7" si="17">2*AK6</f>
        <v>3.4738501211150634</v>
      </c>
      <c r="AM6" s="44">
        <f>AL6*W6/100</f>
        <v>53.550275678090237</v>
      </c>
      <c r="AN6" s="28">
        <f t="shared" ref="AN6:AN7" si="18">T6*V6*SQRT(3)</f>
        <v>3034.456789815808</v>
      </c>
      <c r="AO6" s="37">
        <f t="shared" ref="AO6:AO7" si="19">W6/AN6</f>
        <v>0.50800697637545589</v>
      </c>
      <c r="AP6" s="37">
        <f t="shared" ref="AP6:AP7" si="20">SQRT(1-AO6^2)</f>
        <v>0.86135295434210191</v>
      </c>
    </row>
    <row r="7" spans="2:42" ht="15.75" thickBot="1" x14ac:dyDescent="0.3">
      <c r="B7" s="8">
        <v>6</v>
      </c>
      <c r="C7" s="9">
        <v>3.45</v>
      </c>
      <c r="D7" s="9">
        <v>4.1500000000000004</v>
      </c>
      <c r="E7" s="10">
        <v>4.1500000000000004</v>
      </c>
      <c r="F7" s="8">
        <v>600</v>
      </c>
      <c r="G7" s="9">
        <v>395</v>
      </c>
      <c r="H7" s="9">
        <v>395</v>
      </c>
      <c r="I7" s="10">
        <v>400</v>
      </c>
      <c r="J7" s="8">
        <v>2000</v>
      </c>
      <c r="K7" s="9">
        <v>20</v>
      </c>
      <c r="L7" s="17">
        <v>-13.5</v>
      </c>
      <c r="M7" s="17">
        <v>43</v>
      </c>
      <c r="N7" s="17">
        <v>39</v>
      </c>
      <c r="O7" s="10">
        <v>20</v>
      </c>
      <c r="P7" s="8">
        <f t="shared" si="3"/>
        <v>-270</v>
      </c>
      <c r="Q7" s="11">
        <f t="shared" si="4"/>
        <v>860</v>
      </c>
      <c r="R7" s="19">
        <f t="shared" si="5"/>
        <v>780</v>
      </c>
      <c r="S7" s="22" t="s">
        <v>22</v>
      </c>
      <c r="T7" s="24">
        <f t="shared" si="6"/>
        <v>396.66666666666669</v>
      </c>
      <c r="U7" s="15">
        <f t="shared" si="7"/>
        <v>0.8403361344537813</v>
      </c>
      <c r="V7" s="27">
        <f t="shared" si="8"/>
        <v>3.9166666666666665</v>
      </c>
      <c r="W7" s="24">
        <f t="shared" si="9"/>
        <v>790.96986878978737</v>
      </c>
      <c r="X7" s="26">
        <f t="shared" si="10"/>
        <v>7.5311064155834471</v>
      </c>
      <c r="Y7" s="36">
        <f t="shared" si="11"/>
        <v>0.95582422610259177</v>
      </c>
      <c r="Z7" s="35">
        <f>Y7*(C7*G7+D7*H7+E7*I7)/SQRT(3)</f>
        <v>2572.7031346989415</v>
      </c>
      <c r="AA7" s="33">
        <f>(O7/P7)*100</f>
        <v>-7.4074074074074066</v>
      </c>
      <c r="AB7" s="33">
        <f>($O7/Q7)*100</f>
        <v>2.3255813953488373</v>
      </c>
      <c r="AC7" s="33">
        <f>($O7/R7)*100</f>
        <v>2.5641025641025639</v>
      </c>
      <c r="AD7" s="33">
        <f t="shared" si="1"/>
        <v>-3.7037037037037037</v>
      </c>
      <c r="AE7" s="33">
        <f t="shared" si="1"/>
        <v>1.1627906976744187</v>
      </c>
      <c r="AF7" s="33">
        <f t="shared" si="1"/>
        <v>1.2820512820512822</v>
      </c>
      <c r="AG7" s="33">
        <f t="shared" si="13"/>
        <v>5.0583365160998408</v>
      </c>
      <c r="AH7" s="33">
        <f t="shared" si="14"/>
        <v>2.2311140968266168</v>
      </c>
      <c r="AI7" s="33">
        <f t="shared" si="15"/>
        <v>2.3374827454073479</v>
      </c>
      <c r="AJ7" s="33">
        <f t="shared" si="16"/>
        <v>2.8588807785888064</v>
      </c>
      <c r="AK7" s="33">
        <f>SQRT(((P7/W7)^2)*(AG7^2)+((Q7/W7)^2)*(AH7^2)+((R7/W7)^2)*(AI7^2))</f>
        <v>3.7655532077917235</v>
      </c>
      <c r="AL7" s="33">
        <f t="shared" si="17"/>
        <v>7.5311064155834471</v>
      </c>
      <c r="AM7" s="44">
        <f>AL7*W7/100</f>
        <v>59.568782533759652</v>
      </c>
      <c r="AN7" s="28">
        <f t="shared" si="18"/>
        <v>2690.9333796479805</v>
      </c>
      <c r="AO7" s="37">
        <f t="shared" si="19"/>
        <v>0.29393885213659937</v>
      </c>
      <c r="AP7" s="37">
        <f t="shared" si="20"/>
        <v>0.95582422610259166</v>
      </c>
    </row>
    <row r="8" spans="2:42" ht="15.75" thickBot="1" x14ac:dyDescent="0.3">
      <c r="AM8" s="45"/>
    </row>
    <row r="9" spans="2:42" ht="24.75" customHeight="1" x14ac:dyDescent="0.25">
      <c r="C9" t="s">
        <v>49</v>
      </c>
      <c r="D9" t="s">
        <v>50</v>
      </c>
      <c r="E9" t="s">
        <v>48</v>
      </c>
      <c r="G9">
        <f>G5/SQRT(3)</f>
        <v>230.94010767585033</v>
      </c>
      <c r="H9">
        <f t="shared" ref="H9:I9" si="21">H5/SQRT(3)</f>
        <v>228.05335632990219</v>
      </c>
      <c r="I9">
        <f t="shared" si="21"/>
        <v>233.82685902179844</v>
      </c>
      <c r="J9">
        <f>G9*C5+H9*D5+I9*E5</f>
        <v>584.33620744682025</v>
      </c>
      <c r="K9" s="34"/>
      <c r="M9" s="28"/>
      <c r="N9" t="s">
        <v>47</v>
      </c>
      <c r="Z9" s="35">
        <v>2572.0593150956624</v>
      </c>
    </row>
    <row r="10" spans="2:42" x14ac:dyDescent="0.25">
      <c r="C10">
        <f>W5/((1/SQRT(3))*(C5*G5+D5*H5+E5*I5))</f>
        <v>0.89912064025293947</v>
      </c>
      <c r="D10">
        <f>ATAN(C10)</f>
        <v>0.73232905518614888</v>
      </c>
      <c r="E10">
        <f>COS(D10)</f>
        <v>0.74361920646954327</v>
      </c>
      <c r="G10">
        <f t="shared" ref="G10:I10" si="22">G6/SQRT(3)</f>
        <v>228.05335632990219</v>
      </c>
      <c r="H10">
        <f t="shared" si="22"/>
        <v>228.05335632990219</v>
      </c>
      <c r="I10">
        <f t="shared" si="22"/>
        <v>230.94010767585033</v>
      </c>
      <c r="J10">
        <f t="shared" ref="J10:J11" si="23">G10*C6+H10*D6+I10*E6</f>
        <v>3034.6973524279706</v>
      </c>
      <c r="M10" s="28"/>
      <c r="N10" s="28">
        <f>SQRT(W5^2+Z5^2)</f>
        <v>584.27847241990116</v>
      </c>
      <c r="O10">
        <f>N10*Y5</f>
        <v>255.63254878829466</v>
      </c>
      <c r="P10">
        <f>C10*O10</f>
        <v>229.84450093602229</v>
      </c>
    </row>
    <row r="11" spans="2:42" x14ac:dyDescent="0.25">
      <c r="C11">
        <f t="shared" ref="C11:C12" si="24">W6/((1/SQRT(3))*(C6*G6+D6*H6+E6*I6))</f>
        <v>0.50796670630202134</v>
      </c>
      <c r="D11">
        <f t="shared" ref="D11:D12" si="25">ATAN(C11)</f>
        <v>0.4700006431939539</v>
      </c>
      <c r="E11">
        <f t="shared" ref="E11:E12" si="26">COS(D11)</f>
        <v>0.89156799690142396</v>
      </c>
      <c r="G11">
        <f t="shared" ref="G11:I11" si="27">G7/SQRT(3)</f>
        <v>228.05335632990219</v>
      </c>
      <c r="H11">
        <f t="shared" si="27"/>
        <v>228.05335632990219</v>
      </c>
      <c r="I11">
        <f t="shared" si="27"/>
        <v>230.94010767585033</v>
      </c>
      <c r="J11">
        <f t="shared" si="23"/>
        <v>2691.6069549620356</v>
      </c>
      <c r="M11" s="28"/>
      <c r="N11" s="28">
        <f t="shared" ref="N11:N12" si="28">SQRT(W6^2+Z6^2)</f>
        <v>3034.456789815808</v>
      </c>
      <c r="O11">
        <f t="shared" ref="O11:O12" si="29">N11*Y6</f>
        <v>2613.7383207312969</v>
      </c>
      <c r="P11">
        <f t="shared" ref="P11:P12" si="30">C11*O11</f>
        <v>1327.6920459172532</v>
      </c>
    </row>
    <row r="12" spans="2:42" x14ac:dyDescent="0.25">
      <c r="C12">
        <f t="shared" si="24"/>
        <v>0.29386529386529386</v>
      </c>
      <c r="D12">
        <f t="shared" si="25"/>
        <v>0.28581916447537459</v>
      </c>
      <c r="E12">
        <f t="shared" si="26"/>
        <v>0.95943101650599971</v>
      </c>
      <c r="N12" s="28">
        <f t="shared" si="28"/>
        <v>2691.5487646749211</v>
      </c>
      <c r="O12">
        <f t="shared" si="29"/>
        <v>2572.6475150127935</v>
      </c>
      <c r="P12">
        <f t="shared" si="30"/>
        <v>756.01181801105258</v>
      </c>
    </row>
    <row r="13" spans="2:42" x14ac:dyDescent="0.25">
      <c r="H13">
        <f>5.1*380*SQRT(3)</f>
        <v>3356.7144650684836</v>
      </c>
    </row>
    <row r="14" spans="2:42" x14ac:dyDescent="0.25">
      <c r="C14">
        <f>(C5*G5+D5*H5+E5*I5)/SQRT(3)</f>
        <v>584.33620744682025</v>
      </c>
    </row>
  </sheetData>
  <mergeCells count="6">
    <mergeCell ref="B1:O1"/>
    <mergeCell ref="P1:Z1"/>
    <mergeCell ref="B2:E2"/>
    <mergeCell ref="F2:I2"/>
    <mergeCell ref="J2:O2"/>
    <mergeCell ref="P2:Z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</dc:creator>
  <cp:lastModifiedBy>Kacper Borucki</cp:lastModifiedBy>
  <dcterms:created xsi:type="dcterms:W3CDTF">2018-12-06T20:48:09Z</dcterms:created>
  <dcterms:modified xsi:type="dcterms:W3CDTF">2018-12-17T15:35:26Z</dcterms:modified>
</cp:coreProperties>
</file>