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06-RongCloud\01-私有云\01-部署方案\设备资源评估工具及更新部署方案\"/>
    </mc:Choice>
  </mc:AlternateContent>
  <xr:revisionPtr revIDLastSave="0" documentId="13_ncr:1_{A4782515-C44C-4223-958C-F8B5A78028BB}" xr6:coauthVersionLast="47" xr6:coauthVersionMax="47" xr10:uidLastSave="{00000000-0000-0000-0000-000000000000}"/>
  <bookViews>
    <workbookView xWindow="-120" yWindow="-120" windowWidth="29040" windowHeight="15525" tabRatio="500" activeTab="1" xr2:uid="{00000000-000D-0000-FFFF-FFFF00000000}"/>
  </bookViews>
  <sheets>
    <sheet name="01-设备资源评估梯度表（非国产化）" sheetId="7" r:id="rId1"/>
    <sheet name="02-业务模型信息采集及设备资源评估工具" sheetId="6" r:id="rId2"/>
  </sheets>
  <calcPr calcId="191029"/>
</workbook>
</file>

<file path=xl/calcChain.xml><?xml version="1.0" encoding="utf-8"?>
<calcChain xmlns="http://schemas.openxmlformats.org/spreadsheetml/2006/main">
  <c r="C67" i="6" l="1"/>
  <c r="C72" i="6"/>
  <c r="G3" i="6"/>
  <c r="C57" i="6"/>
  <c r="C75" i="6"/>
  <c r="C78" i="6"/>
  <c r="C77" i="6"/>
  <c r="C79" i="6" s="1"/>
  <c r="C80" i="6" s="1"/>
  <c r="C81" i="6" s="1"/>
  <c r="C76" i="6"/>
  <c r="C66" i="6"/>
  <c r="J14" i="6" s="1"/>
  <c r="K14" i="6" s="1"/>
  <c r="K15" i="6" s="1"/>
  <c r="C65" i="6"/>
  <c r="J13" i="6" s="1"/>
  <c r="C64" i="6"/>
  <c r="J9" i="6" s="1"/>
  <c r="C63" i="6"/>
  <c r="J7" i="6" s="1"/>
  <c r="Q7" i="6" s="1"/>
  <c r="C62" i="6"/>
  <c r="J6" i="6" s="1"/>
  <c r="C61" i="6"/>
  <c r="J5" i="6" s="1"/>
  <c r="K5" i="6" s="1"/>
  <c r="C60" i="6"/>
  <c r="J4" i="6" s="1"/>
  <c r="K4" i="6" s="1"/>
  <c r="C59" i="6"/>
  <c r="C58" i="6"/>
  <c r="C56" i="6"/>
  <c r="C55" i="6"/>
  <c r="N12" i="6" s="1"/>
  <c r="I12" i="6" s="1"/>
  <c r="C54" i="6"/>
  <c r="C53" i="6"/>
  <c r="C48" i="6"/>
  <c r="C47" i="6"/>
  <c r="C46" i="6"/>
  <c r="C44" i="6"/>
  <c r="C43" i="6"/>
  <c r="C41" i="6"/>
  <c r="C37" i="6"/>
  <c r="C39" i="6" s="1"/>
  <c r="C36" i="6"/>
  <c r="N10" i="6" s="1"/>
  <c r="J12" i="6"/>
  <c r="K12" i="6" s="1"/>
  <c r="S8" i="6"/>
  <c r="R8" i="6"/>
  <c r="Q8" i="6"/>
  <c r="E53" i="7"/>
  <c r="D53" i="7"/>
  <c r="C53" i="7"/>
  <c r="B53" i="7"/>
  <c r="K34" i="7"/>
  <c r="J34" i="7"/>
  <c r="I34" i="7"/>
  <c r="H34" i="7"/>
  <c r="E34" i="7"/>
  <c r="D34" i="7"/>
  <c r="C34" i="7"/>
  <c r="B34" i="7"/>
  <c r="K15" i="7"/>
  <c r="J15" i="7"/>
  <c r="I15" i="7"/>
  <c r="H15" i="7"/>
  <c r="E15" i="7"/>
  <c r="D15" i="7"/>
  <c r="C15" i="7"/>
  <c r="B15" i="7"/>
  <c r="J15" i="6" l="1"/>
  <c r="I8" i="6"/>
  <c r="P8" i="6" s="1"/>
  <c r="I7" i="6"/>
  <c r="L7" i="6" s="1"/>
  <c r="S7" i="6" s="1"/>
  <c r="R9" i="6"/>
  <c r="N3" i="6"/>
  <c r="I3" i="6" s="1"/>
  <c r="I10" i="6"/>
  <c r="L10" i="6" s="1"/>
  <c r="C40" i="6"/>
  <c r="C42" i="6" s="1"/>
  <c r="Q9" i="6"/>
  <c r="K7" i="6"/>
  <c r="R7" i="6" s="1"/>
  <c r="C49" i="6"/>
  <c r="H38" i="6" s="1"/>
  <c r="J3" i="6"/>
  <c r="C38" i="6"/>
  <c r="C50" i="6"/>
  <c r="I6" i="6"/>
  <c r="L6" i="6" s="1"/>
  <c r="N9" i="6" l="1"/>
  <c r="I9" i="6" s="1"/>
  <c r="L9" i="6" s="1"/>
  <c r="P7" i="6"/>
  <c r="N8" i="6"/>
  <c r="N7" i="6"/>
  <c r="N4" i="6"/>
  <c r="I4" i="6" s="1"/>
  <c r="L4" i="6" s="1"/>
  <c r="K36" i="6"/>
  <c r="J36" i="6"/>
  <c r="H36" i="6"/>
  <c r="C45" i="6"/>
  <c r="N5" i="6" s="1"/>
  <c r="I5" i="6" s="1"/>
  <c r="I36" i="6"/>
  <c r="N6" i="6"/>
  <c r="J38" i="6"/>
  <c r="N14" i="6"/>
  <c r="N11" i="6"/>
  <c r="I38" i="6"/>
  <c r="K38" i="6" s="1"/>
  <c r="K3" i="6"/>
  <c r="Q3" i="6"/>
  <c r="C51" i="6"/>
  <c r="N13" i="6"/>
  <c r="I13" i="6" s="1"/>
  <c r="L13" i="6" s="1"/>
  <c r="C52" i="6"/>
  <c r="I37" i="6" l="1"/>
  <c r="K37" i="6" s="1"/>
  <c r="I11" i="6"/>
  <c r="L11" i="6" s="1"/>
  <c r="N16" i="6"/>
  <c r="I16" i="6" s="1"/>
  <c r="I14" i="6"/>
  <c r="I15" i="6" s="1"/>
  <c r="N15" i="6"/>
  <c r="H37" i="6"/>
  <c r="J37" i="6" s="1"/>
  <c r="L5" i="6"/>
  <c r="S3" i="6" s="1"/>
  <c r="P3" i="6"/>
  <c r="K39" i="6"/>
  <c r="K40" i="6" s="1"/>
  <c r="J39" i="6"/>
  <c r="I39" i="6"/>
  <c r="I40" i="6" s="1"/>
  <c r="H39" i="6"/>
  <c r="R3" i="6"/>
  <c r="P9" i="6" l="1"/>
  <c r="P17" i="6" s="1"/>
  <c r="I17" i="6"/>
  <c r="K17" i="6"/>
  <c r="J17" i="6"/>
  <c r="L14" i="6"/>
  <c r="S9" i="6" s="1"/>
  <c r="S17" i="6" s="1"/>
  <c r="H40" i="6"/>
  <c r="J40" i="6"/>
  <c r="Q17" i="6" l="1"/>
  <c r="R17" i="6"/>
  <c r="L17" i="6"/>
</calcChain>
</file>

<file path=xl/sharedStrings.xml><?xml version="1.0" encoding="utf-8"?>
<sst xmlns="http://schemas.openxmlformats.org/spreadsheetml/2006/main" count="414" uniqueCount="240">
  <si>
    <t>设备资源评估-500用户</t>
  </si>
  <si>
    <t>设备资源评估-1000用户</t>
  </si>
  <si>
    <t>角色</t>
  </si>
  <si>
    <t>数量</t>
  </si>
  <si>
    <t>CPU</t>
  </si>
  <si>
    <t>内存（G）</t>
  </si>
  <si>
    <t>磁盘（G）</t>
  </si>
  <si>
    <t>场景类别</t>
  </si>
  <si>
    <t>基础数据</t>
  </si>
  <si>
    <t>值</t>
  </si>
  <si>
    <t>单位</t>
  </si>
  <si>
    <t>说 明</t>
  </si>
  <si>
    <t>MySQL</t>
  </si>
  <si>
    <r>
      <rPr>
        <sz val="12"/>
        <color theme="1"/>
        <rFont val="微软雅黑"/>
        <family val="2"/>
        <charset val="134"/>
      </rPr>
      <t xml:space="preserve">用户总数  </t>
    </r>
    <r>
      <rPr>
        <sz val="12"/>
        <color rgb="FFFF0000"/>
        <rFont val="微软雅黑"/>
        <family val="2"/>
        <charset val="134"/>
      </rPr>
      <t>*</t>
    </r>
  </si>
  <si>
    <t>人</t>
  </si>
  <si>
    <t>License限制人数填写限制数，不限人数License填写预计最大注册数。</t>
  </si>
  <si>
    <t>RCDB</t>
  </si>
  <si>
    <t>天</t>
  </si>
  <si>
    <t>FileServer</t>
  </si>
  <si>
    <t>Redis</t>
  </si>
  <si>
    <t>平均群规模大小，即平均每个群有多少人。</t>
  </si>
  <si>
    <t>ES</t>
  </si>
  <si>
    <r>
      <rPr>
        <sz val="12"/>
        <color theme="1"/>
        <rFont val="微软雅黑"/>
        <family val="2"/>
        <charset val="134"/>
      </rPr>
      <t xml:space="preserve">平均消息尺寸 </t>
    </r>
    <r>
      <rPr>
        <sz val="12"/>
        <color rgb="FFFF0000"/>
        <rFont val="微软雅黑"/>
        <family val="2"/>
        <charset val="134"/>
      </rPr>
      <t xml:space="preserve"> *</t>
    </r>
  </si>
  <si>
    <t>KB</t>
  </si>
  <si>
    <t>默认：1KB</t>
  </si>
  <si>
    <t>ZK</t>
  </si>
  <si>
    <r>
      <rPr>
        <sz val="12"/>
        <color theme="1"/>
        <rFont val="微软雅黑"/>
        <family val="2"/>
        <charset val="134"/>
      </rPr>
      <t xml:space="preserve">平均文件大小 </t>
    </r>
    <r>
      <rPr>
        <sz val="12"/>
        <color rgb="FFFF0000"/>
        <rFont val="微软雅黑"/>
        <family val="2"/>
        <charset val="134"/>
      </rPr>
      <t xml:space="preserve"> *</t>
    </r>
  </si>
  <si>
    <t>MB</t>
  </si>
  <si>
    <t>默认：1MB</t>
  </si>
  <si>
    <t>RCX</t>
  </si>
  <si>
    <r>
      <rPr>
        <sz val="12"/>
        <color theme="1"/>
        <rFont val="微软雅黑"/>
        <family val="2"/>
        <charset val="134"/>
      </rPr>
      <t xml:space="preserve">在线用户平均日消息量  </t>
    </r>
    <r>
      <rPr>
        <sz val="12"/>
        <color rgb="FFFF0000"/>
        <rFont val="微软雅黑"/>
        <family val="2"/>
        <charset val="134"/>
      </rPr>
      <t>*</t>
    </r>
  </si>
  <si>
    <t>条</t>
  </si>
  <si>
    <t>在线用户平均每天消息发送数量，比如每个用户平均发100条消息。</t>
  </si>
  <si>
    <t>RCE</t>
  </si>
  <si>
    <r>
      <rPr>
        <sz val="12"/>
        <color theme="1"/>
        <rFont val="微软雅黑"/>
        <family val="2"/>
        <charset val="134"/>
      </rPr>
      <t xml:space="preserve">同时在线比率  </t>
    </r>
    <r>
      <rPr>
        <sz val="12"/>
        <color rgb="FFFF0000"/>
        <rFont val="微软雅黑"/>
        <family val="2"/>
        <charset val="134"/>
      </rPr>
      <t>*</t>
    </r>
  </si>
  <si>
    <t>%</t>
  </si>
  <si>
    <t>MediaServer</t>
  </si>
  <si>
    <r>
      <rPr>
        <sz val="12"/>
        <color theme="1"/>
        <rFont val="微软雅黑"/>
        <family val="2"/>
        <charset val="134"/>
      </rPr>
      <t xml:space="preserve">单聊消息比率  </t>
    </r>
    <r>
      <rPr>
        <sz val="12"/>
        <color rgb="FFFF0000"/>
        <rFont val="微软雅黑"/>
        <family val="2"/>
        <charset val="134"/>
      </rPr>
      <t>*</t>
    </r>
  </si>
  <si>
    <t>Nginx</t>
  </si>
  <si>
    <r>
      <rPr>
        <sz val="12"/>
        <color theme="1"/>
        <rFont val="微软雅黑"/>
        <family val="2"/>
        <charset val="134"/>
      </rPr>
      <t xml:space="preserve">群聊消息比率  </t>
    </r>
    <r>
      <rPr>
        <sz val="12"/>
        <color rgb="FFFF0000"/>
        <rFont val="微软雅黑"/>
        <family val="2"/>
        <charset val="134"/>
      </rPr>
      <t>*</t>
    </r>
  </si>
  <si>
    <t>ChatRoom</t>
  </si>
  <si>
    <r>
      <rPr>
        <sz val="12"/>
        <color theme="1"/>
        <rFont val="微软雅黑"/>
        <family val="2"/>
        <charset val="134"/>
      </rPr>
      <t xml:space="preserve">富文本消息比率  </t>
    </r>
    <r>
      <rPr>
        <sz val="12"/>
        <color rgb="FFFF0000"/>
        <rFont val="微软雅黑"/>
        <family val="2"/>
        <charset val="134"/>
      </rPr>
      <t>*</t>
    </r>
  </si>
  <si>
    <t>Record</t>
  </si>
  <si>
    <r>
      <rPr>
        <sz val="12"/>
        <color theme="1"/>
        <rFont val="微软雅黑"/>
        <family val="2"/>
        <charset val="134"/>
      </rPr>
      <t xml:space="preserve">音视频比率 </t>
    </r>
    <r>
      <rPr>
        <sz val="12"/>
        <color rgb="FFFF0000"/>
        <rFont val="微软雅黑"/>
        <family val="2"/>
        <charset val="134"/>
      </rPr>
      <t xml:space="preserve"> *</t>
    </r>
  </si>
  <si>
    <t>合计</t>
  </si>
  <si>
    <r>
      <rPr>
        <sz val="12"/>
        <color theme="1"/>
        <rFont val="微软雅黑"/>
        <family val="2"/>
        <charset val="134"/>
      </rPr>
      <t xml:space="preserve">聊天室比率 </t>
    </r>
    <r>
      <rPr>
        <sz val="12"/>
        <color rgb="FFFF0000"/>
        <rFont val="微软雅黑"/>
        <family val="2"/>
        <charset val="134"/>
      </rPr>
      <t xml:space="preserve"> *</t>
    </r>
  </si>
  <si>
    <t>备注：
1.RCE、MediaServer、ChatRoom、Record、ES按需部署。</t>
  </si>
  <si>
    <t>其它</t>
  </si>
  <si>
    <r>
      <rPr>
        <sz val="12"/>
        <color theme="1"/>
        <rFont val="微软雅黑"/>
        <family val="2"/>
        <charset val="134"/>
      </rPr>
      <t>群成员在线比率</t>
    </r>
    <r>
      <rPr>
        <sz val="12"/>
        <color rgb="FFFF0000"/>
        <rFont val="微软雅黑"/>
        <family val="2"/>
        <charset val="134"/>
      </rPr>
      <t xml:space="preserve"> *</t>
    </r>
  </si>
  <si>
    <t>通过内网使用的人数占总使用人数的比率。</t>
  </si>
  <si>
    <r>
      <rPr>
        <sz val="12"/>
        <color theme="1"/>
        <rFont val="微软雅黑"/>
        <family val="2"/>
        <charset val="134"/>
      </rPr>
      <t xml:space="preserve">是否高可用 </t>
    </r>
    <r>
      <rPr>
        <sz val="12"/>
        <color rgb="FFFF0000"/>
        <rFont val="微软雅黑"/>
        <family val="2"/>
        <charset val="134"/>
      </rPr>
      <t xml:space="preserve"> *</t>
    </r>
  </si>
  <si>
    <t>N/A</t>
  </si>
  <si>
    <t>下拉选择填写，是：1，否：0</t>
  </si>
  <si>
    <r>
      <rPr>
        <sz val="12"/>
        <color theme="1"/>
        <rFont val="微软雅黑"/>
        <family val="2"/>
        <charset val="134"/>
      </rPr>
      <t xml:space="preserve">是否使用RCE </t>
    </r>
    <r>
      <rPr>
        <sz val="12"/>
        <color rgb="FFFF0000"/>
        <rFont val="微软雅黑"/>
        <family val="2"/>
        <charset val="134"/>
      </rPr>
      <t xml:space="preserve"> *</t>
    </r>
  </si>
  <si>
    <t>设备资源评估-3000用户</t>
  </si>
  <si>
    <t>设备资源评估-5000用户</t>
  </si>
  <si>
    <r>
      <rPr>
        <sz val="12"/>
        <color theme="1"/>
        <rFont val="微软雅黑"/>
        <family val="2"/>
        <charset val="134"/>
      </rPr>
      <t xml:space="preserve">平均聊天室个数  </t>
    </r>
    <r>
      <rPr>
        <sz val="12"/>
        <color rgb="FFFF0000"/>
        <rFont val="微软雅黑"/>
        <family val="2"/>
        <charset val="134"/>
      </rPr>
      <t>*</t>
    </r>
  </si>
  <si>
    <t>个</t>
  </si>
  <si>
    <t>即所有在聊天室的用户分布在多少个聊天室中</t>
  </si>
  <si>
    <r>
      <rPr>
        <sz val="12"/>
        <color theme="1"/>
        <rFont val="微软雅黑"/>
        <family val="2"/>
        <charset val="134"/>
      </rPr>
      <t xml:space="preserve">文件服务数据中心数量  </t>
    </r>
    <r>
      <rPr>
        <sz val="12"/>
        <color rgb="FFFF0000"/>
        <rFont val="微软雅黑"/>
        <family val="2"/>
        <charset val="134"/>
      </rPr>
      <t>*</t>
    </r>
  </si>
  <si>
    <t>默认：1</t>
  </si>
  <si>
    <t>设备资源评估结果-8000用户</t>
  </si>
  <si>
    <t>3.1-复用部署手工调整部分</t>
  </si>
  <si>
    <t>评估数量</t>
  </si>
  <si>
    <t>复用部署标识</t>
  </si>
  <si>
    <t>磁盘存储非消息关系型业务数据</t>
  </si>
  <si>
    <r>
      <rPr>
        <sz val="10"/>
        <color rgb="FFC00000"/>
        <rFont val="微软雅黑"/>
        <family val="2"/>
        <charset val="134"/>
      </rPr>
      <t>系统默认180天</t>
    </r>
    <r>
      <rPr>
        <sz val="10"/>
        <color theme="1" tint="0.34998626667073579"/>
        <rFont val="微软雅黑"/>
        <family val="2"/>
        <charset val="134"/>
      </rPr>
      <t>，一般不做修改。</t>
    </r>
  </si>
  <si>
    <r>
      <rPr>
        <sz val="10"/>
        <color theme="1" tint="0.34998626667073579"/>
        <rFont val="微软雅黑"/>
        <family val="2"/>
        <charset val="134"/>
      </rPr>
      <t>磁盘容量按照互为主从</t>
    </r>
    <r>
      <rPr>
        <sz val="10"/>
        <color rgb="FFC00000"/>
        <rFont val="微软雅黑"/>
        <family val="2"/>
        <charset val="134"/>
      </rPr>
      <t>有副本</t>
    </r>
    <r>
      <rPr>
        <sz val="10"/>
        <color theme="1" tint="0.34998626667073579"/>
        <rFont val="微软雅黑"/>
        <family val="2"/>
        <charset val="134"/>
      </rPr>
      <t>方式进行计算</t>
    </r>
  </si>
  <si>
    <r>
      <rPr>
        <sz val="10"/>
        <color theme="1" tint="0.34998626667073579"/>
        <rFont val="微软雅黑"/>
        <family val="2"/>
        <charset val="134"/>
      </rPr>
      <t>磁盘容量按</t>
    </r>
    <r>
      <rPr>
        <sz val="10"/>
        <color rgb="FFC00000"/>
        <rFont val="微软雅黑"/>
        <family val="2"/>
        <charset val="134"/>
      </rPr>
      <t>无副本</t>
    </r>
    <r>
      <rPr>
        <sz val="10"/>
        <color theme="1" tint="0.34998626667073579"/>
        <rFont val="微软雅黑"/>
        <family val="2"/>
        <charset val="134"/>
      </rPr>
      <t>方式进行计算</t>
    </r>
  </si>
  <si>
    <t>磁盘只用于存储日志及Redis落盘</t>
  </si>
  <si>
    <t>磁盘存储RCE业务数据全文索引副本</t>
  </si>
  <si>
    <t>磁盘只用于存储日志</t>
  </si>
  <si>
    <r>
      <rPr>
        <sz val="10"/>
        <color theme="1" tint="0.34998626667073579"/>
        <rFont val="微软雅黑"/>
        <family val="2"/>
        <charset val="134"/>
      </rPr>
      <t>在线用户数占总用户数的比率。</t>
    </r>
    <r>
      <rPr>
        <sz val="10"/>
        <color rgb="FFC00000"/>
        <rFont val="微软雅黑"/>
        <family val="2"/>
        <charset val="134"/>
      </rPr>
      <t>默认：toB场景70%，toC场景30%</t>
    </r>
    <r>
      <rPr>
        <sz val="10"/>
        <color theme="1" tint="0.34998626667073579"/>
        <rFont val="微软雅黑"/>
        <family val="2"/>
        <charset val="134"/>
      </rPr>
      <t>。</t>
    </r>
  </si>
  <si>
    <r>
      <rPr>
        <sz val="10"/>
        <color theme="1" tint="0.34998626667073579"/>
        <rFont val="微软雅黑"/>
        <family val="2"/>
        <charset val="134"/>
      </rPr>
      <t>发送单聊消息用户数占总在线用户数的比率。</t>
    </r>
    <r>
      <rPr>
        <sz val="10"/>
        <color rgb="FFC00000"/>
        <rFont val="微软雅黑"/>
        <family val="2"/>
        <charset val="134"/>
      </rPr>
      <t>默认：30%</t>
    </r>
    <r>
      <rPr>
        <sz val="10"/>
        <color theme="1" tint="0.34998626667073579"/>
        <rFont val="微软雅黑"/>
        <family val="2"/>
        <charset val="134"/>
      </rPr>
      <t>。</t>
    </r>
  </si>
  <si>
    <r>
      <rPr>
        <sz val="10"/>
        <color theme="1" tint="0.34998626667073579"/>
        <rFont val="微软雅黑"/>
        <family val="2"/>
        <charset val="134"/>
      </rPr>
      <t>发送群聊消息用户数占总在线用户数的比率。</t>
    </r>
    <r>
      <rPr>
        <sz val="10"/>
        <color rgb="FFC00000"/>
        <rFont val="微软雅黑"/>
        <family val="2"/>
        <charset val="134"/>
      </rPr>
      <t>默认：5-10%</t>
    </r>
    <r>
      <rPr>
        <sz val="10"/>
        <color theme="1" tint="0.34998626667073579"/>
        <rFont val="微软雅黑"/>
        <family val="2"/>
        <charset val="134"/>
      </rPr>
      <t>。</t>
    </r>
  </si>
  <si>
    <r>
      <rPr>
        <sz val="10"/>
        <color theme="1" tint="0.34998626667073579"/>
        <rFont val="微软雅黑"/>
        <family val="2"/>
        <charset val="134"/>
      </rPr>
      <t>富文本消息数占总上行消息数的比率。</t>
    </r>
    <r>
      <rPr>
        <sz val="10"/>
        <color rgb="FFC00000"/>
        <rFont val="微软雅黑"/>
        <family val="2"/>
        <charset val="134"/>
      </rPr>
      <t>默认：5%</t>
    </r>
    <r>
      <rPr>
        <sz val="10"/>
        <color theme="1" tint="0.34998626667073579"/>
        <rFont val="微软雅黑"/>
        <family val="2"/>
        <charset val="134"/>
      </rPr>
      <t>。</t>
    </r>
  </si>
  <si>
    <r>
      <rPr>
        <sz val="10"/>
        <color theme="1" tint="0.34998626667073579"/>
        <rFont val="微软雅黑"/>
        <family val="2"/>
        <charset val="134"/>
      </rPr>
      <t>音视频通话用户数占总在线用户数的比率。</t>
    </r>
    <r>
      <rPr>
        <sz val="10"/>
        <color rgb="FFC00000"/>
        <rFont val="微软雅黑"/>
        <family val="2"/>
        <charset val="134"/>
      </rPr>
      <t>如果涉及，默认：1%</t>
    </r>
    <r>
      <rPr>
        <sz val="10"/>
        <color theme="1" tint="0.499984740745262"/>
        <rFont val="微软雅黑"/>
        <family val="2"/>
        <charset val="134"/>
      </rPr>
      <t>。</t>
    </r>
  </si>
  <si>
    <r>
      <rPr>
        <sz val="10"/>
        <color theme="1" tint="0.34998626667073579"/>
        <rFont val="微软雅黑"/>
        <family val="2"/>
        <charset val="134"/>
      </rPr>
      <t>聊天室用户数占总在线用户数的比率。</t>
    </r>
    <r>
      <rPr>
        <sz val="10"/>
        <color rgb="FFC00000"/>
        <rFont val="微软雅黑"/>
        <family val="2"/>
        <charset val="134"/>
      </rPr>
      <t>无默认值</t>
    </r>
    <r>
      <rPr>
        <sz val="10"/>
        <color theme="1" tint="0.34998626667073579"/>
        <rFont val="微软雅黑"/>
        <family val="2"/>
        <charset val="134"/>
      </rPr>
      <t>。</t>
    </r>
  </si>
  <si>
    <r>
      <rPr>
        <sz val="10"/>
        <color theme="1" tint="0.34998626667073579"/>
        <rFont val="微软雅黑"/>
        <family val="2"/>
        <charset val="134"/>
      </rPr>
      <t>在线群成员占全体群成员比率。</t>
    </r>
    <r>
      <rPr>
        <sz val="10"/>
        <color rgb="FFC00000"/>
        <rFont val="微软雅黑"/>
        <family val="2"/>
        <charset val="134"/>
      </rPr>
      <t>默认：70%</t>
    </r>
    <r>
      <rPr>
        <sz val="10"/>
        <color theme="1" tint="0.34998626667073579"/>
        <rFont val="微软雅黑"/>
        <family val="2"/>
        <charset val="134"/>
      </rPr>
      <t>。</t>
    </r>
  </si>
  <si>
    <t>国产化</t>
  </si>
  <si>
    <r>
      <rPr>
        <sz val="12"/>
        <color theme="1"/>
        <rFont val="微软雅黑"/>
        <family val="2"/>
        <charset val="134"/>
      </rPr>
      <t xml:space="preserve">CPU  </t>
    </r>
    <r>
      <rPr>
        <sz val="12"/>
        <color rgb="FFFF0000"/>
        <rFont val="微软雅黑"/>
        <family val="2"/>
        <charset val="134"/>
      </rPr>
      <t>*</t>
    </r>
  </si>
  <si>
    <r>
      <rPr>
        <sz val="12"/>
        <color theme="1"/>
        <rFont val="微软雅黑"/>
        <family val="2"/>
        <charset val="134"/>
      </rPr>
      <t xml:space="preserve">OS  </t>
    </r>
    <r>
      <rPr>
        <sz val="12"/>
        <color rgb="FFFF0000"/>
        <rFont val="微软雅黑"/>
        <family val="2"/>
        <charset val="134"/>
      </rPr>
      <t>*</t>
    </r>
  </si>
  <si>
    <r>
      <rPr>
        <sz val="12"/>
        <color theme="1"/>
        <rFont val="微软雅黑"/>
        <family val="2"/>
        <charset val="134"/>
      </rPr>
      <t xml:space="preserve">DB  </t>
    </r>
    <r>
      <rPr>
        <sz val="12"/>
        <color rgb="FFFF0000"/>
        <rFont val="微软雅黑"/>
        <family val="2"/>
        <charset val="134"/>
      </rPr>
      <t>*</t>
    </r>
  </si>
  <si>
    <r>
      <rPr>
        <sz val="10"/>
        <color theme="1" tint="0.34998626667073579"/>
        <rFont val="微软雅黑"/>
        <family val="2"/>
        <charset val="134"/>
      </rPr>
      <t xml:space="preserve">下拉选择填写，默认：MySQL
</t>
    </r>
    <r>
      <rPr>
        <sz val="10"/>
        <color rgb="FFC00000"/>
        <rFont val="微软雅黑"/>
        <family val="2"/>
        <charset val="134"/>
      </rPr>
      <t>目前仅支持：Mysql</t>
    </r>
  </si>
  <si>
    <t xml:space="preserve"> </t>
  </si>
  <si>
    <t>上行公网带宽</t>
  </si>
  <si>
    <t>上行内网带宽</t>
  </si>
  <si>
    <t>下行公网带宽</t>
  </si>
  <si>
    <t>下行内网带宽</t>
  </si>
  <si>
    <t>APP整体规模</t>
  </si>
  <si>
    <t>App 注册用户总数</t>
  </si>
  <si>
    <t>IM</t>
  </si>
  <si>
    <t>App 同时在线峰值</t>
  </si>
  <si>
    <t>用户总数*同时在线比率</t>
  </si>
  <si>
    <t>文件</t>
  </si>
  <si>
    <t>App 日消息总量</t>
  </si>
  <si>
    <t>单群聊之和（1条群上行产生N-1条下行）</t>
  </si>
  <si>
    <t>音视频</t>
  </si>
  <si>
    <t>消息场景</t>
  </si>
  <si>
    <t>单聊消息上行峰值</t>
  </si>
  <si>
    <t>条/秒</t>
  </si>
  <si>
    <t>同时在线数*单聊消息比率</t>
  </si>
  <si>
    <t>聊天室</t>
  </si>
  <si>
    <t>群消息上行峰值</t>
  </si>
  <si>
    <t>同时在线数*群聊消息比率</t>
  </si>
  <si>
    <t>整体带宽</t>
  </si>
  <si>
    <t>平均群人数</t>
  </si>
  <si>
    <t>群消息总体峰值</t>
  </si>
  <si>
    <t>群消息上下行峰值之和</t>
  </si>
  <si>
    <t>消息存储天数</t>
  </si>
  <si>
    <t>平均消息尺寸</t>
  </si>
  <si>
    <t>文件服务场景</t>
  </si>
  <si>
    <t>文件上传秒并发峰值</t>
  </si>
  <si>
    <t>次/秒</t>
  </si>
  <si>
    <t>单群聊上行之和*富文本消息比率</t>
  </si>
  <si>
    <t>平均文件大小</t>
  </si>
  <si>
    <t>文件存储天数</t>
  </si>
  <si>
    <t>文件服务数据中心数量</t>
  </si>
  <si>
    <t>音视频场景</t>
  </si>
  <si>
    <t>音视频通话人数峰值</t>
  </si>
  <si>
    <t>同时在线数*音视频比率</t>
  </si>
  <si>
    <t>聊天室场景</t>
  </si>
  <si>
    <t>聊天室同时在线峰值</t>
  </si>
  <si>
    <t>同时在线数*聊天室比率</t>
  </si>
  <si>
    <t xml:space="preserve">平均聊天室个数 </t>
  </si>
  <si>
    <t>平均聊天室人数</t>
  </si>
  <si>
    <t>群成员在线比率</t>
  </si>
  <si>
    <t>内网传输比率</t>
  </si>
  <si>
    <t>是否高可用</t>
  </si>
  <si>
    <t>是：1，否：0</t>
  </si>
  <si>
    <t>是否使用RCE</t>
  </si>
  <si>
    <t>是否使用音视频录制</t>
  </si>
  <si>
    <t>配算基数</t>
  </si>
  <si>
    <t>数据库服务器CPU核数</t>
  </si>
  <si>
    <t>核</t>
  </si>
  <si>
    <t>国产化CPU核数 = 非国产化CPU核数*2；
后续根据飞腾、MIPS龙芯实测结果进行公式调整。</t>
  </si>
  <si>
    <t>消息存储服务器CPU核数</t>
  </si>
  <si>
    <t>文件服务器CPU核数</t>
  </si>
  <si>
    <t>Redis服务器CPU核数</t>
  </si>
  <si>
    <t>ES服务器CPU核数</t>
  </si>
  <si>
    <t>RCX服务器CPU核数</t>
  </si>
  <si>
    <t>聊天室服务器CPU核数</t>
  </si>
  <si>
    <t>录制服务器CPU核数</t>
  </si>
  <si>
    <t>消息存储单台TPS</t>
  </si>
  <si>
    <t>TPS</t>
  </si>
  <si>
    <t>测试结果；</t>
  </si>
  <si>
    <t>RCX服务单台TPS</t>
  </si>
  <si>
    <t>MediaServer单台支撑人数</t>
  </si>
  <si>
    <t>目前版本可能达不到。</t>
  </si>
  <si>
    <t>聊天室单台支撑人数</t>
  </si>
  <si>
    <t>录制服务器单台支撑人数</t>
  </si>
  <si>
    <t>基础项</t>
    <phoneticPr fontId="15" type="noConversion"/>
  </si>
  <si>
    <t>分钟</t>
    <phoneticPr fontId="15" type="noConversion"/>
  </si>
  <si>
    <t>录制</t>
    <phoneticPr fontId="15" type="noConversion"/>
  </si>
  <si>
    <t>录制模式</t>
    <phoneticPr fontId="15" type="noConversion"/>
  </si>
  <si>
    <t>视频录制格式</t>
    <phoneticPr fontId="15" type="noConversion"/>
  </si>
  <si>
    <t>音频录制格式</t>
    <phoneticPr fontId="15" type="noConversion"/>
  </si>
  <si>
    <t>视频录制分辨率</t>
    <phoneticPr fontId="15" type="noConversion"/>
  </si>
  <si>
    <t>混流模式</t>
    <phoneticPr fontId="15" type="noConversion"/>
  </si>
  <si>
    <t>通话平均人数</t>
    <phoneticPr fontId="15" type="noConversion"/>
  </si>
  <si>
    <t>录制文件保存天数</t>
    <phoneticPr fontId="15" type="noConversion"/>
  </si>
  <si>
    <t>天</t>
    <phoneticPr fontId="15" type="noConversion"/>
  </si>
  <si>
    <t>人</t>
    <phoneticPr fontId="15" type="noConversion"/>
  </si>
  <si>
    <t>通话日平均总分钟</t>
    <phoneticPr fontId="15" type="noConversion"/>
  </si>
  <si>
    <t>N/A</t>
    <phoneticPr fontId="15" type="noConversion"/>
  </si>
  <si>
    <r>
      <rPr>
        <sz val="10"/>
        <color rgb="FFC00000"/>
        <rFont val="微软雅黑"/>
        <family val="2"/>
        <charset val="134"/>
      </rPr>
      <t>系统默认180天</t>
    </r>
    <r>
      <rPr>
        <sz val="10"/>
        <color theme="1" tint="0.34998626667073579"/>
        <rFont val="微软雅黑"/>
        <family val="2"/>
        <charset val="134"/>
      </rPr>
      <t>，一般不做修改。</t>
    </r>
    <phoneticPr fontId="15" type="noConversion"/>
  </si>
  <si>
    <t>观察者不算录制通话人数</t>
    <phoneticPr fontId="15" type="noConversion"/>
  </si>
  <si>
    <r>
      <t>默认：中；</t>
    </r>
    <r>
      <rPr>
        <sz val="10"/>
        <color theme="1" tint="0.34998626667073579"/>
        <rFont val="微软雅黑"/>
        <family val="2"/>
        <charset val="134"/>
      </rPr>
      <t>低：320P；中：480P；高：720P；</t>
    </r>
    <phoneticPr fontId="15" type="noConversion"/>
  </si>
  <si>
    <t>应用整体日平均通话总时长（分钟）</t>
    <phoneticPr fontId="15" type="noConversion"/>
  </si>
  <si>
    <t>录制媒体文件保存天数</t>
    <phoneticPr fontId="15" type="noConversion"/>
  </si>
  <si>
    <r>
      <t>默认：Mix；</t>
    </r>
    <r>
      <rPr>
        <sz val="10"/>
        <color theme="1" tint="0.34998626667073579"/>
        <rFont val="微软雅黑"/>
        <family val="2"/>
        <charset val="134"/>
      </rPr>
      <t>可选范围：Mix、Single；</t>
    </r>
    <phoneticPr fontId="15" type="noConversion"/>
  </si>
  <si>
    <r>
      <t>默认：aac；</t>
    </r>
    <r>
      <rPr>
        <sz val="10"/>
        <color theme="1" tint="0.34998626667073579"/>
        <rFont val="微软雅黑"/>
        <family val="2"/>
        <charset val="134"/>
      </rPr>
      <t>可选范围：aac,mp3；</t>
    </r>
    <phoneticPr fontId="15" type="noConversion"/>
  </si>
  <si>
    <r>
      <t>默认：mp4；</t>
    </r>
    <r>
      <rPr>
        <sz val="10"/>
        <color theme="1" tint="0.34998626667073579"/>
        <rFont val="微软雅黑"/>
        <family val="2"/>
        <charset val="134"/>
      </rPr>
      <t>可选范围：mp4,mkv,flv；</t>
    </r>
    <phoneticPr fontId="15" type="noConversion"/>
  </si>
  <si>
    <r>
      <t>默认：不录制；</t>
    </r>
    <r>
      <rPr>
        <sz val="10"/>
        <color theme="1" tint="0.34998626667073579"/>
        <rFont val="微软雅黑"/>
        <family val="2"/>
        <charset val="134"/>
      </rPr>
      <t>可选范围：不录制,录制音视频,仅录制音频,仅录制视频</t>
    </r>
    <phoneticPr fontId="15" type="noConversion"/>
  </si>
  <si>
    <t>mp3</t>
  </si>
  <si>
    <t>mkv</t>
  </si>
  <si>
    <t>MB/分钟</t>
    <phoneticPr fontId="15" type="noConversion"/>
  </si>
  <si>
    <t>MB/分钟/人</t>
    <phoneticPr fontId="15" type="noConversion"/>
  </si>
  <si>
    <t>MB/5分钟/人</t>
    <phoneticPr fontId="15" type="noConversion"/>
  </si>
  <si>
    <t>录制文件大小/人-音频</t>
    <phoneticPr fontId="15" type="noConversion"/>
  </si>
  <si>
    <t>录制文件大小/人-音视频-mp4</t>
    <phoneticPr fontId="15" type="noConversion"/>
  </si>
  <si>
    <t>录制文件大小/人-音视频-mkv</t>
    <phoneticPr fontId="15" type="noConversion"/>
  </si>
  <si>
    <t>录制文件大小/人-音视频-flv</t>
    <phoneticPr fontId="15" type="noConversion"/>
  </si>
  <si>
    <t>录制文件大小/人-音视频</t>
    <phoneticPr fontId="15" type="noConversion"/>
  </si>
  <si>
    <t>录制文件大小/人</t>
    <phoneticPr fontId="15" type="noConversion"/>
  </si>
  <si>
    <t>Single</t>
  </si>
  <si>
    <t>中间计算结果</t>
    <phoneticPr fontId="15" type="noConversion"/>
  </si>
  <si>
    <t>每分钟录制文件大小</t>
    <phoneticPr fontId="15" type="noConversion"/>
  </si>
  <si>
    <t>每分钟录制媒体文件占用磁盘空间大小；</t>
    <phoneticPr fontId="15" type="noConversion"/>
  </si>
  <si>
    <r>
      <t>1-业务模型信息采集</t>
    </r>
    <r>
      <rPr>
        <sz val="10"/>
        <color rgb="FFC00000"/>
        <rFont val="微软雅黑"/>
        <family val="2"/>
        <charset val="134"/>
      </rPr>
      <t>（手工填写 * 必填）</t>
    </r>
    <phoneticPr fontId="15" type="noConversion"/>
  </si>
  <si>
    <r>
      <t>2-业务模型换算结果</t>
    </r>
    <r>
      <rPr>
        <sz val="10"/>
        <color rgb="FFC00000"/>
        <rFont val="微软雅黑"/>
        <family val="2"/>
        <charset val="134"/>
      </rPr>
      <t>（</t>
    </r>
    <r>
      <rPr>
        <sz val="10"/>
        <color theme="7" tint="-0.249977111117893"/>
        <rFont val="微软雅黑"/>
        <family val="2"/>
        <charset val="134"/>
      </rPr>
      <t>黄底</t>
    </r>
    <r>
      <rPr>
        <sz val="10"/>
        <color rgb="FF0070C0"/>
        <rFont val="微软雅黑"/>
        <family val="2"/>
        <charset val="134"/>
      </rPr>
      <t>蓝色字体</t>
    </r>
    <r>
      <rPr>
        <sz val="10"/>
        <color theme="1"/>
        <rFont val="微软雅黑"/>
        <family val="2"/>
        <charset val="134"/>
      </rPr>
      <t>部分公式请勿随意调整</t>
    </r>
    <r>
      <rPr>
        <sz val="10"/>
        <color rgb="FFC00000"/>
        <rFont val="微软雅黑"/>
        <family val="2"/>
        <charset val="134"/>
      </rPr>
      <t>）</t>
    </r>
    <phoneticPr fontId="15" type="noConversion"/>
  </si>
  <si>
    <r>
      <t>3-设备资源评估结果</t>
    </r>
    <r>
      <rPr>
        <sz val="10"/>
        <color rgb="FFC00000"/>
        <rFont val="微软雅黑"/>
        <family val="2"/>
        <charset val="134"/>
      </rPr>
      <t>（</t>
    </r>
    <r>
      <rPr>
        <sz val="10"/>
        <color theme="7" tint="-0.249977111117893"/>
        <rFont val="微软雅黑"/>
        <family val="2"/>
        <charset val="134"/>
      </rPr>
      <t>黄底</t>
    </r>
    <r>
      <rPr>
        <sz val="10"/>
        <color rgb="FF0070C0"/>
        <rFont val="微软雅黑"/>
        <family val="2"/>
        <charset val="134"/>
      </rPr>
      <t>蓝色字体</t>
    </r>
    <r>
      <rPr>
        <sz val="10"/>
        <color theme="1"/>
        <rFont val="微软雅黑"/>
        <family val="2"/>
        <charset val="134"/>
      </rPr>
      <t>部分公式请勿随意调整</t>
    </r>
    <r>
      <rPr>
        <sz val="10"/>
        <color rgb="FFC00000"/>
        <rFont val="微软雅黑"/>
        <family val="2"/>
        <charset val="134"/>
      </rPr>
      <t>）</t>
    </r>
    <phoneticPr fontId="15" type="noConversion"/>
  </si>
  <si>
    <r>
      <t>4-带宽资源评估结果</t>
    </r>
    <r>
      <rPr>
        <sz val="10"/>
        <color theme="1"/>
        <rFont val="微软雅黑"/>
        <family val="2"/>
        <charset val="134"/>
      </rPr>
      <t>（单位:Mbps）</t>
    </r>
    <r>
      <rPr>
        <sz val="10"/>
        <color rgb="FFC00000"/>
        <rFont val="微软雅黑"/>
        <family val="2"/>
        <charset val="134"/>
      </rPr>
      <t>（</t>
    </r>
    <r>
      <rPr>
        <sz val="10"/>
        <color theme="7" tint="-0.249977111117893"/>
        <rFont val="微软雅黑"/>
        <family val="2"/>
        <charset val="134"/>
      </rPr>
      <t>黄底</t>
    </r>
    <r>
      <rPr>
        <sz val="10"/>
        <color rgb="FF0070C0"/>
        <rFont val="微软雅黑"/>
        <family val="2"/>
        <charset val="134"/>
      </rPr>
      <t>蓝色字体</t>
    </r>
    <r>
      <rPr>
        <sz val="10"/>
        <color theme="1"/>
        <rFont val="微软雅黑"/>
        <family val="2"/>
        <charset val="134"/>
      </rPr>
      <t>部分公式请勿随意调整</t>
    </r>
    <r>
      <rPr>
        <sz val="10"/>
        <color rgb="FFC00000"/>
        <rFont val="微软雅黑"/>
        <family val="2"/>
        <charset val="134"/>
      </rPr>
      <t>）</t>
    </r>
    <phoneticPr fontId="15" type="noConversion"/>
  </si>
  <si>
    <t>文件服务上传TPS</t>
    <phoneticPr fontId="15" type="noConversion"/>
  </si>
  <si>
    <t>计算数量</t>
    <phoneticPr fontId="15" type="noConversion"/>
  </si>
  <si>
    <t>左移1位进位求和*系数（不会3项均达峰值）</t>
    <phoneticPr fontId="15" type="noConversion"/>
  </si>
  <si>
    <r>
      <t xml:space="preserve">消息存储天数 </t>
    </r>
    <r>
      <rPr>
        <sz val="12"/>
        <color rgb="FFFF0000"/>
        <rFont val="微软雅黑"/>
        <family val="2"/>
        <charset val="134"/>
      </rPr>
      <t xml:space="preserve"> *</t>
    </r>
    <phoneticPr fontId="15" type="noConversion"/>
  </si>
  <si>
    <r>
      <t xml:space="preserve">文件存储天数 </t>
    </r>
    <r>
      <rPr>
        <sz val="12"/>
        <color rgb="FFFF0000"/>
        <rFont val="微软雅黑"/>
        <family val="2"/>
        <charset val="134"/>
      </rPr>
      <t>*</t>
    </r>
    <phoneticPr fontId="15" type="noConversion"/>
  </si>
  <si>
    <r>
      <t xml:space="preserve">平均群人数  </t>
    </r>
    <r>
      <rPr>
        <sz val="12"/>
        <color rgb="FFFF0000"/>
        <rFont val="微软雅黑"/>
        <family val="2"/>
        <charset val="134"/>
      </rPr>
      <t>*</t>
    </r>
    <phoneticPr fontId="15" type="noConversion"/>
  </si>
  <si>
    <t>业务场景使用比率</t>
    <phoneticPr fontId="15" type="noConversion"/>
  </si>
  <si>
    <r>
      <t xml:space="preserve">内网传输比率  </t>
    </r>
    <r>
      <rPr>
        <sz val="12"/>
        <color rgb="FFFF0000"/>
        <rFont val="微软雅黑"/>
        <family val="2"/>
        <charset val="134"/>
      </rPr>
      <t>*</t>
    </r>
    <phoneticPr fontId="15" type="noConversion"/>
  </si>
  <si>
    <t>合计</t>
    <phoneticPr fontId="15" type="noConversion"/>
  </si>
  <si>
    <t>MediaServer</t>
    <phoneticPr fontId="15" type="noConversion"/>
  </si>
  <si>
    <t>RtcRecord</t>
    <phoneticPr fontId="15" type="noConversion"/>
  </si>
  <si>
    <t>RtcMCU</t>
    <phoneticPr fontId="15" type="noConversion"/>
  </si>
  <si>
    <t>RtcMini</t>
    <phoneticPr fontId="15" type="noConversion"/>
  </si>
  <si>
    <t>磁盘存储音视频录制文件</t>
    <phoneticPr fontId="15" type="noConversion"/>
  </si>
  <si>
    <t>磁盘只用于存储日志</t>
    <phoneticPr fontId="15" type="noConversion"/>
  </si>
  <si>
    <t>角色说明</t>
    <phoneticPr fontId="15" type="noConversion"/>
  </si>
  <si>
    <t>消息存储K/V数据库</t>
    <phoneticPr fontId="15" type="noConversion"/>
  </si>
  <si>
    <t>业务数据存储关系数据库</t>
    <phoneticPr fontId="15" type="noConversion"/>
  </si>
  <si>
    <t>文件服务</t>
    <phoneticPr fontId="15" type="noConversion"/>
  </si>
  <si>
    <t>全文检索数据库</t>
    <phoneticPr fontId="15" type="noConversion"/>
  </si>
  <si>
    <t>消息服务</t>
    <phoneticPr fontId="15" type="noConversion"/>
  </si>
  <si>
    <t>应用服务</t>
    <phoneticPr fontId="15" type="noConversion"/>
  </si>
  <si>
    <t>聊天室服务</t>
    <phoneticPr fontId="15" type="noConversion"/>
  </si>
  <si>
    <t>代理中间件</t>
    <phoneticPr fontId="15" type="noConversion"/>
  </si>
  <si>
    <t>缓存中间件</t>
    <phoneticPr fontId="15" type="noConversion"/>
  </si>
  <si>
    <t>集群状态/全局配置存储中间件</t>
    <phoneticPr fontId="15" type="noConversion"/>
  </si>
  <si>
    <t>音视频-媒体中继服务</t>
    <phoneticPr fontId="15" type="noConversion"/>
  </si>
  <si>
    <t>音视频-录制服务</t>
    <phoneticPr fontId="15" type="noConversion"/>
  </si>
  <si>
    <t>音视频-混流服务</t>
    <phoneticPr fontId="15" type="noConversion"/>
  </si>
  <si>
    <t>音视频-小程序服务</t>
    <phoneticPr fontId="15" type="noConversion"/>
  </si>
  <si>
    <t>磁盘占用说明</t>
    <phoneticPr fontId="15" type="noConversion"/>
  </si>
  <si>
    <t>国产化未实测，预估国产化达到可能性高。</t>
    <phoneticPr fontId="15" type="noConversion"/>
  </si>
  <si>
    <t>每个聊天室按照10条/秒的上行速率计算</t>
    <phoneticPr fontId="15" type="noConversion"/>
  </si>
  <si>
    <t>音视频上行带宽</t>
    <phoneticPr fontId="15" type="noConversion"/>
  </si>
  <si>
    <t>Mbps</t>
    <phoneticPr fontId="15" type="noConversion"/>
  </si>
  <si>
    <t>系数1.2 为媒体中继重传增加的带宽增溢</t>
    <phoneticPr fontId="15" type="noConversion"/>
  </si>
  <si>
    <r>
      <t xml:space="preserve">
备注：
1. 计算工具仅作为参考，最终部署方案应充分考虑实际情况，例如：是否进行角色-服务器复用部署等，</t>
    </r>
    <r>
      <rPr>
        <sz val="10"/>
        <color rgb="FFC00000"/>
        <rFont val="微软雅黑"/>
        <family val="2"/>
        <charset val="134"/>
      </rPr>
      <t>原则上反对ES与ZK复用部署</t>
    </r>
    <r>
      <rPr>
        <sz val="10"/>
        <color theme="1"/>
        <rFont val="微软雅黑"/>
        <family val="2"/>
        <charset val="134"/>
      </rPr>
      <t>。
2.消息和文件存储所需磁盘不能一次到位情况下，可以考虑按实际需要逐步扩盘方式进行实施。
3.服务器资源不能一次到位情况下，先期部署时应充分考虑后续扩容操作的便利性，原则上应避免应用服务器与存储服务器的复用部署。
4.评估数量：是否高可用 + 计算数量四舍五入后的结果。</t>
    </r>
    <phoneticPr fontId="15" type="noConversion"/>
  </si>
  <si>
    <t>ARM-鲲鹏</t>
  </si>
  <si>
    <t>统信(UOS)</t>
  </si>
  <si>
    <r>
      <t xml:space="preserve">下拉选择填写，默认：CentOS，非国产系统均按CentOS计算。
</t>
    </r>
    <r>
      <rPr>
        <sz val="10"/>
        <color rgb="FFC00000"/>
        <rFont val="微软雅黑"/>
        <family val="2"/>
        <charset val="134"/>
      </rPr>
      <t>目前仅支持：CentOS、统信(UOS)</t>
    </r>
    <phoneticPr fontId="15" type="noConversion"/>
  </si>
  <si>
    <r>
      <t xml:space="preserve">下拉选择填写，默认：X86-非国产
</t>
    </r>
    <r>
      <rPr>
        <sz val="10"/>
        <color rgb="FFC00000"/>
        <rFont val="微软雅黑"/>
        <family val="2"/>
        <charset val="134"/>
      </rPr>
      <t>目前仅支持：X86-非国产、ARM-国产</t>
    </r>
    <phoneticPr fontId="15" type="noConversion"/>
  </si>
  <si>
    <t>录制音视频</t>
  </si>
  <si>
    <t>高</t>
  </si>
  <si>
    <t>RCE服务单台支撑用户数</t>
    <phoneticPr fontId="15" type="noConversion"/>
  </si>
  <si>
    <t>非国产化：XXX；
鲲鹏+CentOS：XXX；
鲲鹏+UOS：XXX（后续根据：激活UOS+不用Supervisor实测结果调整）；</t>
    <phoneticPr fontId="15" type="noConversion"/>
  </si>
  <si>
    <t>考虑卡顿因素指标有原来XXX人/台下调至XXX</t>
    <phoneticPr fontId="15" type="noConversion"/>
  </si>
  <si>
    <t>测试结果；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</si>
</sst>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6">
    <font>
      <sz val="12"/>
      <color theme="1"/>
      <name val="DengXian"/>
      <charset val="134"/>
      <scheme val="minor"/>
    </font>
    <font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0"/>
      <color theme="1" tint="0.34998626667073579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theme="7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C00000"/>
      <name val="微软雅黑"/>
      <family val="2"/>
      <charset val="134"/>
    </font>
    <font>
      <sz val="10"/>
      <color theme="1" tint="0.34998626667073579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theme="2" tint="-0.249977111117893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89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77" fontId="4" fillId="4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4" fillId="4" borderId="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76" fontId="0" fillId="0" borderId="0" xfId="0" applyNumberFormat="1"/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177" fontId="3" fillId="0" borderId="3" xfId="0" applyNumberFormat="1" applyFont="1" applyBorder="1" applyAlignment="1">
      <alignment horizontal="center" vertical="center"/>
    </xf>
    <xf numFmtId="177" fontId="6" fillId="5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77" fontId="18" fillId="4" borderId="3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16" fillId="7" borderId="3" xfId="0" applyFont="1" applyFill="1" applyBorder="1" applyAlignment="1">
      <alignment vertical="center"/>
    </xf>
    <xf numFmtId="0" fontId="24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77" fontId="25" fillId="4" borderId="3" xfId="0" applyNumberFormat="1" applyFont="1" applyFill="1" applyBorder="1" applyAlignment="1">
      <alignment horizontal="center" vertical="center"/>
    </xf>
    <xf numFmtId="9" fontId="3" fillId="5" borderId="3" xfId="0" applyNumberFormat="1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</cellXfs>
  <cellStyles count="2">
    <cellStyle name="Normal 2" xfId="1" xr:uid="{00000000-0005-0000-0000-00002D000000}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6"/>
  <sheetViews>
    <sheetView workbookViewId="0">
      <selection activeCell="Q12" sqref="Q12"/>
    </sheetView>
  </sheetViews>
  <sheetFormatPr defaultColWidth="9" defaultRowHeight="15.75"/>
  <cols>
    <col min="1" max="1" width="14" customWidth="1"/>
    <col min="7" max="7" width="14" customWidth="1"/>
  </cols>
  <sheetData>
    <row r="1" spans="1:11" ht="22.5">
      <c r="A1" s="37" t="s">
        <v>0</v>
      </c>
      <c r="B1" s="38"/>
      <c r="C1" s="38"/>
      <c r="D1" s="38"/>
      <c r="E1" s="38"/>
      <c r="G1" s="37" t="s">
        <v>1</v>
      </c>
      <c r="H1" s="38"/>
      <c r="I1" s="38"/>
      <c r="J1" s="38"/>
      <c r="K1" s="38"/>
    </row>
    <row r="2" spans="1:11" ht="18">
      <c r="A2" s="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G2" s="1" t="s">
        <v>2</v>
      </c>
      <c r="H2" s="21" t="s">
        <v>3</v>
      </c>
      <c r="I2" s="21" t="s">
        <v>4</v>
      </c>
      <c r="J2" s="21" t="s">
        <v>5</v>
      </c>
      <c r="K2" s="21" t="s">
        <v>6</v>
      </c>
    </row>
    <row r="3" spans="1:11" ht="17.25">
      <c r="A3" s="8" t="s">
        <v>12</v>
      </c>
      <c r="B3" s="39">
        <v>3</v>
      </c>
      <c r="C3" s="39">
        <v>8</v>
      </c>
      <c r="D3" s="39">
        <v>16</v>
      </c>
      <c r="E3" s="39">
        <v>500</v>
      </c>
      <c r="G3" s="8" t="s">
        <v>12</v>
      </c>
      <c r="H3" s="39">
        <v>2</v>
      </c>
      <c r="I3" s="39">
        <v>8</v>
      </c>
      <c r="J3" s="39">
        <v>16</v>
      </c>
      <c r="K3" s="39">
        <v>500</v>
      </c>
    </row>
    <row r="4" spans="1:11" ht="17.25">
      <c r="A4" s="8" t="s">
        <v>16</v>
      </c>
      <c r="B4" s="40"/>
      <c r="C4" s="40"/>
      <c r="D4" s="40"/>
      <c r="E4" s="40"/>
      <c r="G4" s="8" t="s">
        <v>16</v>
      </c>
      <c r="H4" s="40"/>
      <c r="I4" s="40"/>
      <c r="J4" s="40"/>
      <c r="K4" s="40"/>
    </row>
    <row r="5" spans="1:11" ht="17.25">
      <c r="A5" s="8" t="s">
        <v>18</v>
      </c>
      <c r="B5" s="40"/>
      <c r="C5" s="40"/>
      <c r="D5" s="40"/>
      <c r="E5" s="40"/>
      <c r="G5" s="8" t="s">
        <v>18</v>
      </c>
      <c r="H5" s="40"/>
      <c r="I5" s="40"/>
      <c r="J5" s="40"/>
      <c r="K5" s="40"/>
    </row>
    <row r="6" spans="1:11" ht="17.25">
      <c r="A6" s="8" t="s">
        <v>19</v>
      </c>
      <c r="B6" s="40"/>
      <c r="C6" s="40"/>
      <c r="D6" s="40"/>
      <c r="E6" s="40"/>
      <c r="G6" s="8" t="s">
        <v>19</v>
      </c>
      <c r="H6" s="41"/>
      <c r="I6" s="41"/>
      <c r="J6" s="41"/>
      <c r="K6" s="41"/>
    </row>
    <row r="7" spans="1:11" ht="17.25">
      <c r="A7" s="8" t="s">
        <v>21</v>
      </c>
      <c r="B7" s="40"/>
      <c r="C7" s="40"/>
      <c r="D7" s="40"/>
      <c r="E7" s="40"/>
      <c r="G7" s="8" t="s">
        <v>21</v>
      </c>
      <c r="H7" s="40">
        <v>3</v>
      </c>
      <c r="I7" s="40">
        <v>8</v>
      </c>
      <c r="J7" s="40">
        <v>16</v>
      </c>
      <c r="K7" s="40">
        <v>500</v>
      </c>
    </row>
    <row r="8" spans="1:11" ht="17.25">
      <c r="A8" s="8" t="s">
        <v>25</v>
      </c>
      <c r="B8" s="41"/>
      <c r="C8" s="41"/>
      <c r="D8" s="41"/>
      <c r="E8" s="41"/>
      <c r="G8" s="8" t="s">
        <v>25</v>
      </c>
      <c r="H8" s="41"/>
      <c r="I8" s="41"/>
      <c r="J8" s="41"/>
      <c r="K8" s="41"/>
    </row>
    <row r="9" spans="1:11" ht="17.25">
      <c r="A9" s="8" t="s">
        <v>29</v>
      </c>
      <c r="B9" s="39">
        <v>2</v>
      </c>
      <c r="C9" s="42">
        <v>8</v>
      </c>
      <c r="D9" s="42">
        <v>16</v>
      </c>
      <c r="E9" s="39">
        <v>500</v>
      </c>
      <c r="G9" s="8" t="s">
        <v>29</v>
      </c>
      <c r="H9" s="39">
        <v>2</v>
      </c>
      <c r="I9" s="42">
        <v>8</v>
      </c>
      <c r="J9" s="42">
        <v>16</v>
      </c>
      <c r="K9" s="39">
        <v>500</v>
      </c>
    </row>
    <row r="10" spans="1:11" ht="17.25">
      <c r="A10" s="8" t="s">
        <v>33</v>
      </c>
      <c r="B10" s="40"/>
      <c r="C10" s="43"/>
      <c r="D10" s="43"/>
      <c r="E10" s="40"/>
      <c r="G10" s="8" t="s">
        <v>33</v>
      </c>
      <c r="H10" s="40"/>
      <c r="I10" s="43"/>
      <c r="J10" s="43"/>
      <c r="K10" s="40"/>
    </row>
    <row r="11" spans="1:11" ht="17.25">
      <c r="A11" s="8" t="s">
        <v>36</v>
      </c>
      <c r="B11" s="40"/>
      <c r="C11" s="43"/>
      <c r="D11" s="43"/>
      <c r="E11" s="40"/>
      <c r="G11" s="8" t="s">
        <v>36</v>
      </c>
      <c r="H11" s="40"/>
      <c r="I11" s="43"/>
      <c r="J11" s="43"/>
      <c r="K11" s="40"/>
    </row>
    <row r="12" spans="1:11" ht="17.25">
      <c r="A12" s="8" t="s">
        <v>38</v>
      </c>
      <c r="B12" s="40"/>
      <c r="C12" s="43"/>
      <c r="D12" s="43"/>
      <c r="E12" s="40"/>
      <c r="G12" s="8" t="s">
        <v>38</v>
      </c>
      <c r="H12" s="40"/>
      <c r="I12" s="43"/>
      <c r="J12" s="43"/>
      <c r="K12" s="40"/>
    </row>
    <row r="13" spans="1:11" ht="17.25">
      <c r="A13" s="8" t="s">
        <v>40</v>
      </c>
      <c r="B13" s="40"/>
      <c r="C13" s="43"/>
      <c r="D13" s="43"/>
      <c r="E13" s="40"/>
      <c r="G13" s="8" t="s">
        <v>40</v>
      </c>
      <c r="H13" s="40"/>
      <c r="I13" s="43"/>
      <c r="J13" s="43"/>
      <c r="K13" s="40"/>
    </row>
    <row r="14" spans="1:11" ht="17.25">
      <c r="A14" s="8" t="s">
        <v>42</v>
      </c>
      <c r="B14" s="41"/>
      <c r="C14" s="44"/>
      <c r="D14" s="44"/>
      <c r="E14" s="41"/>
      <c r="G14" s="8" t="s">
        <v>42</v>
      </c>
      <c r="H14" s="41"/>
      <c r="I14" s="44"/>
      <c r="J14" s="44"/>
      <c r="K14" s="41"/>
    </row>
    <row r="15" spans="1:11" ht="18">
      <c r="A15" s="11" t="s">
        <v>44</v>
      </c>
      <c r="B15" s="23">
        <f>SUM(B3,B4,B5,B6,B7,B8,B9,B10,B11,B12,B13,B14)</f>
        <v>5</v>
      </c>
      <c r="C15" s="23">
        <f>SUM(B3*C3,B4*C4,B5*C5,B6*C6,B7*C7,B8*C8,B9*C9,B10*C10,B11*C11,B12*C12,B13*C13,B14*C14)</f>
        <v>40</v>
      </c>
      <c r="D15" s="23">
        <f>SUM(B3*D3,B4*D4,B5*D5,B6*D6,B7*D7,B8*D8,B9*D9,B10*D10,B11*D11,B12*D12,B13*D13,B14*D14)</f>
        <v>80</v>
      </c>
      <c r="E15" s="23">
        <f>SUM(B3*E3,B4*E4,B5*E5,B6*E6,B7*E7,B8*E8,B9*E9,B10*E10,B11*E11,B12*E12,B13*E13,B14*E14)</f>
        <v>2500</v>
      </c>
      <c r="G15" s="11" t="s">
        <v>44</v>
      </c>
      <c r="H15" s="23">
        <f>SUM(H3,H4,H5,H6,H7,H8,H9,H10,H11,H12,H13,H14)</f>
        <v>7</v>
      </c>
      <c r="I15" s="23">
        <f>SUM(H3*I3,H4*I4,H5*I5,H6*I6,H7*I7,H8*I8,H9*I9,H10*I10,H11*I11,H12*I12,H13*I13,H14*I14)</f>
        <v>56</v>
      </c>
      <c r="J15" s="23">
        <f>SUM(H3*J3,H4*J4,H5*J5,H6*J6,H7*J7,H8*J8,H9*J9,H10*J10,H11*J11,H12*J12,H13*J13,H14*J14)</f>
        <v>112</v>
      </c>
      <c r="K15" s="23">
        <f>SUM(H3*K3,H4*K4,H5*K5,H6*K6,H7*K7,H8*K8,H9*K9,H10*K10,H11*K11,H12*K12,H13*K13,H14*K14)</f>
        <v>3500</v>
      </c>
    </row>
    <row r="16" spans="1:11" ht="14.25" customHeight="1">
      <c r="A16" s="45" t="s">
        <v>46</v>
      </c>
      <c r="B16" s="46"/>
      <c r="C16" s="46"/>
      <c r="D16" s="46"/>
      <c r="E16" s="47"/>
      <c r="G16" s="45" t="s">
        <v>46</v>
      </c>
      <c r="H16" s="46"/>
      <c r="I16" s="46"/>
      <c r="J16" s="46"/>
      <c r="K16" s="47"/>
    </row>
    <row r="17" spans="1:11" ht="14.25" customHeight="1">
      <c r="A17" s="48"/>
      <c r="B17" s="49"/>
      <c r="C17" s="49"/>
      <c r="D17" s="49"/>
      <c r="E17" s="50"/>
      <c r="G17" s="48"/>
      <c r="H17" s="49"/>
      <c r="I17" s="49"/>
      <c r="J17" s="49"/>
      <c r="K17" s="50"/>
    </row>
    <row r="18" spans="1:11" ht="14.25" customHeight="1">
      <c r="A18" s="51"/>
      <c r="B18" s="52"/>
      <c r="C18" s="52"/>
      <c r="D18" s="52"/>
      <c r="E18" s="53"/>
      <c r="G18" s="51"/>
      <c r="H18" s="52"/>
      <c r="I18" s="52"/>
      <c r="J18" s="52"/>
      <c r="K18" s="53"/>
    </row>
    <row r="20" spans="1:11" ht="22.5">
      <c r="A20" s="37" t="s">
        <v>54</v>
      </c>
      <c r="B20" s="38"/>
      <c r="C20" s="38"/>
      <c r="D20" s="38"/>
      <c r="E20" s="38"/>
      <c r="G20" s="37" t="s">
        <v>55</v>
      </c>
      <c r="H20" s="38"/>
      <c r="I20" s="38"/>
      <c r="J20" s="38"/>
      <c r="K20" s="38"/>
    </row>
    <row r="21" spans="1:11" ht="18">
      <c r="A21" s="1" t="s">
        <v>2</v>
      </c>
      <c r="B21" s="21" t="s">
        <v>3</v>
      </c>
      <c r="C21" s="21" t="s">
        <v>4</v>
      </c>
      <c r="D21" s="21" t="s">
        <v>5</v>
      </c>
      <c r="E21" s="21" t="s">
        <v>6</v>
      </c>
      <c r="G21" s="1" t="s">
        <v>2</v>
      </c>
      <c r="H21" s="21" t="s">
        <v>3</v>
      </c>
      <c r="I21" s="21" t="s">
        <v>4</v>
      </c>
      <c r="J21" s="21" t="s">
        <v>5</v>
      </c>
      <c r="K21" s="21" t="s">
        <v>6</v>
      </c>
    </row>
    <row r="22" spans="1:11" ht="17.25">
      <c r="A22" s="8" t="s">
        <v>12</v>
      </c>
      <c r="B22" s="39">
        <v>2</v>
      </c>
      <c r="C22" s="39">
        <v>8</v>
      </c>
      <c r="D22" s="39">
        <v>16</v>
      </c>
      <c r="E22" s="39">
        <v>1000</v>
      </c>
      <c r="G22" s="8" t="s">
        <v>12</v>
      </c>
      <c r="H22" s="39">
        <v>2</v>
      </c>
      <c r="I22" s="39">
        <v>8</v>
      </c>
      <c r="J22" s="39">
        <v>16</v>
      </c>
      <c r="K22" s="39">
        <v>2000</v>
      </c>
    </row>
    <row r="23" spans="1:11" ht="17.25">
      <c r="A23" s="8" t="s">
        <v>16</v>
      </c>
      <c r="B23" s="40"/>
      <c r="C23" s="40"/>
      <c r="D23" s="40"/>
      <c r="E23" s="40"/>
      <c r="G23" s="8" t="s">
        <v>16</v>
      </c>
      <c r="H23" s="40"/>
      <c r="I23" s="40"/>
      <c r="J23" s="40"/>
      <c r="K23" s="40"/>
    </row>
    <row r="24" spans="1:11" ht="17.25">
      <c r="A24" s="8" t="s">
        <v>18</v>
      </c>
      <c r="B24" s="40"/>
      <c r="C24" s="40"/>
      <c r="D24" s="40"/>
      <c r="E24" s="40"/>
      <c r="G24" s="8" t="s">
        <v>18</v>
      </c>
      <c r="H24" s="40"/>
      <c r="I24" s="40"/>
      <c r="J24" s="40"/>
      <c r="K24" s="40"/>
    </row>
    <row r="25" spans="1:11" ht="17.25">
      <c r="A25" s="8" t="s">
        <v>19</v>
      </c>
      <c r="B25" s="41"/>
      <c r="C25" s="41"/>
      <c r="D25" s="41"/>
      <c r="E25" s="41"/>
      <c r="G25" s="8" t="s">
        <v>19</v>
      </c>
      <c r="H25" s="41"/>
      <c r="I25" s="41"/>
      <c r="J25" s="41"/>
      <c r="K25" s="41"/>
    </row>
    <row r="26" spans="1:11" ht="17.25">
      <c r="A26" s="8" t="s">
        <v>21</v>
      </c>
      <c r="B26" s="23">
        <v>3</v>
      </c>
      <c r="C26" s="23">
        <v>8</v>
      </c>
      <c r="D26" s="23">
        <v>16</v>
      </c>
      <c r="E26" s="23">
        <v>500</v>
      </c>
      <c r="G26" s="8" t="s">
        <v>21</v>
      </c>
      <c r="H26" s="23">
        <v>3</v>
      </c>
      <c r="I26" s="23">
        <v>8</v>
      </c>
      <c r="J26" s="23">
        <v>16</v>
      </c>
      <c r="K26" s="23">
        <v>500</v>
      </c>
    </row>
    <row r="27" spans="1:11" ht="17.25">
      <c r="A27" s="8" t="s">
        <v>25</v>
      </c>
      <c r="B27" s="22">
        <v>3</v>
      </c>
      <c r="C27" s="22">
        <v>2</v>
      </c>
      <c r="D27" s="22">
        <v>4</v>
      </c>
      <c r="E27" s="22">
        <v>50</v>
      </c>
      <c r="G27" s="8" t="s">
        <v>25</v>
      </c>
      <c r="H27" s="22">
        <v>3</v>
      </c>
      <c r="I27" s="22">
        <v>2</v>
      </c>
      <c r="J27" s="22">
        <v>4</v>
      </c>
      <c r="K27" s="22">
        <v>50</v>
      </c>
    </row>
    <row r="28" spans="1:11" ht="17.25">
      <c r="A28" s="8" t="s">
        <v>29</v>
      </c>
      <c r="B28" s="39">
        <v>2</v>
      </c>
      <c r="C28" s="42">
        <v>8</v>
      </c>
      <c r="D28" s="42">
        <v>16</v>
      </c>
      <c r="E28" s="39">
        <v>500</v>
      </c>
      <c r="G28" s="8" t="s">
        <v>29</v>
      </c>
      <c r="H28" s="39">
        <v>2</v>
      </c>
      <c r="I28" s="42">
        <v>16</v>
      </c>
      <c r="J28" s="42">
        <v>16</v>
      </c>
      <c r="K28" s="39">
        <v>500</v>
      </c>
    </row>
    <row r="29" spans="1:11" ht="17.25">
      <c r="A29" s="8" t="s">
        <v>33</v>
      </c>
      <c r="B29" s="40"/>
      <c r="C29" s="43"/>
      <c r="D29" s="43"/>
      <c r="E29" s="40"/>
      <c r="G29" s="8" t="s">
        <v>33</v>
      </c>
      <c r="H29" s="40"/>
      <c r="I29" s="43"/>
      <c r="J29" s="43"/>
      <c r="K29" s="40"/>
    </row>
    <row r="30" spans="1:11" ht="17.25">
      <c r="A30" s="8" t="s">
        <v>36</v>
      </c>
      <c r="B30" s="40"/>
      <c r="C30" s="43"/>
      <c r="D30" s="43"/>
      <c r="E30" s="40"/>
      <c r="G30" s="8" t="s">
        <v>36</v>
      </c>
      <c r="H30" s="40"/>
      <c r="I30" s="43"/>
      <c r="J30" s="43"/>
      <c r="K30" s="40"/>
    </row>
    <row r="31" spans="1:11" ht="17.25">
      <c r="A31" s="8" t="s">
        <v>38</v>
      </c>
      <c r="B31" s="40"/>
      <c r="C31" s="43"/>
      <c r="D31" s="43"/>
      <c r="E31" s="40"/>
      <c r="G31" s="8" t="s">
        <v>38</v>
      </c>
      <c r="H31" s="40"/>
      <c r="I31" s="43"/>
      <c r="J31" s="43"/>
      <c r="K31" s="40"/>
    </row>
    <row r="32" spans="1:11" ht="17.25">
      <c r="A32" s="8" t="s">
        <v>40</v>
      </c>
      <c r="B32" s="40"/>
      <c r="C32" s="43"/>
      <c r="D32" s="43"/>
      <c r="E32" s="40"/>
      <c r="G32" s="8" t="s">
        <v>40</v>
      </c>
      <c r="H32" s="40"/>
      <c r="I32" s="43"/>
      <c r="J32" s="43"/>
      <c r="K32" s="40"/>
    </row>
    <row r="33" spans="1:11" ht="17.25">
      <c r="A33" s="8" t="s">
        <v>42</v>
      </c>
      <c r="B33" s="41"/>
      <c r="C33" s="44"/>
      <c r="D33" s="44"/>
      <c r="E33" s="41"/>
      <c r="G33" s="8" t="s">
        <v>42</v>
      </c>
      <c r="H33" s="41"/>
      <c r="I33" s="44"/>
      <c r="J33" s="44"/>
      <c r="K33" s="41"/>
    </row>
    <row r="34" spans="1:11" ht="18">
      <c r="A34" s="11" t="s">
        <v>44</v>
      </c>
      <c r="B34" s="23">
        <f>SUM(B22,B23,B24,B25,B26,B27,B28,B29,B30,B31,B32,B33)</f>
        <v>10</v>
      </c>
      <c r="C34" s="23">
        <f>SUM(B22*C22,B23*C23,B24*C24,B25*C25,B26*C26,B27*C27,B28*C28,B29*C29,B30*C30,B31*C31,B32*C32,B33*C33)</f>
        <v>62</v>
      </c>
      <c r="D34" s="23">
        <f>SUM(B22*D22,B23*D23,B24*D24,B25*D25,B26*D26,B27*D27,B28*D28,B29*D29,B30*D30,B31*D31,B32*D32,B33*D33)</f>
        <v>124</v>
      </c>
      <c r="E34" s="23">
        <f>SUM(B22*E22,B23*E23,B24*E24,B25*E25,B26*E26,B27*E27,B28*E28,B29*E29,B30*E30,B31*E31,B32*E32,B33*E33)</f>
        <v>4650</v>
      </c>
      <c r="G34" s="11" t="s">
        <v>44</v>
      </c>
      <c r="H34" s="23">
        <f>SUM(H22,H23,H24,H25,H26,H27,H28,H29,H30,H31,H32,H33)</f>
        <v>10</v>
      </c>
      <c r="I34" s="23">
        <f>SUM(H22*I22,H23*I23,H24*I24,H25*I25,H26*I26,H27*I27,H28*I28,H29*I29,H30*I30,H31*I31,H32*I32,H33*I33)</f>
        <v>78</v>
      </c>
      <c r="J34" s="23">
        <f>SUM(H22*J22,H23*J23,H24*J24,H25*J25,H26*J26,H27*J27,H28*J28,H29*J29,H30*J30,H31*J31,H32*J32,H33*J33)</f>
        <v>124</v>
      </c>
      <c r="K34" s="23">
        <f>SUM(H22*K22,H23*K23,H24*K24,H25*K25,H26*K26,H27*K27,H28*K28,H29*K29,H30*K30,H31*K31,H32*K32,H33*K33)</f>
        <v>6650</v>
      </c>
    </row>
    <row r="35" spans="1:11" ht="14.25" customHeight="1">
      <c r="A35" s="45" t="s">
        <v>46</v>
      </c>
      <c r="B35" s="46"/>
      <c r="C35" s="46"/>
      <c r="D35" s="46"/>
      <c r="E35" s="47"/>
      <c r="G35" s="45" t="s">
        <v>46</v>
      </c>
      <c r="H35" s="46"/>
      <c r="I35" s="46"/>
      <c r="J35" s="46"/>
      <c r="K35" s="47"/>
    </row>
    <row r="36" spans="1:11" ht="14.25" customHeight="1">
      <c r="A36" s="48"/>
      <c r="B36" s="49"/>
      <c r="C36" s="49"/>
      <c r="D36" s="49"/>
      <c r="E36" s="50"/>
      <c r="G36" s="48"/>
      <c r="H36" s="49"/>
      <c r="I36" s="49"/>
      <c r="J36" s="49"/>
      <c r="K36" s="50"/>
    </row>
    <row r="37" spans="1:11" ht="14.25" customHeight="1">
      <c r="A37" s="51"/>
      <c r="B37" s="52"/>
      <c r="C37" s="52"/>
      <c r="D37" s="52"/>
      <c r="E37" s="53"/>
      <c r="G37" s="51"/>
      <c r="H37" s="52"/>
      <c r="I37" s="52"/>
      <c r="J37" s="52"/>
      <c r="K37" s="53"/>
    </row>
    <row r="39" spans="1:11" ht="22.5">
      <c r="A39" s="37" t="s">
        <v>61</v>
      </c>
      <c r="B39" s="38"/>
      <c r="C39" s="38"/>
      <c r="D39" s="38"/>
      <c r="E39" s="38"/>
    </row>
    <row r="40" spans="1:11" ht="18">
      <c r="A40" s="1" t="s">
        <v>2</v>
      </c>
      <c r="B40" s="21" t="s">
        <v>3</v>
      </c>
      <c r="C40" s="21" t="s">
        <v>4</v>
      </c>
      <c r="D40" s="21" t="s">
        <v>5</v>
      </c>
      <c r="E40" s="21" t="s">
        <v>6</v>
      </c>
    </row>
    <row r="41" spans="1:11" ht="17.25">
      <c r="A41" s="8" t="s">
        <v>12</v>
      </c>
      <c r="B41" s="39">
        <v>2</v>
      </c>
      <c r="C41" s="39">
        <v>8</v>
      </c>
      <c r="D41" s="39">
        <v>16</v>
      </c>
      <c r="E41" s="39">
        <v>3000</v>
      </c>
    </row>
    <row r="42" spans="1:11" ht="17.25">
      <c r="A42" s="8" t="s">
        <v>16</v>
      </c>
      <c r="B42" s="40"/>
      <c r="C42" s="40"/>
      <c r="D42" s="40"/>
      <c r="E42" s="40"/>
    </row>
    <row r="43" spans="1:11" ht="17.25">
      <c r="A43" s="8" t="s">
        <v>18</v>
      </c>
      <c r="B43" s="40"/>
      <c r="C43" s="40"/>
      <c r="D43" s="40"/>
      <c r="E43" s="40"/>
    </row>
    <row r="44" spans="1:11" ht="17.25">
      <c r="A44" s="8" t="s">
        <v>19</v>
      </c>
      <c r="B44" s="41"/>
      <c r="C44" s="41"/>
      <c r="D44" s="41"/>
      <c r="E44" s="41"/>
    </row>
    <row r="45" spans="1:11" ht="17.25">
      <c r="A45" s="8" t="s">
        <v>21</v>
      </c>
      <c r="B45" s="23">
        <v>3</v>
      </c>
      <c r="C45" s="23">
        <v>8</v>
      </c>
      <c r="D45" s="23">
        <v>16</v>
      </c>
      <c r="E45" s="23">
        <v>500</v>
      </c>
    </row>
    <row r="46" spans="1:11" ht="17.25">
      <c r="A46" s="8" t="s">
        <v>25</v>
      </c>
      <c r="B46" s="22">
        <v>3</v>
      </c>
      <c r="C46" s="22">
        <v>2</v>
      </c>
      <c r="D46" s="22">
        <v>4</v>
      </c>
      <c r="E46" s="22">
        <v>50</v>
      </c>
    </row>
    <row r="47" spans="1:11" ht="17.25">
      <c r="A47" s="8" t="s">
        <v>29</v>
      </c>
      <c r="B47" s="39">
        <v>2</v>
      </c>
      <c r="C47" s="42">
        <v>8</v>
      </c>
      <c r="D47" s="42">
        <v>16</v>
      </c>
      <c r="E47" s="39">
        <v>100</v>
      </c>
    </row>
    <row r="48" spans="1:11" ht="17.25">
      <c r="A48" s="8" t="s">
        <v>40</v>
      </c>
      <c r="B48" s="41"/>
      <c r="C48" s="44"/>
      <c r="D48" s="44"/>
      <c r="E48" s="41"/>
    </row>
    <row r="49" spans="1:5" ht="17.25">
      <c r="A49" s="8" t="s">
        <v>33</v>
      </c>
      <c r="B49" s="39">
        <v>2</v>
      </c>
      <c r="C49" s="42">
        <v>8</v>
      </c>
      <c r="D49" s="42">
        <v>16</v>
      </c>
      <c r="E49" s="39">
        <v>100</v>
      </c>
    </row>
    <row r="50" spans="1:5" ht="17.25">
      <c r="A50" s="8" t="s">
        <v>38</v>
      </c>
      <c r="B50" s="41"/>
      <c r="C50" s="44"/>
      <c r="D50" s="44"/>
      <c r="E50" s="41"/>
    </row>
    <row r="51" spans="1:5" ht="17.25">
      <c r="A51" s="8" t="s">
        <v>36</v>
      </c>
      <c r="B51" s="40">
        <v>2</v>
      </c>
      <c r="C51" s="43">
        <v>16</v>
      </c>
      <c r="D51" s="43">
        <v>16</v>
      </c>
      <c r="E51" s="40">
        <v>500</v>
      </c>
    </row>
    <row r="52" spans="1:5" ht="17.25">
      <c r="A52" s="8" t="s">
        <v>42</v>
      </c>
      <c r="B52" s="41"/>
      <c r="C52" s="44"/>
      <c r="D52" s="44"/>
      <c r="E52" s="41"/>
    </row>
    <row r="53" spans="1:5" ht="18">
      <c r="A53" s="11" t="s">
        <v>44</v>
      </c>
      <c r="B53" s="23">
        <f>SUM(B41,B42,B43,B44,B45,B46,B47,B48,B49,B50,B51,B52)</f>
        <v>14</v>
      </c>
      <c r="C53" s="23">
        <f>SUM(B41*C41,B42*C42,B43*C43,B44*C44,B45*C45,B46*C46,B47*C47,B48*C48,B49*C49,B50*C50,B51*C51,B52*C52)</f>
        <v>110</v>
      </c>
      <c r="D53" s="23">
        <f>SUM(B41*D41,B42*D42,B43*D43,B44*D44,B45*D45,B46*D46,B47*D47,B48*D48,B49*D49,B50*D50,B51*D51,B52*D52)</f>
        <v>188</v>
      </c>
      <c r="E53" s="23">
        <f>SUM(B41*E41,B42*E42,B43*E43,B44*E44,B45*E45,B46*E46,B47*E47,B48*E48,B49*E49,B50*E50,B51*E51,B52*E52)</f>
        <v>9050</v>
      </c>
    </row>
    <row r="54" spans="1:5">
      <c r="A54" s="45" t="s">
        <v>46</v>
      </c>
      <c r="B54" s="46"/>
      <c r="C54" s="46"/>
      <c r="D54" s="46"/>
      <c r="E54" s="47"/>
    </row>
    <row r="55" spans="1:5">
      <c r="A55" s="48"/>
      <c r="B55" s="49"/>
      <c r="C55" s="49"/>
      <c r="D55" s="49"/>
      <c r="E55" s="50"/>
    </row>
    <row r="56" spans="1:5">
      <c r="A56" s="51"/>
      <c r="B56" s="52"/>
      <c r="C56" s="52"/>
      <c r="D56" s="52"/>
      <c r="E56" s="53"/>
    </row>
  </sheetData>
  <mergeCells count="62">
    <mergeCell ref="A54:E56"/>
    <mergeCell ref="J22:J25"/>
    <mergeCell ref="J28:J33"/>
    <mergeCell ref="D41:D44"/>
    <mergeCell ref="D47:D48"/>
    <mergeCell ref="D49:D50"/>
    <mergeCell ref="D51:D52"/>
    <mergeCell ref="E47:E48"/>
    <mergeCell ref="E49:E50"/>
    <mergeCell ref="E51:E52"/>
    <mergeCell ref="B47:B48"/>
    <mergeCell ref="B49:B50"/>
    <mergeCell ref="B51:B52"/>
    <mergeCell ref="C47:C48"/>
    <mergeCell ref="I9:I14"/>
    <mergeCell ref="I22:I25"/>
    <mergeCell ref="I28:I33"/>
    <mergeCell ref="G35:K37"/>
    <mergeCell ref="A35:E37"/>
    <mergeCell ref="K22:K25"/>
    <mergeCell ref="K28:K33"/>
    <mergeCell ref="G16:K18"/>
    <mergeCell ref="H22:H25"/>
    <mergeCell ref="H28:H33"/>
    <mergeCell ref="B41:B44"/>
    <mergeCell ref="C3:C8"/>
    <mergeCell ref="C9:C14"/>
    <mergeCell ref="C22:C25"/>
    <mergeCell ref="C28:C33"/>
    <mergeCell ref="C41:C44"/>
    <mergeCell ref="C49:C50"/>
    <mergeCell ref="C51:C52"/>
    <mergeCell ref="A39:E39"/>
    <mergeCell ref="B3:B8"/>
    <mergeCell ref="B9:B14"/>
    <mergeCell ref="B22:B25"/>
    <mergeCell ref="B28:B33"/>
    <mergeCell ref="D3:D8"/>
    <mergeCell ref="D9:D14"/>
    <mergeCell ref="D22:D25"/>
    <mergeCell ref="D28:D33"/>
    <mergeCell ref="E3:E8"/>
    <mergeCell ref="E9:E14"/>
    <mergeCell ref="E22:E25"/>
    <mergeCell ref="E28:E33"/>
    <mergeCell ref="E41:E44"/>
    <mergeCell ref="A1:E1"/>
    <mergeCell ref="G1:K1"/>
    <mergeCell ref="A20:E20"/>
    <mergeCell ref="G20:K20"/>
    <mergeCell ref="H3:H6"/>
    <mergeCell ref="H7:H8"/>
    <mergeCell ref="H9:H14"/>
    <mergeCell ref="J3:J6"/>
    <mergeCell ref="J7:J8"/>
    <mergeCell ref="J9:J14"/>
    <mergeCell ref="A16:E18"/>
    <mergeCell ref="K3:K6"/>
    <mergeCell ref="K7:K8"/>
    <mergeCell ref="K9:K14"/>
    <mergeCell ref="I3:I6"/>
    <mergeCell ref="I7:I8"/>
  </mergeCells>
  <phoneticPr fontId="1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81"/>
  <sheetViews>
    <sheetView tabSelected="1" topLeftCell="A56" workbookViewId="0">
      <selection activeCell="C72" sqref="C72"/>
    </sheetView>
  </sheetViews>
  <sheetFormatPr defaultColWidth="9" defaultRowHeight="15.75"/>
  <cols>
    <col min="1" max="1" width="12.625" customWidth="1"/>
    <col min="2" max="2" width="28.75" customWidth="1"/>
    <col min="3" max="3" width="12.5" customWidth="1"/>
    <col min="4" max="4" width="12.25" customWidth="1"/>
    <col min="5" max="5" width="51.125" customWidth="1"/>
    <col min="7" max="7" width="17.375" customWidth="1"/>
    <col min="8" max="8" width="22.875" customWidth="1"/>
    <col min="9" max="9" width="11.625" customWidth="1"/>
    <col min="10" max="10" width="10.875" customWidth="1"/>
    <col min="11" max="11" width="11.5" customWidth="1"/>
    <col min="12" max="12" width="12.625" customWidth="1"/>
    <col min="13" max="13" width="32.5" customWidth="1"/>
    <col min="14" max="14" width="16.25" customWidth="1"/>
    <col min="15" max="15" width="10" customWidth="1"/>
    <col min="16" max="16" width="7.5" customWidth="1"/>
    <col min="17" max="17" width="7" customWidth="1"/>
    <col min="18" max="18" width="8.125" customWidth="1"/>
    <col min="19" max="19" width="8.375" customWidth="1"/>
  </cols>
  <sheetData>
    <row r="1" spans="1:19" ht="22.5">
      <c r="A1" s="54" t="s">
        <v>189</v>
      </c>
      <c r="B1" s="55"/>
      <c r="C1" s="55"/>
      <c r="D1" s="55"/>
      <c r="E1" s="56"/>
      <c r="G1" s="57" t="s">
        <v>191</v>
      </c>
      <c r="H1" s="58"/>
      <c r="I1" s="38"/>
      <c r="J1" s="38"/>
      <c r="K1" s="38"/>
      <c r="L1" s="38"/>
      <c r="M1" s="38"/>
      <c r="N1" s="38"/>
      <c r="O1" s="59" t="s">
        <v>62</v>
      </c>
      <c r="P1" s="60"/>
      <c r="Q1" s="60"/>
      <c r="R1" s="60"/>
      <c r="S1" s="61"/>
    </row>
    <row r="2" spans="1:19" ht="18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G2" s="1" t="s">
        <v>2</v>
      </c>
      <c r="H2" s="36" t="s">
        <v>208</v>
      </c>
      <c r="I2" s="1" t="s">
        <v>63</v>
      </c>
      <c r="J2" s="1" t="s">
        <v>4</v>
      </c>
      <c r="K2" s="1" t="s">
        <v>5</v>
      </c>
      <c r="L2" s="1" t="s">
        <v>6</v>
      </c>
      <c r="M2" s="36" t="s">
        <v>223</v>
      </c>
      <c r="N2" s="32" t="s">
        <v>194</v>
      </c>
      <c r="O2" s="21" t="s">
        <v>64</v>
      </c>
      <c r="P2" s="21" t="s">
        <v>3</v>
      </c>
      <c r="Q2" s="21" t="s">
        <v>4</v>
      </c>
      <c r="R2" s="21" t="s">
        <v>5</v>
      </c>
      <c r="S2" s="21" t="s">
        <v>6</v>
      </c>
    </row>
    <row r="3" spans="1:19" ht="17.25">
      <c r="A3" s="63" t="s">
        <v>151</v>
      </c>
      <c r="B3" s="2" t="s">
        <v>13</v>
      </c>
      <c r="C3" s="3">
        <v>10000</v>
      </c>
      <c r="D3" s="4" t="s">
        <v>14</v>
      </c>
      <c r="E3" s="9" t="s">
        <v>15</v>
      </c>
      <c r="G3" s="35" t="str">
        <f>C32</f>
        <v>MySQL</v>
      </c>
      <c r="H3" s="26" t="s">
        <v>210</v>
      </c>
      <c r="I3" s="7">
        <f>N3</f>
        <v>2</v>
      </c>
      <c r="J3" s="7">
        <f>IF(C56=0,IF(ROUND(IF(C36/50000&lt;1,1,C36/50000),0)*C59&gt;=64,64,ROUND(IF(C36/50000&lt;1,1,C36/50000),0)*C59),IF(ROUND(IF(C36/50000&lt;1,1,C36/50000),0)*C59&gt;=128,128,ROUND(IF(C36/50000&lt;1,1,C36/50000),0)*C59))</f>
        <v>16</v>
      </c>
      <c r="K3" s="7">
        <f>IF(J3*2&gt;32,J3,J3*2)</f>
        <v>32</v>
      </c>
      <c r="L3" s="8">
        <v>500</v>
      </c>
      <c r="M3" s="9" t="s">
        <v>65</v>
      </c>
      <c r="N3" s="7">
        <f>IF(C55=1,2,1)</f>
        <v>2</v>
      </c>
      <c r="O3" s="8">
        <v>1</v>
      </c>
      <c r="P3" s="39">
        <f>MAX(I3,I4,I5,I6)</f>
        <v>2</v>
      </c>
      <c r="Q3" s="39">
        <f>MAX(J3,J4,J5,J6)</f>
        <v>16</v>
      </c>
      <c r="R3" s="39">
        <f>MAX(K3,K4,K5,K6)</f>
        <v>32</v>
      </c>
      <c r="S3" s="39">
        <f>SUM(L3,L4,L5,L6)</f>
        <v>2571</v>
      </c>
    </row>
    <row r="4" spans="1:19" ht="17.25">
      <c r="A4" s="64"/>
      <c r="B4" s="24" t="s">
        <v>196</v>
      </c>
      <c r="C4" s="3">
        <v>180</v>
      </c>
      <c r="D4" s="4" t="s">
        <v>17</v>
      </c>
      <c r="E4" s="26" t="s">
        <v>165</v>
      </c>
      <c r="G4" s="8" t="s">
        <v>16</v>
      </c>
      <c r="H4" s="26" t="s">
        <v>209</v>
      </c>
      <c r="I4" s="7">
        <f>IF(C55=1,ROUND((IF(N4&lt;2,2,N4)),0),ROUND(IF(N4&lt;1,1,N4),0))</f>
        <v>2</v>
      </c>
      <c r="J4" s="7">
        <f>C60</f>
        <v>16</v>
      </c>
      <c r="K4" s="7">
        <f>IF(J4*2&gt;16,J4,J4*2)</f>
        <v>16</v>
      </c>
      <c r="L4" s="7">
        <f>IF(C38*C44=0,50,ROUNDUP((C38*C44/1024/1024)*C43/I4,0)*2)</f>
        <v>482</v>
      </c>
      <c r="M4" s="9" t="s">
        <v>67</v>
      </c>
      <c r="N4" s="7">
        <f>(C41*C40)/(C67*1.5)+C39/C67</f>
        <v>1.3766666666666667</v>
      </c>
      <c r="O4" s="8">
        <v>1</v>
      </c>
      <c r="P4" s="40"/>
      <c r="Q4" s="40"/>
      <c r="R4" s="40"/>
      <c r="S4" s="40"/>
    </row>
    <row r="5" spans="1:19" ht="17.25">
      <c r="A5" s="64"/>
      <c r="B5" s="24" t="s">
        <v>197</v>
      </c>
      <c r="C5" s="3">
        <v>180</v>
      </c>
      <c r="D5" s="4" t="s">
        <v>17</v>
      </c>
      <c r="E5" s="9" t="s">
        <v>66</v>
      </c>
      <c r="G5" s="8" t="s">
        <v>18</v>
      </c>
      <c r="H5" s="26" t="s">
        <v>211</v>
      </c>
      <c r="I5" s="7">
        <f>IF(C45=0,0,IF(C55=1,ROUND((IF(N5&lt;2,2,N5)),0)*C58,ROUND(IF(N5&lt;1,1,N5),0)*C58))</f>
        <v>2</v>
      </c>
      <c r="J5" s="7">
        <f>C61</f>
        <v>16</v>
      </c>
      <c r="K5" s="7">
        <f>IF(J5*2&gt;16,J5,J5*2)</f>
        <v>16</v>
      </c>
      <c r="L5" s="7">
        <f>IF(I5=0,0,ROUNDUP((C9*C37*C13*C8/1024)*C4/I5,0))</f>
        <v>1539</v>
      </c>
      <c r="M5" s="9" t="s">
        <v>68</v>
      </c>
      <c r="N5" s="7">
        <f>C45/C68/C58</f>
        <v>0.1225</v>
      </c>
      <c r="O5" s="8">
        <v>1</v>
      </c>
      <c r="P5" s="40"/>
      <c r="Q5" s="40"/>
      <c r="R5" s="40"/>
      <c r="S5" s="40"/>
    </row>
    <row r="6" spans="1:19" ht="17.25">
      <c r="A6" s="64"/>
      <c r="B6" s="24" t="s">
        <v>198</v>
      </c>
      <c r="C6" s="3">
        <v>50</v>
      </c>
      <c r="D6" s="4" t="s">
        <v>14</v>
      </c>
      <c r="E6" s="9" t="s">
        <v>20</v>
      </c>
      <c r="G6" s="8" t="s">
        <v>19</v>
      </c>
      <c r="H6" s="26" t="s">
        <v>217</v>
      </c>
      <c r="I6" s="7">
        <f>IF(C55=1,IF(C56=0,0,2),IF(C56=0,0,1))</f>
        <v>2</v>
      </c>
      <c r="J6" s="7">
        <f>C62</f>
        <v>8</v>
      </c>
      <c r="K6" s="19">
        <v>16</v>
      </c>
      <c r="L6" s="7">
        <f>IF(I6=0,0,50)</f>
        <v>50</v>
      </c>
      <c r="M6" s="9" t="s">
        <v>69</v>
      </c>
      <c r="N6" s="7">
        <f>I6</f>
        <v>2</v>
      </c>
      <c r="O6" s="8">
        <v>1</v>
      </c>
      <c r="P6" s="41"/>
      <c r="Q6" s="41"/>
      <c r="R6" s="41"/>
      <c r="S6" s="41"/>
    </row>
    <row r="7" spans="1:19" ht="17.25">
      <c r="A7" s="64"/>
      <c r="B7" s="2" t="s">
        <v>22</v>
      </c>
      <c r="C7" s="3">
        <v>1</v>
      </c>
      <c r="D7" s="4" t="s">
        <v>23</v>
      </c>
      <c r="E7" s="10" t="s">
        <v>24</v>
      </c>
      <c r="G7" s="8" t="s">
        <v>21</v>
      </c>
      <c r="H7" s="26" t="s">
        <v>212</v>
      </c>
      <c r="I7" s="7">
        <f>IF(C56=0,0,IF(C55=1,3,1))</f>
        <v>3</v>
      </c>
      <c r="J7" s="20">
        <f>C63</f>
        <v>16</v>
      </c>
      <c r="K7" s="7">
        <f>IF(J7*2&gt;32,J7,J7*2)</f>
        <v>32</v>
      </c>
      <c r="L7" s="7">
        <f>IF(I7=0,0,500)</f>
        <v>500</v>
      </c>
      <c r="M7" s="9" t="s">
        <v>70</v>
      </c>
      <c r="N7" s="7">
        <f>I7</f>
        <v>3</v>
      </c>
      <c r="O7" s="8">
        <v>2</v>
      </c>
      <c r="P7" s="23">
        <f t="shared" ref="P7:S8" si="0">I7</f>
        <v>3</v>
      </c>
      <c r="Q7" s="23">
        <f t="shared" si="0"/>
        <v>16</v>
      </c>
      <c r="R7" s="23">
        <f t="shared" si="0"/>
        <v>32</v>
      </c>
      <c r="S7" s="23">
        <f t="shared" si="0"/>
        <v>500</v>
      </c>
    </row>
    <row r="8" spans="1:19" ht="17.25">
      <c r="A8" s="64"/>
      <c r="B8" s="2" t="s">
        <v>26</v>
      </c>
      <c r="C8" s="3">
        <v>1</v>
      </c>
      <c r="D8" s="4" t="s">
        <v>27</v>
      </c>
      <c r="E8" s="10" t="s">
        <v>28</v>
      </c>
      <c r="G8" s="8" t="s">
        <v>25</v>
      </c>
      <c r="H8" s="26" t="s">
        <v>218</v>
      </c>
      <c r="I8" s="7">
        <f>IF(C55=1,3,1)</f>
        <v>3</v>
      </c>
      <c r="J8" s="19">
        <v>2</v>
      </c>
      <c r="K8" s="19">
        <v>4</v>
      </c>
      <c r="L8" s="8">
        <v>50</v>
      </c>
      <c r="M8" s="9" t="s">
        <v>71</v>
      </c>
      <c r="N8" s="7">
        <f>I8</f>
        <v>3</v>
      </c>
      <c r="O8" s="8">
        <v>3</v>
      </c>
      <c r="P8" s="23">
        <f t="shared" si="0"/>
        <v>3</v>
      </c>
      <c r="Q8" s="23">
        <f t="shared" si="0"/>
        <v>2</v>
      </c>
      <c r="R8" s="23">
        <f t="shared" si="0"/>
        <v>4</v>
      </c>
      <c r="S8" s="23">
        <f t="shared" si="0"/>
        <v>50</v>
      </c>
    </row>
    <row r="9" spans="1:19" ht="17.25">
      <c r="A9" s="65"/>
      <c r="B9" s="2" t="s">
        <v>30</v>
      </c>
      <c r="C9" s="3">
        <v>50</v>
      </c>
      <c r="D9" s="4" t="s">
        <v>31</v>
      </c>
      <c r="E9" s="9" t="s">
        <v>32</v>
      </c>
      <c r="G9" s="8" t="s">
        <v>29</v>
      </c>
      <c r="H9" s="26" t="s">
        <v>213</v>
      </c>
      <c r="I9" s="7">
        <f>IF(C55=1,ROUND((IF(N9&lt;2,2,N9)),0),ROUND(IF(N9&lt;1,1,N9),0))</f>
        <v>2</v>
      </c>
      <c r="J9" s="20">
        <f>C64</f>
        <v>16</v>
      </c>
      <c r="K9" s="19">
        <v>16</v>
      </c>
      <c r="L9" s="7">
        <f>IF(I9=0,0,100)</f>
        <v>100</v>
      </c>
      <c r="M9" s="9" t="s">
        <v>71</v>
      </c>
      <c r="N9" s="7">
        <f>(C39/C69)+(C41*C40/C69/8)</f>
        <v>0.85749999999999993</v>
      </c>
      <c r="O9" s="8">
        <v>4</v>
      </c>
      <c r="P9" s="39">
        <f>MAX(I9,I10,I11,I12,I13,I14)</f>
        <v>2</v>
      </c>
      <c r="Q9" s="42">
        <f>MAX(J9,J10,J11,J12,J13,J14)</f>
        <v>32</v>
      </c>
      <c r="R9" s="42">
        <f>MAX(K9,K10,K11,K12,K13,K14)</f>
        <v>32</v>
      </c>
      <c r="S9" s="39">
        <f>SUM(L9,L10,L11,L12,L13,L14,L15,L16)</f>
        <v>1924</v>
      </c>
    </row>
    <row r="10" spans="1:19" ht="17.25" customHeight="1">
      <c r="A10" s="66" t="s">
        <v>199</v>
      </c>
      <c r="B10" s="2" t="s">
        <v>34</v>
      </c>
      <c r="C10" s="5">
        <v>0.7</v>
      </c>
      <c r="D10" s="4" t="s">
        <v>35</v>
      </c>
      <c r="E10" s="9" t="s">
        <v>72</v>
      </c>
      <c r="G10" s="8" t="s">
        <v>33</v>
      </c>
      <c r="H10" s="26" t="s">
        <v>214</v>
      </c>
      <c r="I10" s="7">
        <f>IF(N10=0,0,IF(C55=1,ROUND((IF(N10&lt;2,2,N10)),0),ROUND((IF(N10&lt;1,1,N10)),0)))</f>
        <v>2</v>
      </c>
      <c r="J10" s="19">
        <v>8</v>
      </c>
      <c r="K10" s="19">
        <v>16</v>
      </c>
      <c r="L10" s="7">
        <f>IF(I10=0,0,100)</f>
        <v>100</v>
      </c>
      <c r="M10" s="9" t="s">
        <v>71</v>
      </c>
      <c r="N10" s="7">
        <f>IF(C56=1,C36/C70,0)</f>
        <v>1</v>
      </c>
      <c r="O10" s="8">
        <v>4</v>
      </c>
      <c r="P10" s="40"/>
      <c r="Q10" s="43"/>
      <c r="R10" s="43"/>
      <c r="S10" s="40"/>
    </row>
    <row r="11" spans="1:19" ht="17.25">
      <c r="A11" s="67"/>
      <c r="B11" s="2" t="s">
        <v>37</v>
      </c>
      <c r="C11" s="5">
        <v>0.3</v>
      </c>
      <c r="D11" s="4" t="s">
        <v>35</v>
      </c>
      <c r="E11" s="9" t="s">
        <v>73</v>
      </c>
      <c r="G11" s="33" t="s">
        <v>202</v>
      </c>
      <c r="H11" s="26" t="s">
        <v>219</v>
      </c>
      <c r="I11" s="7">
        <f>IF(C49=0,0,IF(C55=1,ROUND((IF(N11&lt;2,2,N11)),0),ROUND(IF(N11&lt;1,1,N11),0)))</f>
        <v>2</v>
      </c>
      <c r="J11" s="19">
        <v>8</v>
      </c>
      <c r="K11" s="19">
        <v>8</v>
      </c>
      <c r="L11" s="7">
        <f>IF(I11=0,0,100)</f>
        <v>100</v>
      </c>
      <c r="M11" s="9" t="s">
        <v>71</v>
      </c>
      <c r="N11" s="7">
        <f>C49/IF(AND(C49&gt;0,C57=1),C71*0.66,C71)</f>
        <v>0.10606060606060606</v>
      </c>
      <c r="O11" s="8">
        <v>4</v>
      </c>
      <c r="P11" s="40"/>
      <c r="Q11" s="43"/>
      <c r="R11" s="43"/>
      <c r="S11" s="40"/>
    </row>
    <row r="12" spans="1:19" ht="17.25">
      <c r="A12" s="67"/>
      <c r="B12" s="2" t="s">
        <v>39</v>
      </c>
      <c r="C12" s="5">
        <v>0.05</v>
      </c>
      <c r="D12" s="4" t="s">
        <v>35</v>
      </c>
      <c r="E12" s="9" t="s">
        <v>74</v>
      </c>
      <c r="G12" s="8" t="s">
        <v>38</v>
      </c>
      <c r="H12" s="26" t="s">
        <v>216</v>
      </c>
      <c r="I12" s="7">
        <f>N12</f>
        <v>2</v>
      </c>
      <c r="J12" s="7">
        <f>IF(C3&gt;=20000,8,4)</f>
        <v>4</v>
      </c>
      <c r="K12" s="7">
        <f>J12</f>
        <v>4</v>
      </c>
      <c r="L12" s="8">
        <v>100</v>
      </c>
      <c r="M12" s="26" t="s">
        <v>207</v>
      </c>
      <c r="N12" s="7">
        <f>IF(C55=1,2,1)</f>
        <v>2</v>
      </c>
      <c r="O12" s="8">
        <v>4</v>
      </c>
      <c r="P12" s="40"/>
      <c r="Q12" s="43"/>
      <c r="R12" s="43"/>
      <c r="S12" s="40"/>
    </row>
    <row r="13" spans="1:19" ht="17.25">
      <c r="A13" s="67"/>
      <c r="B13" s="2" t="s">
        <v>41</v>
      </c>
      <c r="C13" s="5">
        <v>0.05</v>
      </c>
      <c r="D13" s="4" t="s">
        <v>35</v>
      </c>
      <c r="E13" s="9" t="s">
        <v>75</v>
      </c>
      <c r="G13" s="8" t="s">
        <v>40</v>
      </c>
      <c r="H13" s="26" t="s">
        <v>215</v>
      </c>
      <c r="I13" s="7">
        <f>IF(C50=0,0,IF(C55=1,ROUND((IF(N13&lt;2,2,N11)),0),ROUND(IF(N13&lt;1,1,N13),0)))</f>
        <v>0</v>
      </c>
      <c r="J13" s="7">
        <f>C65</f>
        <v>8</v>
      </c>
      <c r="K13" s="19">
        <v>8</v>
      </c>
      <c r="L13" s="7">
        <f>IF(I13=0,0,100)</f>
        <v>0</v>
      </c>
      <c r="M13" s="9" t="s">
        <v>71</v>
      </c>
      <c r="N13" s="7">
        <f>C50/C73</f>
        <v>0</v>
      </c>
      <c r="O13" s="8">
        <v>4</v>
      </c>
      <c r="P13" s="40"/>
      <c r="Q13" s="43"/>
      <c r="R13" s="43"/>
      <c r="S13" s="40"/>
    </row>
    <row r="14" spans="1:19" ht="17.25">
      <c r="A14" s="67"/>
      <c r="B14" s="2" t="s">
        <v>43</v>
      </c>
      <c r="C14" s="5">
        <v>0.01</v>
      </c>
      <c r="D14" s="4" t="s">
        <v>35</v>
      </c>
      <c r="E14" s="9" t="s">
        <v>76</v>
      </c>
      <c r="G14" s="33" t="s">
        <v>203</v>
      </c>
      <c r="H14" s="26" t="s">
        <v>220</v>
      </c>
      <c r="I14" s="7">
        <f>IF(C57=0,0,IF(C55=1,ROUND((IF(N14&lt;2,2,N14)),0),ROUND(IF(N14&lt;1,1,N14),0)))</f>
        <v>2</v>
      </c>
      <c r="J14" s="7">
        <f>C66</f>
        <v>32</v>
      </c>
      <c r="K14" s="7">
        <f>J14</f>
        <v>32</v>
      </c>
      <c r="L14" s="7">
        <f>IF(I14=0,0,ROUNDUP((C28*C29*C81)/I14/1024,0))</f>
        <v>1324</v>
      </c>
      <c r="M14" s="26" t="s">
        <v>206</v>
      </c>
      <c r="N14" s="7">
        <f>C49/40</f>
        <v>1.75</v>
      </c>
      <c r="O14" s="8">
        <v>4</v>
      </c>
      <c r="P14" s="40"/>
      <c r="Q14" s="43"/>
      <c r="R14" s="43"/>
      <c r="S14" s="40"/>
    </row>
    <row r="15" spans="1:19" ht="17.25" customHeight="1">
      <c r="A15" s="68"/>
      <c r="B15" s="2" t="s">
        <v>45</v>
      </c>
      <c r="C15" s="5">
        <v>0</v>
      </c>
      <c r="D15" s="4" t="s">
        <v>35</v>
      </c>
      <c r="E15" s="9" t="s">
        <v>77</v>
      </c>
      <c r="G15" s="33" t="s">
        <v>204</v>
      </c>
      <c r="H15" s="26" t="s">
        <v>221</v>
      </c>
      <c r="I15" s="7">
        <f>I14</f>
        <v>2</v>
      </c>
      <c r="J15" s="7">
        <f>J14</f>
        <v>32</v>
      </c>
      <c r="K15" s="7">
        <f>K14</f>
        <v>32</v>
      </c>
      <c r="L15" s="33">
        <v>100</v>
      </c>
      <c r="M15" s="26" t="s">
        <v>207</v>
      </c>
      <c r="N15" s="7">
        <f>N14</f>
        <v>1.75</v>
      </c>
      <c r="O15" s="33">
        <v>4</v>
      </c>
      <c r="P15" s="40"/>
      <c r="Q15" s="43"/>
      <c r="R15" s="43"/>
      <c r="S15" s="40"/>
    </row>
    <row r="16" spans="1:19" ht="17.25" customHeight="1">
      <c r="A16" s="69" t="s">
        <v>47</v>
      </c>
      <c r="B16" s="2" t="s">
        <v>48</v>
      </c>
      <c r="C16" s="5">
        <v>0.7</v>
      </c>
      <c r="D16" s="4" t="s">
        <v>35</v>
      </c>
      <c r="E16" s="9" t="s">
        <v>78</v>
      </c>
      <c r="G16" s="33" t="s">
        <v>205</v>
      </c>
      <c r="H16" s="26" t="s">
        <v>222</v>
      </c>
      <c r="I16" s="7">
        <f>IF(C49=0,0,IF(C55=1,ROUND((IF(N11&lt;2,2,N16)),0),ROUND(IF(N11&lt;1,1,N16),0)))</f>
        <v>2</v>
      </c>
      <c r="J16" s="33">
        <v>8</v>
      </c>
      <c r="K16" s="33">
        <v>16</v>
      </c>
      <c r="L16" s="33">
        <v>100</v>
      </c>
      <c r="M16" s="26" t="s">
        <v>207</v>
      </c>
      <c r="N16" s="7">
        <f>N11/2</f>
        <v>5.3030303030303032E-2</v>
      </c>
      <c r="O16" s="33">
        <v>4</v>
      </c>
      <c r="P16" s="41"/>
      <c r="Q16" s="44"/>
      <c r="R16" s="44"/>
      <c r="S16" s="41"/>
    </row>
    <row r="17" spans="1:19" ht="18">
      <c r="A17" s="64"/>
      <c r="B17" s="24" t="s">
        <v>200</v>
      </c>
      <c r="C17" s="5">
        <v>0</v>
      </c>
      <c r="D17" s="4" t="s">
        <v>35</v>
      </c>
      <c r="E17" s="9" t="s">
        <v>49</v>
      </c>
      <c r="G17" s="34" t="s">
        <v>201</v>
      </c>
      <c r="H17" s="34"/>
      <c r="I17" s="7">
        <f>SUM(I3,I4,I5,I6,I7,I8,I9,I10,I11,I12,I13,I14)</f>
        <v>24</v>
      </c>
      <c r="J17" s="7">
        <f>SUM(I3*J3,I4*J4,I5*J5,I6*J6,I7*J7,I8*J8,I9*J9,I10*J10,I11*J11,I12*J12,I13*J13,I14*J14)</f>
        <v>302</v>
      </c>
      <c r="K17" s="7">
        <f>SUM(I3*K3,I4*K4,I5*K5,I6*K6,I7*K7,I8*K8,I9*K9,I10*K10,I11*K11,I12*K12,I13*K13,I14*K14)</f>
        <v>420</v>
      </c>
      <c r="L17" s="7">
        <f>SUM(I3*L3,I4*L4,I5*L5,I6*L6,I7*L7,I8*L8,I9*L9,I10*L10,I11*L11,I12*L12,I13*L13,I14*L14)</f>
        <v>10240</v>
      </c>
      <c r="M17" s="9"/>
      <c r="N17" s="8"/>
      <c r="O17" s="8"/>
      <c r="P17" s="23">
        <f>SUM(P3,P4,P5,P6,P7,P8,P9,P10,P11,P12,P13,P14)</f>
        <v>10</v>
      </c>
      <c r="Q17" s="23">
        <f>SUM(P3*Q3,P4*Q4,P5*Q5,P6*Q6,P7*Q7,P8*Q8,P9*Q9,P10*Q10,P11*Q11,P12*Q12,P13*Q13,P14*Q14)</f>
        <v>150</v>
      </c>
      <c r="R17" s="23">
        <f>SUM(P3*R3,P4*R4,P5*R5,P6*R6,P7*R7,P8*R8,P9*R9,P10*R10,P11*R11,P12*R12,P13*R13,P14*R14)</f>
        <v>236</v>
      </c>
      <c r="S17" s="23">
        <f>SUM(P3*S3,P4*S4,P5*S5,P6*S6,P7*S7,P8*S8,P9*S9,P10*S10,P11*S11,P12*S12,P13*S13,P14*S14)</f>
        <v>10640</v>
      </c>
    </row>
    <row r="18" spans="1:19" ht="17.25" customHeight="1">
      <c r="A18" s="64"/>
      <c r="B18" s="2" t="s">
        <v>50</v>
      </c>
      <c r="C18" s="3">
        <v>1</v>
      </c>
      <c r="D18" s="4" t="s">
        <v>51</v>
      </c>
      <c r="E18" s="9" t="s">
        <v>52</v>
      </c>
      <c r="G18" s="80" t="s">
        <v>229</v>
      </c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2"/>
    </row>
    <row r="19" spans="1:19" ht="17.25">
      <c r="A19" s="64"/>
      <c r="B19" s="2" t="s">
        <v>53</v>
      </c>
      <c r="C19" s="3">
        <v>1</v>
      </c>
      <c r="D19" s="4" t="s">
        <v>51</v>
      </c>
      <c r="E19" s="9" t="s">
        <v>52</v>
      </c>
      <c r="G19" s="83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5"/>
    </row>
    <row r="20" spans="1:19" ht="17.25">
      <c r="A20" s="64"/>
      <c r="B20" s="2" t="s">
        <v>56</v>
      </c>
      <c r="C20" s="3">
        <v>10</v>
      </c>
      <c r="D20" s="4" t="s">
        <v>57</v>
      </c>
      <c r="E20" s="9" t="s">
        <v>58</v>
      </c>
      <c r="G20" s="83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5"/>
    </row>
    <row r="21" spans="1:19" ht="17.25">
      <c r="A21" s="65"/>
      <c r="B21" s="2" t="s">
        <v>59</v>
      </c>
      <c r="C21" s="3">
        <v>1</v>
      </c>
      <c r="D21" s="4" t="s">
        <v>57</v>
      </c>
      <c r="E21" s="9" t="s">
        <v>60</v>
      </c>
      <c r="G21" s="83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5"/>
    </row>
    <row r="22" spans="1:19" ht="17.25">
      <c r="A22" s="63" t="s">
        <v>153</v>
      </c>
      <c r="B22" s="24" t="s">
        <v>154</v>
      </c>
      <c r="C22" s="28" t="s">
        <v>234</v>
      </c>
      <c r="D22" s="25" t="s">
        <v>164</v>
      </c>
      <c r="E22" s="27" t="s">
        <v>173</v>
      </c>
      <c r="G22" s="83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/>
    </row>
    <row r="23" spans="1:19" ht="17.25">
      <c r="A23" s="71"/>
      <c r="B23" s="24" t="s">
        <v>158</v>
      </c>
      <c r="C23" s="3" t="s">
        <v>185</v>
      </c>
      <c r="D23" s="25" t="s">
        <v>164</v>
      </c>
      <c r="E23" s="27" t="s">
        <v>170</v>
      </c>
      <c r="G23" s="83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5"/>
    </row>
    <row r="24" spans="1:19" ht="17.25">
      <c r="A24" s="71"/>
      <c r="B24" s="24" t="s">
        <v>155</v>
      </c>
      <c r="C24" s="3" t="s">
        <v>175</v>
      </c>
      <c r="D24" s="25" t="s">
        <v>164</v>
      </c>
      <c r="E24" s="27" t="s">
        <v>172</v>
      </c>
      <c r="G24" s="83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5"/>
    </row>
    <row r="25" spans="1:19" ht="17.25">
      <c r="A25" s="71"/>
      <c r="B25" s="24" t="s">
        <v>156</v>
      </c>
      <c r="C25" s="3" t="s">
        <v>174</v>
      </c>
      <c r="D25" s="25" t="s">
        <v>164</v>
      </c>
      <c r="E25" s="27" t="s">
        <v>171</v>
      </c>
      <c r="G25" s="86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8"/>
    </row>
    <row r="26" spans="1:19" ht="17.25">
      <c r="A26" s="71"/>
      <c r="B26" s="24" t="s">
        <v>157</v>
      </c>
      <c r="C26" s="3" t="s">
        <v>235</v>
      </c>
      <c r="D26" s="25" t="s">
        <v>164</v>
      </c>
      <c r="E26" s="27" t="s">
        <v>167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7.25">
      <c r="A27" s="71"/>
      <c r="B27" s="24" t="s">
        <v>159</v>
      </c>
      <c r="C27" s="3">
        <v>27</v>
      </c>
      <c r="D27" s="25" t="s">
        <v>162</v>
      </c>
      <c r="E27" s="26" t="s">
        <v>166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7.25">
      <c r="A28" s="71"/>
      <c r="B28" s="24" t="s">
        <v>163</v>
      </c>
      <c r="C28" s="3">
        <v>480</v>
      </c>
      <c r="D28" s="25" t="s">
        <v>152</v>
      </c>
      <c r="E28" s="26" t="s">
        <v>168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7.25">
      <c r="A29" s="72"/>
      <c r="B29" s="24" t="s">
        <v>160</v>
      </c>
      <c r="C29" s="3">
        <v>30</v>
      </c>
      <c r="D29" s="25" t="s">
        <v>161</v>
      </c>
      <c r="E29" s="26" t="s">
        <v>169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33">
      <c r="A30" s="70" t="s">
        <v>79</v>
      </c>
      <c r="B30" s="2" t="s">
        <v>80</v>
      </c>
      <c r="C30" s="5" t="s">
        <v>230</v>
      </c>
      <c r="D30" s="4" t="s">
        <v>51</v>
      </c>
      <c r="E30" s="13" t="s">
        <v>233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33">
      <c r="A31" s="67"/>
      <c r="B31" s="2" t="s">
        <v>81</v>
      </c>
      <c r="C31" s="5" t="s">
        <v>231</v>
      </c>
      <c r="D31" s="4" t="s">
        <v>51</v>
      </c>
      <c r="E31" s="13" t="s">
        <v>232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33">
      <c r="A32" s="68"/>
      <c r="B32" s="2" t="s">
        <v>82</v>
      </c>
      <c r="C32" s="5" t="s">
        <v>12</v>
      </c>
      <c r="D32" s="4" t="s">
        <v>51</v>
      </c>
      <c r="E32" s="13" t="s">
        <v>83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3" ht="17.25">
      <c r="B33" s="6" t="s">
        <v>84</v>
      </c>
    </row>
    <row r="34" spans="1:13" ht="22.5">
      <c r="A34" s="54" t="s">
        <v>190</v>
      </c>
      <c r="B34" s="55"/>
      <c r="C34" s="55"/>
      <c r="D34" s="55"/>
      <c r="E34" s="56"/>
      <c r="G34" s="54" t="s">
        <v>192</v>
      </c>
      <c r="H34" s="62"/>
      <c r="I34" s="55"/>
      <c r="J34" s="55"/>
      <c r="K34" s="55"/>
      <c r="L34" s="55"/>
      <c r="M34" s="56"/>
    </row>
    <row r="35" spans="1:13" ht="18">
      <c r="A35" s="1" t="s">
        <v>7</v>
      </c>
      <c r="B35" s="1" t="s">
        <v>8</v>
      </c>
      <c r="C35" s="1" t="s">
        <v>9</v>
      </c>
      <c r="D35" s="1" t="s">
        <v>10</v>
      </c>
      <c r="E35" s="1" t="s">
        <v>11</v>
      </c>
      <c r="G35" s="14" t="s">
        <v>2</v>
      </c>
      <c r="H35" s="15" t="s">
        <v>85</v>
      </c>
      <c r="I35" s="21" t="s">
        <v>86</v>
      </c>
      <c r="J35" s="21" t="s">
        <v>87</v>
      </c>
      <c r="K35" s="21" t="s">
        <v>88</v>
      </c>
      <c r="L35" s="78" t="s">
        <v>11</v>
      </c>
      <c r="M35" s="79"/>
    </row>
    <row r="36" spans="1:13" ht="17.25">
      <c r="A36" s="69" t="s">
        <v>89</v>
      </c>
      <c r="B36" s="2" t="s">
        <v>90</v>
      </c>
      <c r="C36" s="7">
        <f>C3</f>
        <v>10000</v>
      </c>
      <c r="D36" s="4" t="s">
        <v>14</v>
      </c>
      <c r="E36" s="9"/>
      <c r="G36" s="8" t="s">
        <v>91</v>
      </c>
      <c r="H36" s="7">
        <f>ROUNDUP(((C39*C44/1024)*8+(C40*C44/1024)*C53*8)*(1-C54)/2,-1)</f>
        <v>10</v>
      </c>
      <c r="I36" s="7">
        <f>ROUNDUP(((C39*C44/1024)*8+(C40*C44/1024)*C53*8)*(C54)/2,-1)</f>
        <v>0</v>
      </c>
      <c r="J36" s="7">
        <f>ROUNDUP(((C39*C44/1024)*8+(C40*(C41-1)*C44/1024)*C53*8)*(1-C54)/2,-1)</f>
        <v>60</v>
      </c>
      <c r="K36" s="7">
        <f>ROUNDUP(((C39*C44/1024)*8+(C40*(C41-1)*C44/1024)*C53*8)*(C54)/2,-1)</f>
        <v>0</v>
      </c>
      <c r="L36" s="76"/>
      <c r="M36" s="77"/>
    </row>
    <row r="37" spans="1:13" ht="17.25">
      <c r="A37" s="64"/>
      <c r="B37" s="2" t="s">
        <v>92</v>
      </c>
      <c r="C37" s="7">
        <f>C3*C10</f>
        <v>7000</v>
      </c>
      <c r="D37" s="4" t="s">
        <v>14</v>
      </c>
      <c r="E37" s="9" t="s">
        <v>93</v>
      </c>
      <c r="G37" s="8" t="s">
        <v>94</v>
      </c>
      <c r="H37" s="7">
        <f>ROUNDUP(C45*C46*8*(1-C54)/10,0)</f>
        <v>98</v>
      </c>
      <c r="I37" s="7">
        <f>ROUNDUP(C45*C46*8*(C54)/10,0)</f>
        <v>0</v>
      </c>
      <c r="J37" s="7">
        <f>H37</f>
        <v>98</v>
      </c>
      <c r="K37" s="7">
        <f>I37</f>
        <v>0</v>
      </c>
      <c r="L37" s="76"/>
      <c r="M37" s="77"/>
    </row>
    <row r="38" spans="1:13" ht="17.25">
      <c r="A38" s="65"/>
      <c r="B38" s="2" t="s">
        <v>95</v>
      </c>
      <c r="C38" s="7">
        <f>IF((C11+C12)&gt;0,((C37*C9*(C11/(C11+C12)))+(C37*C9*(C12/(C11+C12))*C6)),0)</f>
        <v>2800000.0000000005</v>
      </c>
      <c r="D38" s="4" t="s">
        <v>31</v>
      </c>
      <c r="E38" s="9" t="s">
        <v>96</v>
      </c>
      <c r="G38" s="8" t="s">
        <v>97</v>
      </c>
      <c r="H38" s="7">
        <f>ROUNDUP(C49*C72*(1-C54),0)</f>
        <v>42</v>
      </c>
      <c r="I38" s="7">
        <f>ROUNDUP(C49*0.5*C54,0)</f>
        <v>0</v>
      </c>
      <c r="J38" s="7">
        <f>H38</f>
        <v>42</v>
      </c>
      <c r="K38" s="7">
        <f>I38</f>
        <v>0</v>
      </c>
      <c r="L38" s="76"/>
      <c r="M38" s="77"/>
    </row>
    <row r="39" spans="1:13" ht="17.25">
      <c r="A39" s="69" t="s">
        <v>98</v>
      </c>
      <c r="B39" s="2" t="s">
        <v>99</v>
      </c>
      <c r="C39" s="7">
        <f>C37*C11</f>
        <v>2100</v>
      </c>
      <c r="D39" s="4" t="s">
        <v>100</v>
      </c>
      <c r="E39" s="9" t="s">
        <v>101</v>
      </c>
      <c r="G39" s="8" t="s">
        <v>102</v>
      </c>
      <c r="H39" s="7">
        <f>ROUNDUP(10*C51*C7*(1-C54)/1024,0)</f>
        <v>0</v>
      </c>
      <c r="I39" s="7">
        <f>ROUNDUP(10*C51*C7*C54/1024,0)</f>
        <v>0</v>
      </c>
      <c r="J39" s="7">
        <f>ROUNDUP(10*C51*C7*(1-C54)*(IF((C52-1)&lt;1,1,C52-1))/1024,0)</f>
        <v>0</v>
      </c>
      <c r="K39" s="7">
        <f>ROUNDUP(10*C51*C7*C54*(C52-1)/1024,0)</f>
        <v>0</v>
      </c>
      <c r="L39" s="76" t="s">
        <v>225</v>
      </c>
      <c r="M39" s="77"/>
    </row>
    <row r="40" spans="1:13" ht="18">
      <c r="A40" s="64"/>
      <c r="B40" s="2" t="s">
        <v>103</v>
      </c>
      <c r="C40" s="7">
        <f>C37*C12</f>
        <v>350</v>
      </c>
      <c r="D40" s="4" t="s">
        <v>100</v>
      </c>
      <c r="E40" s="9" t="s">
        <v>104</v>
      </c>
      <c r="G40" s="11" t="s">
        <v>105</v>
      </c>
      <c r="H40" s="7">
        <f>ROUNDUP(SUM(H36,H37,H38,H39)*0.7,-1)</f>
        <v>110</v>
      </c>
      <c r="I40" s="7">
        <f>ROUNDUP(SUM(I36,I37,I38,I39)*0.7,-1)</f>
        <v>0</v>
      </c>
      <c r="J40" s="7">
        <f>ROUNDUP(SUM(J36,J37,J38,J39)*0.7,-1)</f>
        <v>140</v>
      </c>
      <c r="K40" s="7">
        <f>ROUNDUP(SUM(K36,K37,K38,K39)*0.7,-1)</f>
        <v>0</v>
      </c>
      <c r="L40" s="76" t="s">
        <v>195</v>
      </c>
      <c r="M40" s="77"/>
    </row>
    <row r="41" spans="1:13" ht="17.25">
      <c r="A41" s="64"/>
      <c r="B41" s="2" t="s">
        <v>106</v>
      </c>
      <c r="C41" s="7">
        <f>C6</f>
        <v>50</v>
      </c>
      <c r="D41" s="4" t="s">
        <v>14</v>
      </c>
      <c r="E41" s="9"/>
    </row>
    <row r="42" spans="1:13" ht="17.25">
      <c r="A42" s="64"/>
      <c r="B42" s="2" t="s">
        <v>107</v>
      </c>
      <c r="C42" s="7">
        <f>C40*C41</f>
        <v>17500</v>
      </c>
      <c r="D42" s="4" t="s">
        <v>100</v>
      </c>
      <c r="E42" s="9" t="s">
        <v>108</v>
      </c>
    </row>
    <row r="43" spans="1:13" ht="17.25">
      <c r="A43" s="64"/>
      <c r="B43" s="2" t="s">
        <v>109</v>
      </c>
      <c r="C43" s="7">
        <f>C4</f>
        <v>180</v>
      </c>
      <c r="D43" s="4" t="s">
        <v>17</v>
      </c>
      <c r="E43" s="9"/>
    </row>
    <row r="44" spans="1:13" ht="17.25">
      <c r="A44" s="65"/>
      <c r="B44" s="2" t="s">
        <v>110</v>
      </c>
      <c r="C44" s="7">
        <f>C7</f>
        <v>1</v>
      </c>
      <c r="D44" s="4" t="s">
        <v>23</v>
      </c>
      <c r="E44" s="9"/>
    </row>
    <row r="45" spans="1:13" ht="17.25">
      <c r="A45" s="69" t="s">
        <v>111</v>
      </c>
      <c r="B45" s="2" t="s">
        <v>112</v>
      </c>
      <c r="C45" s="7">
        <f>(C39+C40)*C13</f>
        <v>122.5</v>
      </c>
      <c r="D45" s="4" t="s">
        <v>113</v>
      </c>
      <c r="E45" s="9" t="s">
        <v>114</v>
      </c>
    </row>
    <row r="46" spans="1:13" ht="17.25">
      <c r="A46" s="64"/>
      <c r="B46" s="2" t="s">
        <v>115</v>
      </c>
      <c r="C46" s="7">
        <f>C8</f>
        <v>1</v>
      </c>
      <c r="D46" s="4" t="s">
        <v>27</v>
      </c>
      <c r="E46" s="9"/>
    </row>
    <row r="47" spans="1:13" ht="17.25">
      <c r="A47" s="64"/>
      <c r="B47" s="2" t="s">
        <v>116</v>
      </c>
      <c r="C47" s="7">
        <f>C5</f>
        <v>180</v>
      </c>
      <c r="D47" s="4" t="s">
        <v>17</v>
      </c>
      <c r="E47" s="9"/>
    </row>
    <row r="48" spans="1:13" ht="17.25">
      <c r="A48" s="65"/>
      <c r="B48" s="2" t="s">
        <v>117</v>
      </c>
      <c r="C48" s="7">
        <f>C21</f>
        <v>1</v>
      </c>
      <c r="D48" s="4" t="s">
        <v>57</v>
      </c>
      <c r="E48" s="9"/>
    </row>
    <row r="49" spans="1:9" ht="17.25">
      <c r="A49" s="2" t="s">
        <v>118</v>
      </c>
      <c r="B49" s="2" t="s">
        <v>119</v>
      </c>
      <c r="C49" s="7">
        <f>C37*C14</f>
        <v>70</v>
      </c>
      <c r="D49" s="4" t="s">
        <v>14</v>
      </c>
      <c r="E49" s="9" t="s">
        <v>120</v>
      </c>
    </row>
    <row r="50" spans="1:9" ht="17.25">
      <c r="A50" s="69" t="s">
        <v>121</v>
      </c>
      <c r="B50" s="2" t="s">
        <v>122</v>
      </c>
      <c r="C50" s="7">
        <f>C37*C15</f>
        <v>0</v>
      </c>
      <c r="D50" s="4" t="s">
        <v>14</v>
      </c>
      <c r="E50" s="9" t="s">
        <v>123</v>
      </c>
    </row>
    <row r="51" spans="1:9" ht="17.25">
      <c r="A51" s="64"/>
      <c r="B51" s="2" t="s">
        <v>124</v>
      </c>
      <c r="C51" s="7">
        <f>IF(C50&gt;0,C20,0)</f>
        <v>0</v>
      </c>
      <c r="D51" s="4" t="s">
        <v>57</v>
      </c>
      <c r="E51" s="9"/>
    </row>
    <row r="52" spans="1:9" ht="17.25">
      <c r="A52" s="65"/>
      <c r="B52" s="2" t="s">
        <v>125</v>
      </c>
      <c r="C52" s="7">
        <f>IF(C20&gt;0,C50/C20,0)</f>
        <v>0</v>
      </c>
      <c r="D52" s="4" t="s">
        <v>14</v>
      </c>
      <c r="E52" s="9"/>
    </row>
    <row r="53" spans="1:9" ht="17.25">
      <c r="A53" s="69" t="s">
        <v>47</v>
      </c>
      <c r="B53" s="2" t="s">
        <v>126</v>
      </c>
      <c r="C53" s="7">
        <f>C16</f>
        <v>0.7</v>
      </c>
      <c r="D53" s="4" t="s">
        <v>35</v>
      </c>
      <c r="E53" s="9"/>
    </row>
    <row r="54" spans="1:9" ht="17.25">
      <c r="A54" s="64"/>
      <c r="B54" s="2" t="s">
        <v>127</v>
      </c>
      <c r="C54" s="7">
        <f>C17</f>
        <v>0</v>
      </c>
      <c r="D54" s="4" t="s">
        <v>35</v>
      </c>
      <c r="E54" s="9"/>
    </row>
    <row r="55" spans="1:9" ht="17.25">
      <c r="A55" s="64"/>
      <c r="B55" s="2" t="s">
        <v>128</v>
      </c>
      <c r="C55" s="7">
        <f>C18</f>
        <v>1</v>
      </c>
      <c r="D55" s="4" t="s">
        <v>51</v>
      </c>
      <c r="E55" s="9" t="s">
        <v>129</v>
      </c>
    </row>
    <row r="56" spans="1:9" ht="17.25">
      <c r="A56" s="64"/>
      <c r="B56" s="2" t="s">
        <v>130</v>
      </c>
      <c r="C56" s="7">
        <f>C19</f>
        <v>1</v>
      </c>
      <c r="D56" s="4" t="s">
        <v>51</v>
      </c>
      <c r="E56" s="9" t="s">
        <v>129</v>
      </c>
    </row>
    <row r="57" spans="1:9" ht="17.25">
      <c r="A57" s="64"/>
      <c r="B57" s="2" t="s">
        <v>131</v>
      </c>
      <c r="C57" s="7">
        <f>IF(C22="不录制",0,1)</f>
        <v>1</v>
      </c>
      <c r="D57" s="4" t="s">
        <v>51</v>
      </c>
      <c r="E57" s="9" t="s">
        <v>129</v>
      </c>
    </row>
    <row r="58" spans="1:9" ht="17.25">
      <c r="A58" s="65"/>
      <c r="B58" s="2" t="s">
        <v>117</v>
      </c>
      <c r="C58" s="7">
        <f>C21</f>
        <v>1</v>
      </c>
      <c r="D58" s="4" t="s">
        <v>57</v>
      </c>
      <c r="E58" s="9"/>
    </row>
    <row r="59" spans="1:9" ht="17.25">
      <c r="A59" s="69" t="s">
        <v>132</v>
      </c>
      <c r="B59" s="2" t="s">
        <v>133</v>
      </c>
      <c r="C59" s="7">
        <f>IF(C30="X86-非国产",8,16)</f>
        <v>16</v>
      </c>
      <c r="D59" s="4" t="s">
        <v>134</v>
      </c>
      <c r="E59" s="73" t="s">
        <v>135</v>
      </c>
    </row>
    <row r="60" spans="1:9" ht="17.25">
      <c r="A60" s="64"/>
      <c r="B60" s="2" t="s">
        <v>136</v>
      </c>
      <c r="C60" s="7">
        <f>IF(C30="X86-非国产",8,16)</f>
        <v>16</v>
      </c>
      <c r="D60" s="4" t="s">
        <v>134</v>
      </c>
      <c r="E60" s="74"/>
    </row>
    <row r="61" spans="1:9" ht="17.25">
      <c r="A61" s="64"/>
      <c r="B61" s="2" t="s">
        <v>137</v>
      </c>
      <c r="C61" s="7">
        <f>IF(C30="X86-非国产",8,16)</f>
        <v>16</v>
      </c>
      <c r="D61" s="4" t="s">
        <v>134</v>
      </c>
      <c r="E61" s="74"/>
    </row>
    <row r="62" spans="1:9" ht="17.25">
      <c r="A62" s="64"/>
      <c r="B62" s="2" t="s">
        <v>138</v>
      </c>
      <c r="C62" s="7">
        <f>IF(C30="X86-非国产",4,8)</f>
        <v>8</v>
      </c>
      <c r="D62" s="4" t="s">
        <v>134</v>
      </c>
      <c r="E62" s="74"/>
      <c r="I62" s="16"/>
    </row>
    <row r="63" spans="1:9" ht="17.25">
      <c r="A63" s="64"/>
      <c r="B63" s="2" t="s">
        <v>139</v>
      </c>
      <c r="C63" s="7">
        <f>IF(C30="X86-非国产",IF(C3&gt;=20000,"16","8"),IF(C3&gt;=20000,"16","8")*2)</f>
        <v>16</v>
      </c>
      <c r="D63" s="4" t="s">
        <v>134</v>
      </c>
      <c r="E63" s="74"/>
    </row>
    <row r="64" spans="1:9" ht="17.25">
      <c r="A64" s="64"/>
      <c r="B64" s="2" t="s">
        <v>140</v>
      </c>
      <c r="C64" s="7">
        <f>IF(C30="X86-非国产",8,16)</f>
        <v>16</v>
      </c>
      <c r="D64" s="4" t="s">
        <v>134</v>
      </c>
      <c r="E64" s="74"/>
    </row>
    <row r="65" spans="1:5" ht="17.25">
      <c r="A65" s="64"/>
      <c r="B65" s="2" t="s">
        <v>141</v>
      </c>
      <c r="C65" s="7">
        <f>IF(C30="X86-非国产",4,8)</f>
        <v>8</v>
      </c>
      <c r="D65" s="4" t="s">
        <v>134</v>
      </c>
      <c r="E65" s="74"/>
    </row>
    <row r="66" spans="1:5" ht="17.25">
      <c r="A66" s="64"/>
      <c r="B66" s="2" t="s">
        <v>142</v>
      </c>
      <c r="C66" s="7">
        <f>IF(C30="X86-非国产",16,32)</f>
        <v>32</v>
      </c>
      <c r="D66" s="4" t="s">
        <v>134</v>
      </c>
      <c r="E66" s="75"/>
    </row>
    <row r="67" spans="1:5" ht="66">
      <c r="A67" s="64"/>
      <c r="B67" s="2" t="s">
        <v>143</v>
      </c>
      <c r="C67" s="7">
        <f>IF(C30="X86-非国产",10000,IF(AND(C30="ARM-鲲鹏",C31="CentOS"),10000,IF(AND(C30="ARM-鲲鹏",C31&lt;&gt;"CentOS"),10000,"未知")))</f>
        <v>10000</v>
      </c>
      <c r="D67" s="4" t="s">
        <v>144</v>
      </c>
      <c r="E67" s="17" t="s">
        <v>237</v>
      </c>
    </row>
    <row r="68" spans="1:5" ht="17.25">
      <c r="A68" s="64"/>
      <c r="B68" s="24" t="s">
        <v>193</v>
      </c>
      <c r="C68" s="8">
        <v>1000</v>
      </c>
      <c r="D68" s="4" t="s">
        <v>144</v>
      </c>
      <c r="E68" s="18" t="s">
        <v>239</v>
      </c>
    </row>
    <row r="69" spans="1:5" ht="17.25">
      <c r="A69" s="64"/>
      <c r="B69" s="2" t="s">
        <v>146</v>
      </c>
      <c r="C69" s="8">
        <v>5000</v>
      </c>
      <c r="D69" s="4" t="s">
        <v>144</v>
      </c>
      <c r="E69" s="18" t="s">
        <v>145</v>
      </c>
    </row>
    <row r="70" spans="1:5" ht="17.25">
      <c r="A70" s="64"/>
      <c r="B70" s="2" t="s">
        <v>236</v>
      </c>
      <c r="C70" s="8">
        <v>10000</v>
      </c>
      <c r="D70" s="4" t="s">
        <v>14</v>
      </c>
      <c r="E70" s="29" t="s">
        <v>224</v>
      </c>
    </row>
    <row r="71" spans="1:5" ht="17.25">
      <c r="A71" s="64"/>
      <c r="B71" s="2" t="s">
        <v>147</v>
      </c>
      <c r="C71" s="8">
        <v>1000</v>
      </c>
      <c r="D71" s="4" t="s">
        <v>14</v>
      </c>
      <c r="E71" s="18" t="s">
        <v>238</v>
      </c>
    </row>
    <row r="72" spans="1:5" ht="17.25">
      <c r="A72" s="64"/>
      <c r="B72" s="24" t="s">
        <v>226</v>
      </c>
      <c r="C72" s="7">
        <f>0.5*1.2</f>
        <v>0.6</v>
      </c>
      <c r="D72" s="25" t="s">
        <v>227</v>
      </c>
      <c r="E72" s="29" t="s">
        <v>228</v>
      </c>
    </row>
    <row r="73" spans="1:5" ht="17.25">
      <c r="A73" s="64"/>
      <c r="B73" s="2" t="s">
        <v>149</v>
      </c>
      <c r="C73" s="8">
        <v>6000</v>
      </c>
      <c r="D73" s="4" t="s">
        <v>14</v>
      </c>
      <c r="E73" s="29" t="s">
        <v>224</v>
      </c>
    </row>
    <row r="74" spans="1:5" ht="17.25">
      <c r="A74" s="64"/>
      <c r="B74" s="2" t="s">
        <v>150</v>
      </c>
      <c r="C74" s="8">
        <v>50</v>
      </c>
      <c r="D74" s="4" t="s">
        <v>14</v>
      </c>
      <c r="E74" s="18" t="s">
        <v>148</v>
      </c>
    </row>
    <row r="75" spans="1:5" ht="17.25">
      <c r="A75" s="64"/>
      <c r="B75" s="24" t="s">
        <v>179</v>
      </c>
      <c r="C75" s="7">
        <f>IF(C25="aac",2.318,3.013)/5</f>
        <v>0.60260000000000002</v>
      </c>
      <c r="D75" s="25" t="s">
        <v>177</v>
      </c>
      <c r="E75" s="30" t="s">
        <v>186</v>
      </c>
    </row>
    <row r="76" spans="1:5" ht="17.25">
      <c r="A76" s="64"/>
      <c r="B76" s="24" t="s">
        <v>180</v>
      </c>
      <c r="C76" s="7">
        <f>IF(C26="低",7.489,IF(C26="中",13.325,38.177))</f>
        <v>38.177</v>
      </c>
      <c r="D76" s="25" t="s">
        <v>178</v>
      </c>
      <c r="E76" s="30" t="s">
        <v>186</v>
      </c>
    </row>
    <row r="77" spans="1:5" ht="17.25">
      <c r="A77" s="64"/>
      <c r="B77" s="24" t="s">
        <v>181</v>
      </c>
      <c r="C77" s="7">
        <f>IF(C26="低",8.085,IF(C26="中",14.454,34.869))</f>
        <v>34.869</v>
      </c>
      <c r="D77" s="25" t="s">
        <v>178</v>
      </c>
      <c r="E77" s="30" t="s">
        <v>186</v>
      </c>
    </row>
    <row r="78" spans="1:5" ht="17.25">
      <c r="A78" s="64"/>
      <c r="B78" s="24" t="s">
        <v>182</v>
      </c>
      <c r="C78" s="7">
        <f>IF(C26="低",14.597,IF(C26="中",15.313,35.41))</f>
        <v>35.409999999999997</v>
      </c>
      <c r="D78" s="25" t="s">
        <v>178</v>
      </c>
      <c r="E78" s="30" t="s">
        <v>186</v>
      </c>
    </row>
    <row r="79" spans="1:5" ht="17.25">
      <c r="A79" s="64"/>
      <c r="B79" s="24" t="s">
        <v>183</v>
      </c>
      <c r="C79" s="7">
        <f>IF(C24="mp4",C76,IF(C24="mkv",C77,C78))/5</f>
        <v>6.9737999999999998</v>
      </c>
      <c r="D79" s="25" t="s">
        <v>177</v>
      </c>
      <c r="E79" s="30" t="s">
        <v>186</v>
      </c>
    </row>
    <row r="80" spans="1:5" ht="17.25">
      <c r="A80" s="64"/>
      <c r="B80" s="31" t="s">
        <v>184</v>
      </c>
      <c r="C80" s="7">
        <f>IF(C22="不录制",0,IF(C22="仅录制音频",C75,C79))</f>
        <v>6.9737999999999998</v>
      </c>
      <c r="D80" s="25" t="s">
        <v>177</v>
      </c>
      <c r="E80" s="30" t="s">
        <v>186</v>
      </c>
    </row>
    <row r="81" spans="1:5" ht="17.25">
      <c r="A81" s="65"/>
      <c r="B81" s="24" t="s">
        <v>187</v>
      </c>
      <c r="C81" s="7">
        <f>IF(C23="Mix",C80,C80*C27)</f>
        <v>188.29259999999999</v>
      </c>
      <c r="D81" s="25" t="s">
        <v>176</v>
      </c>
      <c r="E81" s="29" t="s">
        <v>188</v>
      </c>
    </row>
  </sheetData>
  <mergeCells count="32">
    <mergeCell ref="A59:A81"/>
    <mergeCell ref="A36:A38"/>
    <mergeCell ref="A39:A44"/>
    <mergeCell ref="A45:A48"/>
    <mergeCell ref="A50:A52"/>
    <mergeCell ref="A53:A58"/>
    <mergeCell ref="E59:E66"/>
    <mergeCell ref="P3:P6"/>
    <mergeCell ref="Q3:Q6"/>
    <mergeCell ref="P9:P16"/>
    <mergeCell ref="Q9:Q16"/>
    <mergeCell ref="L38:M38"/>
    <mergeCell ref="L39:M39"/>
    <mergeCell ref="L40:M40"/>
    <mergeCell ref="L35:M35"/>
    <mergeCell ref="L36:M36"/>
    <mergeCell ref="L37:M37"/>
    <mergeCell ref="G18:S25"/>
    <mergeCell ref="A1:E1"/>
    <mergeCell ref="G1:N1"/>
    <mergeCell ref="O1:S1"/>
    <mergeCell ref="A34:E34"/>
    <mergeCell ref="G34:M34"/>
    <mergeCell ref="A3:A9"/>
    <mergeCell ref="A10:A15"/>
    <mergeCell ref="A16:A21"/>
    <mergeCell ref="A30:A32"/>
    <mergeCell ref="R3:R6"/>
    <mergeCell ref="S3:S6"/>
    <mergeCell ref="A22:A29"/>
    <mergeCell ref="R9:R16"/>
    <mergeCell ref="S9:S16"/>
  </mergeCells>
  <phoneticPr fontId="15" type="noConversion"/>
  <dataValidations count="11">
    <dataValidation type="list" allowBlank="1" showInputMessage="1" showErrorMessage="1" sqref="C21" xr:uid="{00000000-0002-0000-0100-000000000000}">
      <formula1>"1,2,3,4,5,6,7,8,9,10"</formula1>
    </dataValidation>
    <dataValidation type="list" allowBlank="1" showInputMessage="1" showErrorMessage="1" sqref="C30" xr:uid="{00000000-0002-0000-0100-000001000000}">
      <formula1>"X86-非国产,X86-兆芯,ARM-鲲鹏,ARM-飞腾,MIPS-龙芯"</formula1>
    </dataValidation>
    <dataValidation type="list" allowBlank="1" showInputMessage="1" showErrorMessage="1" sqref="C31" xr:uid="{00000000-0002-0000-0100-000002000000}">
      <formula1>"CentOS,中标麒麟,银河麒麟,统信(UOS)"</formula1>
    </dataValidation>
    <dataValidation type="list" allowBlank="1" showInputMessage="1" showErrorMessage="1" sqref="C32" xr:uid="{00000000-0002-0000-0100-000003000000}">
      <formula1>"MySQL,人大金仓,达梦,神舟通用,南大通用"</formula1>
    </dataValidation>
    <dataValidation type="decimal" allowBlank="1" showInputMessage="1" showErrorMessage="1" sqref="C10:C17" xr:uid="{00000000-0002-0000-0100-000004000000}">
      <formula1>0</formula1>
      <formula2>1</formula2>
    </dataValidation>
    <dataValidation type="list" allowBlank="1" showInputMessage="1" showErrorMessage="1" sqref="C18:C19" xr:uid="{00000000-0002-0000-0100-000005000000}">
      <formula1>"0,1"</formula1>
    </dataValidation>
    <dataValidation type="list" allowBlank="1" showInputMessage="1" showErrorMessage="1" sqref="C22" xr:uid="{E88B1490-A463-468B-BFB4-7B6385D8C918}">
      <formula1>"不录制,录制音视频,仅录制音频,仅录制视频"</formula1>
    </dataValidation>
    <dataValidation type="list" allowBlank="1" showInputMessage="1" showErrorMessage="1" sqref="C23" xr:uid="{78500565-9697-4471-9284-42B636FD78B8}">
      <formula1>"Mix,Single"</formula1>
    </dataValidation>
    <dataValidation type="list" allowBlank="1" showInputMessage="1" showErrorMessage="1" sqref="C26" xr:uid="{998F32B7-1786-4955-BAA7-03B8306B414C}">
      <formula1>"低,中,高"</formula1>
    </dataValidation>
    <dataValidation type="list" allowBlank="1" showInputMessage="1" showErrorMessage="1" sqref="C25" xr:uid="{97C53E5D-4330-4569-A95A-4463F4A117D1}">
      <formula1>"aac,mp3"</formula1>
    </dataValidation>
    <dataValidation type="list" allowBlank="1" showInputMessage="1" showErrorMessage="1" sqref="C24" xr:uid="{FC98C8B9-3E7F-40DD-AC73-B5453B13ED38}">
      <formula1>"mp4,mkv,flv"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01-设备资源评估梯度表（非国产化）</vt:lpstr>
      <vt:lpstr>02-业务模型信息采集及设备资源评估工具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2016-04-09T18:48:00Z</dcterms:created>
  <dcterms:modified xsi:type="dcterms:W3CDTF">2023-07-31T09:42:48Z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