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7235" windowHeight="7755" activeTab="3"/>
  </bookViews>
  <sheets>
    <sheet name="9" sheetId="1" r:id="rId1"/>
    <sheet name="10" sheetId="2" r:id="rId2"/>
    <sheet name="11" sheetId="3" r:id="rId3"/>
    <sheet name="12" sheetId="4" r:id="rId4"/>
    <sheet name="14" sheetId="6" r:id="rId5"/>
    <sheet name="13" sheetId="7" r:id="rId6"/>
  </sheets>
  <calcPr calcId="125725"/>
</workbook>
</file>

<file path=xl/calcChain.xml><?xml version="1.0" encoding="utf-8"?>
<calcChain xmlns="http://schemas.openxmlformats.org/spreadsheetml/2006/main">
  <c r="K18" i="4"/>
  <c r="K19"/>
  <c r="K17"/>
  <c r="R30" i="3"/>
  <c r="Q30"/>
  <c r="H62" l="1"/>
  <c r="K25" i="6"/>
  <c r="N22"/>
  <c r="N23"/>
  <c r="P58"/>
  <c r="P59"/>
  <c r="P60"/>
  <c r="P61"/>
  <c r="P62"/>
  <c r="P63"/>
  <c r="P64"/>
  <c r="P65"/>
  <c r="P66"/>
  <c r="P67"/>
  <c r="P68"/>
  <c r="P69"/>
  <c r="O56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55"/>
  <c r="N12"/>
  <c r="N13"/>
  <c r="N14"/>
  <c r="N15"/>
  <c r="N16"/>
  <c r="N17"/>
  <c r="N18"/>
  <c r="N19"/>
  <c r="N20"/>
  <c r="N21"/>
  <c r="M10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9"/>
  <c r="I34"/>
  <c r="I35"/>
  <c r="I36"/>
  <c r="I37"/>
  <c r="I38"/>
  <c r="I39"/>
  <c r="I40"/>
  <c r="I41"/>
  <c r="I42"/>
  <c r="I43"/>
  <c r="I44"/>
  <c r="I45"/>
  <c r="H32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31"/>
  <c r="Q34"/>
  <c r="Q35"/>
  <c r="Q36"/>
  <c r="Q37"/>
  <c r="Q38"/>
  <c r="Q39"/>
  <c r="Q40"/>
  <c r="Q41"/>
  <c r="Q42"/>
  <c r="Q43"/>
  <c r="Q44"/>
  <c r="Q45"/>
  <c r="P32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31"/>
  <c r="X10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9"/>
  <c r="J9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8"/>
  <c r="I13" i="2"/>
  <c r="G26" i="1"/>
  <c r="G23"/>
  <c r="F26"/>
  <c r="F23"/>
  <c r="K17" i="2"/>
  <c r="K18"/>
  <c r="K41"/>
  <c r="K42"/>
  <c r="K43"/>
  <c r="K44"/>
  <c r="K45"/>
  <c r="Y14" i="6" l="1"/>
  <c r="Y15"/>
  <c r="Y16"/>
  <c r="Y12"/>
  <c r="Y13"/>
  <c r="Y20"/>
  <c r="Y21"/>
  <c r="Y17"/>
  <c r="Y22"/>
  <c r="Y18"/>
  <c r="Y23"/>
  <c r="Y19"/>
  <c r="L42" i="2"/>
  <c r="L23"/>
  <c r="L41"/>
  <c r="L45"/>
  <c r="L44"/>
  <c r="L39"/>
  <c r="L43"/>
  <c r="L24"/>
  <c r="K24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K40"/>
  <c r="L40" s="1"/>
  <c r="K23"/>
  <c r="D17" i="3" l="1"/>
  <c r="D21"/>
  <c r="D25"/>
  <c r="D29"/>
  <c r="D33"/>
  <c r="D37"/>
  <c r="D41"/>
  <c r="D45"/>
  <c r="D49"/>
  <c r="D53"/>
  <c r="D57"/>
  <c r="H59"/>
  <c r="D11" s="1"/>
  <c r="I28"/>
  <c r="K28" s="1"/>
  <c r="I29"/>
  <c r="K29" s="1"/>
  <c r="I30"/>
  <c r="K30" s="1"/>
  <c r="I31"/>
  <c r="K31" s="1"/>
  <c r="I32"/>
  <c r="K32" s="1"/>
  <c r="I33"/>
  <c r="K33" s="1"/>
  <c r="I34"/>
  <c r="K34" s="1"/>
  <c r="I35"/>
  <c r="K35" s="1"/>
  <c r="I36"/>
  <c r="K36" s="1"/>
  <c r="I37"/>
  <c r="K37" s="1"/>
  <c r="I38"/>
  <c r="K38" s="1"/>
  <c r="I39"/>
  <c r="K39" s="1"/>
  <c r="I40"/>
  <c r="K40" s="1"/>
  <c r="I41"/>
  <c r="K41" s="1"/>
  <c r="I42"/>
  <c r="K42" s="1"/>
  <c r="I43"/>
  <c r="K43" s="1"/>
  <c r="I44"/>
  <c r="K44" s="1"/>
  <c r="I45"/>
  <c r="K45" s="1"/>
  <c r="I46"/>
  <c r="K46" s="1"/>
  <c r="I47"/>
  <c r="K47" s="1"/>
  <c r="I48"/>
  <c r="K48" s="1"/>
  <c r="I49"/>
  <c r="K49" s="1"/>
  <c r="I50"/>
  <c r="K50" s="1"/>
  <c r="I51"/>
  <c r="K51" s="1"/>
  <c r="I52"/>
  <c r="K52" s="1"/>
  <c r="I53"/>
  <c r="K53" s="1"/>
  <c r="I54"/>
  <c r="K54" s="1"/>
  <c r="I55"/>
  <c r="K55" s="1"/>
  <c r="I56"/>
  <c r="K56" s="1"/>
  <c r="I57"/>
  <c r="K57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G24" i="2"/>
  <c r="O27" i="3" l="1"/>
  <c r="O26"/>
  <c r="D56"/>
  <c r="D52"/>
  <c r="D48"/>
  <c r="D44"/>
  <c r="D40"/>
  <c r="D36"/>
  <c r="D32"/>
  <c r="D28"/>
  <c r="D24"/>
  <c r="D20"/>
  <c r="D16"/>
  <c r="D12"/>
  <c r="D13"/>
  <c r="D9"/>
  <c r="D8"/>
  <c r="D54"/>
  <c r="D50"/>
  <c r="D46"/>
  <c r="D42"/>
  <c r="D38"/>
  <c r="D34"/>
  <c r="D30"/>
  <c r="D26"/>
  <c r="D22"/>
  <c r="D18"/>
  <c r="D14"/>
  <c r="D10"/>
  <c r="D55"/>
  <c r="D51"/>
  <c r="D47"/>
  <c r="D43"/>
  <c r="D39"/>
  <c r="D35"/>
  <c r="D31"/>
  <c r="D27"/>
  <c r="D23"/>
  <c r="D19"/>
  <c r="D15"/>
  <c r="K59"/>
  <c r="C50" s="1"/>
  <c r="F24" i="2"/>
  <c r="G21"/>
  <c r="F21"/>
  <c r="I15"/>
  <c r="L9" i="3" l="1"/>
  <c r="A9" s="1"/>
  <c r="L15"/>
  <c r="L8"/>
  <c r="C49"/>
  <c r="C23"/>
  <c r="C29"/>
  <c r="C28"/>
  <c r="C57"/>
  <c r="C18"/>
  <c r="C46"/>
  <c r="L37"/>
  <c r="B37" s="1"/>
  <c r="C21"/>
  <c r="C45"/>
  <c r="C14"/>
  <c r="C34"/>
  <c r="C24"/>
  <c r="C56"/>
  <c r="C47"/>
  <c r="C17"/>
  <c r="C37"/>
  <c r="C10"/>
  <c r="C30"/>
  <c r="C16"/>
  <c r="C52"/>
  <c r="C43"/>
  <c r="C13"/>
  <c r="C33"/>
  <c r="C53"/>
  <c r="C26"/>
  <c r="C12"/>
  <c r="C36"/>
  <c r="C27"/>
  <c r="C9"/>
  <c r="C44"/>
  <c r="C15"/>
  <c r="C39"/>
  <c r="C42"/>
  <c r="C25"/>
  <c r="C41"/>
  <c r="C8"/>
  <c r="C22"/>
  <c r="C38"/>
  <c r="C20"/>
  <c r="C40"/>
  <c r="C11"/>
  <c r="C31"/>
  <c r="C55"/>
  <c r="C54"/>
  <c r="L14"/>
  <c r="B14" s="1"/>
  <c r="L27"/>
  <c r="A27" s="1"/>
  <c r="L36"/>
  <c r="B36" s="1"/>
  <c r="L53"/>
  <c r="A53" s="1"/>
  <c r="L21"/>
  <c r="A21" s="1"/>
  <c r="L50"/>
  <c r="B50" s="1"/>
  <c r="L18"/>
  <c r="B18" s="1"/>
  <c r="L31"/>
  <c r="B31" s="1"/>
  <c r="L40"/>
  <c r="B40" s="1"/>
  <c r="L57"/>
  <c r="B57" s="1"/>
  <c r="L25"/>
  <c r="B25" s="1"/>
  <c r="L30"/>
  <c r="B30" s="1"/>
  <c r="L43"/>
  <c r="A43" s="1"/>
  <c r="L52"/>
  <c r="B52" s="1"/>
  <c r="L20"/>
  <c r="B20" s="1"/>
  <c r="L10"/>
  <c r="A10" s="1"/>
  <c r="L34"/>
  <c r="B34" s="1"/>
  <c r="L47"/>
  <c r="A47" s="1"/>
  <c r="L56"/>
  <c r="B56" s="1"/>
  <c r="L24"/>
  <c r="B24" s="1"/>
  <c r="L41"/>
  <c r="A41" s="1"/>
  <c r="L54"/>
  <c r="A54" s="1"/>
  <c r="L38"/>
  <c r="A38" s="1"/>
  <c r="L22"/>
  <c r="B22" s="1"/>
  <c r="L51"/>
  <c r="A51" s="1"/>
  <c r="L35"/>
  <c r="B35" s="1"/>
  <c r="A15"/>
  <c r="L44"/>
  <c r="B44" s="1"/>
  <c r="L28"/>
  <c r="B28" s="1"/>
  <c r="L12"/>
  <c r="B12" s="1"/>
  <c r="L45"/>
  <c r="A45" s="1"/>
  <c r="L29"/>
  <c r="A29" s="1"/>
  <c r="L13"/>
  <c r="A13" s="1"/>
  <c r="L19"/>
  <c r="A19" s="1"/>
  <c r="L42"/>
  <c r="A42" s="1"/>
  <c r="L26"/>
  <c r="A26" s="1"/>
  <c r="L55"/>
  <c r="B55" s="1"/>
  <c r="L39"/>
  <c r="B39" s="1"/>
  <c r="L23"/>
  <c r="B23" s="1"/>
  <c r="L48"/>
  <c r="B48" s="1"/>
  <c r="L32"/>
  <c r="A32" s="1"/>
  <c r="L16"/>
  <c r="A16" s="1"/>
  <c r="L49"/>
  <c r="A49" s="1"/>
  <c r="L33"/>
  <c r="A33" s="1"/>
  <c r="L17"/>
  <c r="A17" s="1"/>
  <c r="L11"/>
  <c r="A11" s="1"/>
  <c r="L46"/>
  <c r="B46" s="1"/>
  <c r="C32"/>
  <c r="C48"/>
  <c r="C19"/>
  <c r="C35"/>
  <c r="C51"/>
  <c r="I14" i="2"/>
  <c r="A8" i="3" l="1"/>
  <c r="B47"/>
  <c r="A50"/>
  <c r="A37"/>
  <c r="A48"/>
  <c r="B27"/>
  <c r="A57"/>
  <c r="B9"/>
  <c r="B13"/>
  <c r="B26"/>
  <c r="B33"/>
  <c r="B51"/>
  <c r="A31"/>
  <c r="A52"/>
  <c r="B15"/>
  <c r="B10"/>
  <c r="B53"/>
  <c r="A34"/>
  <c r="B8"/>
  <c r="A40"/>
  <c r="B43"/>
  <c r="B41"/>
  <c r="B21"/>
  <c r="A20"/>
  <c r="B29"/>
  <c r="C60"/>
  <c r="B49"/>
  <c r="B17"/>
  <c r="A14"/>
  <c r="A22"/>
  <c r="A18"/>
  <c r="B32"/>
  <c r="A23"/>
  <c r="A25"/>
  <c r="B42"/>
  <c r="A46"/>
  <c r="A56"/>
  <c r="B19"/>
  <c r="A44"/>
  <c r="A35"/>
  <c r="B38"/>
  <c r="B11"/>
  <c r="A30"/>
  <c r="A55"/>
  <c r="A12"/>
  <c r="B54"/>
  <c r="B16"/>
  <c r="A36"/>
  <c r="A39"/>
  <c r="B45"/>
  <c r="A28"/>
  <c r="A24"/>
  <c r="F29" i="1"/>
  <c r="A60" i="3" l="1"/>
  <c r="P14" s="1"/>
  <c r="B60"/>
  <c r="P12" s="1"/>
  <c r="I20" i="1"/>
  <c r="I18"/>
  <c r="I16"/>
  <c r="I17" s="1"/>
  <c r="P26" i="3" l="1"/>
  <c r="Q26" s="1"/>
  <c r="F8"/>
  <c r="E8"/>
  <c r="F31"/>
  <c r="I19" i="1"/>
  <c r="F28" i="3"/>
  <c r="E30"/>
  <c r="E36"/>
  <c r="F36"/>
  <c r="F55"/>
  <c r="F25"/>
  <c r="E37"/>
  <c r="E32"/>
  <c r="E26"/>
  <c r="F30"/>
  <c r="E40"/>
  <c r="F27"/>
  <c r="E22"/>
  <c r="F34"/>
  <c r="F41"/>
  <c r="E16"/>
  <c r="F15"/>
  <c r="F10"/>
  <c r="F46"/>
  <c r="F38"/>
  <c r="F26"/>
  <c r="F51"/>
  <c r="E55"/>
  <c r="E27"/>
  <c r="F13"/>
  <c r="F20"/>
  <c r="E11"/>
  <c r="E42"/>
  <c r="E44"/>
  <c r="F57"/>
  <c r="F18"/>
  <c r="E53"/>
  <c r="E14"/>
  <c r="E39"/>
  <c r="E13"/>
  <c r="E49"/>
  <c r="E9"/>
  <c r="E41"/>
  <c r="E43"/>
  <c r="E23"/>
  <c r="E47"/>
  <c r="E38"/>
  <c r="F9"/>
  <c r="E21"/>
  <c r="E52"/>
  <c r="F16"/>
  <c r="F37"/>
  <c r="F24"/>
  <c r="F33"/>
  <c r="E51"/>
  <c r="E54"/>
  <c r="F19"/>
  <c r="F44"/>
  <c r="F21"/>
  <c r="F43"/>
  <c r="E33"/>
  <c r="F23"/>
  <c r="F22"/>
  <c r="E15"/>
  <c r="E34"/>
  <c r="E20"/>
  <c r="F17"/>
  <c r="F39"/>
  <c r="F54"/>
  <c r="E19"/>
  <c r="E28"/>
  <c r="F35"/>
  <c r="E50"/>
  <c r="E45"/>
  <c r="F40"/>
  <c r="F52"/>
  <c r="E17"/>
  <c r="E48"/>
  <c r="F12"/>
  <c r="F47"/>
  <c r="E57"/>
  <c r="E10"/>
  <c r="E46"/>
  <c r="F48"/>
  <c r="E35"/>
  <c r="F50"/>
  <c r="F45"/>
  <c r="P27"/>
  <c r="Q27" s="1"/>
  <c r="E12"/>
  <c r="E24"/>
  <c r="E29"/>
  <c r="E31"/>
  <c r="F53"/>
  <c r="F11"/>
  <c r="F32"/>
  <c r="F42"/>
  <c r="E56"/>
  <c r="E25"/>
  <c r="E18"/>
  <c r="F14"/>
  <c r="F49"/>
  <c r="F56"/>
  <c r="F29"/>
  <c r="S26" l="1"/>
  <c r="T26"/>
  <c r="T27"/>
  <c r="S27"/>
</calcChain>
</file>

<file path=xl/sharedStrings.xml><?xml version="1.0" encoding="utf-8"?>
<sst xmlns="http://schemas.openxmlformats.org/spreadsheetml/2006/main" count="210" uniqueCount="103">
  <si>
    <t>Дисперсия1</t>
  </si>
  <si>
    <t>Дисперсия2</t>
  </si>
  <si>
    <t>Выборка1</t>
  </si>
  <si>
    <t>Выборка2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</si>
  <si>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</si>
  <si>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</si>
  <si>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</si>
  <si>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</si>
  <si>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</si>
  <si>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</si>
  <si>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</si>
  <si>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</si>
  <si>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</si>
  <si>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</si>
  <si>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</si>
  <si>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</si>
  <si>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</si>
  <si>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</si>
  <si>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Двухвыборочный t-тест с различными дисперсиями</t>
  </si>
  <si>
    <t>Дисперсии выборок</t>
  </si>
  <si>
    <t>Оценочная дисперсия</t>
  </si>
  <si>
    <t>Средние значения выборок</t>
  </si>
  <si>
    <t>Средние значения</t>
  </si>
  <si>
    <t>Дисперсии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</si>
  <si>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</si>
  <si>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</si>
  <si>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</si>
  <si>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</si>
  <si>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Заданные дисперсии</t>
  </si>
  <si>
    <t>X</t>
  </si>
  <si>
    <t>Y</t>
  </si>
  <si>
    <t>Y+t</t>
  </si>
  <si>
    <t>a</t>
  </si>
  <si>
    <t>b</t>
  </si>
  <si>
    <t>t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</si>
  <si>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</si>
  <si>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</si>
  <si>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</si>
  <si>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</si>
  <si>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</si>
  <si>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</si>
  <si>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Дисперсионный анализ</t>
  </si>
  <si>
    <t>Регрессия</t>
  </si>
  <si>
    <t>Остаток</t>
  </si>
  <si>
    <t>Итого</t>
  </si>
  <si>
    <t>Y-пересечение</t>
  </si>
  <si>
    <t>SS</t>
  </si>
  <si>
    <t>MS</t>
  </si>
  <si>
    <t>Значимость F</t>
  </si>
  <si>
    <t>Коэффициенты</t>
  </si>
  <si>
    <t>P-Значение</t>
  </si>
  <si>
    <t>Нижние 95%</t>
  </si>
  <si>
    <t>Верхние 95%</t>
  </si>
  <si>
    <t>Нижние 95.0%</t>
  </si>
  <si>
    <t>Верхние 95.0%</t>
  </si>
  <si>
    <t>Переменная X 1</t>
  </si>
  <si>
    <t>ВЫВОД ВЕРОЯТНОСТИ</t>
  </si>
  <si>
    <t>Персентиль</t>
  </si>
  <si>
    <t>Наклон</t>
  </si>
  <si>
    <t>Смещение</t>
  </si>
  <si>
    <t>Y estimated</t>
  </si>
  <si>
    <t>SSE</t>
  </si>
  <si>
    <t>SSR</t>
  </si>
  <si>
    <t>SST</t>
  </si>
  <si>
    <t>ε ^ 2</t>
  </si>
  <si>
    <t>Sx</t>
  </si>
  <si>
    <t>(xi-xcp)^2</t>
  </si>
  <si>
    <t>(y^-ycp)^2</t>
  </si>
  <si>
    <t>(yi-ycp)^2</t>
  </si>
  <si>
    <t>Верхний предел</t>
  </si>
  <si>
    <t>Нижний предел</t>
  </si>
  <si>
    <t>Уверенность</t>
  </si>
  <si>
    <t>Успех</t>
  </si>
  <si>
    <t>Однофакторный дисперсионный анализ</t>
  </si>
  <si>
    <t>ИТОГИ</t>
  </si>
  <si>
    <t>Группы</t>
  </si>
  <si>
    <t>Счет</t>
  </si>
  <si>
    <t>Сумма</t>
  </si>
  <si>
    <t>Источник вариации</t>
  </si>
  <si>
    <t>F критическое</t>
  </si>
  <si>
    <t>Между группами</t>
  </si>
  <si>
    <t>Внутри групп</t>
  </si>
  <si>
    <t>F двухстороннее верхний предел</t>
  </si>
  <si>
    <t>F двухстороннее нижний предел</t>
  </si>
  <si>
    <t>Линия</t>
  </si>
  <si>
    <t>Область</t>
  </si>
  <si>
    <t>Год</t>
  </si>
  <si>
    <t>Квартал</t>
  </si>
  <si>
    <t>#Н/Д</t>
  </si>
  <si>
    <t>Жанр</t>
  </si>
  <si>
    <t>Режиссер</t>
  </si>
  <si>
    <t>Фантастика</t>
  </si>
  <si>
    <t>Драма</t>
  </si>
  <si>
    <t>Комедия</t>
  </si>
  <si>
    <t>Двухфакторный дисперсионный анализ без повторений</t>
  </si>
  <si>
    <t>Строки</t>
  </si>
  <si>
    <t>Столбцы</t>
  </si>
  <si>
    <t>Погрешность</t>
  </si>
  <si>
    <t>Режиссер1</t>
  </si>
  <si>
    <t>Режиссер2</t>
  </si>
  <si>
    <t>Режиссер3</t>
  </si>
  <si>
    <t>Режиссер4</t>
  </si>
  <si>
    <t>Доходы, млн. руб</t>
  </si>
</sst>
</file>

<file path=xl/styles.xml><?xml version="1.0" encoding="utf-8"?>
<styleSheet xmlns="http://schemas.openxmlformats.org/spreadsheetml/2006/main">
  <numFmts count="2">
    <numFmt numFmtId="164" formatCode="0.00000000"/>
    <numFmt numFmtId="165" formatCode="0.0"/>
  </numFmts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  <xf numFmtId="1" fontId="0" fillId="0" borderId="9" xfId="0" applyNumberFormat="1" applyBorder="1"/>
    <xf numFmtId="1" fontId="0" fillId="0" borderId="10" xfId="0" applyNumberFormat="1" applyBorder="1"/>
    <xf numFmtId="0" fontId="1" fillId="0" borderId="0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693199241183961E-2"/>
          <c:y val="9.5983346909222597E-2"/>
          <c:w val="0.8077613627504483"/>
          <c:h val="0.80803330618155489"/>
        </c:manualLayout>
      </c:layout>
      <c:areaChart>
        <c:grouping val="standard"/>
        <c:ser>
          <c:idx val="1"/>
          <c:order val="0"/>
          <c:tx>
            <c:strRef>
              <c:f>'10'!$L$22</c:f>
              <c:strCache>
                <c:ptCount val="1"/>
                <c:pt idx="0">
                  <c:v>Область</c:v>
                </c:pt>
              </c:strCache>
            </c:strRef>
          </c:tx>
          <c:spPr>
            <a:solidFill>
              <a:srgbClr val="4F81BD">
                <a:alpha val="80000"/>
              </a:srgbClr>
            </a:solidFill>
            <a:ln w="22225" cap="rnd">
              <a:round/>
            </a:ln>
          </c:spPr>
          <c:cat>
            <c:numRef>
              <c:f>'10'!$J$23:$J$45</c:f>
              <c:numCache>
                <c:formatCode>General</c:formatCode>
                <c:ptCount val="2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cat>
          <c:val>
            <c:numRef>
              <c:f>'10'!$L$23:$L$45</c:f>
              <c:numCache>
                <c:formatCode>General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0.58383444967446962</c:v>
                </c:pt>
                <c:pt idx="3">
                  <c:v>0.72557373775872236</c:v>
                </c:pt>
                <c:pt idx="4">
                  <c:v>0.68800946273483987</c:v>
                </c:pt>
                <c:pt idx="5">
                  <c:v>0.58205233466335216</c:v>
                </c:pt>
                <c:pt idx="6">
                  <c:v>0.46726390312556987</c:v>
                </c:pt>
                <c:pt idx="7">
                  <c:v>0.36625109833821057</c:v>
                </c:pt>
                <c:pt idx="8">
                  <c:v>0.28437525584346091</c:v>
                </c:pt>
                <c:pt idx="9">
                  <c:v>0.22042633190944017</c:v>
                </c:pt>
                <c:pt idx="10">
                  <c:v>0.17129539009452799</c:v>
                </c:pt>
                <c:pt idx="11">
                  <c:v>0.13377087437760338</c:v>
                </c:pt>
                <c:pt idx="12">
                  <c:v>0.10511412448788171</c:v>
                </c:pt>
                <c:pt idx="13">
                  <c:v>8.3160330843767838E-2</c:v>
                </c:pt>
                <c:pt idx="14">
                  <c:v>6.625714699115548E-2</c:v>
                </c:pt>
                <c:pt idx="15">
                  <c:v>5.3163855540105942E-2</c:v>
                </c:pt>
                <c:pt idx="16">
                  <c:v>4.2954958687224654E-2</c:v>
                </c:pt>
                <c:pt idx="17">
                  <c:v>3.4940902740587809E-2</c:v>
                </c:pt>
                <c:pt idx="18">
                  <c:v>2.8606864654889819E-2</c:v>
                </c:pt>
                <c:pt idx="19">
                  <c:v>2.3566953909204269E-2</c:v>
                </c:pt>
                <c:pt idx="20">
                  <c:v>1.9530435810266589E-2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</c:ser>
        <c:axId val="150314368"/>
        <c:axId val="150324352"/>
      </c:areaChart>
      <c:lineChart>
        <c:grouping val="standard"/>
        <c:ser>
          <c:idx val="0"/>
          <c:order val="1"/>
          <c:marker>
            <c:symbol val="none"/>
          </c:marker>
          <c:cat>
            <c:numRef>
              <c:f>'10'!$J$23:$J$45</c:f>
              <c:numCache>
                <c:formatCode>General</c:formatCode>
                <c:ptCount val="2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</c:numCache>
            </c:numRef>
          </c:cat>
          <c:val>
            <c:numRef>
              <c:f>'10'!$K$23:$K$45</c:f>
              <c:numCache>
                <c:formatCode>General</c:formatCode>
                <c:ptCount val="23"/>
                <c:pt idx="0">
                  <c:v>0</c:v>
                </c:pt>
                <c:pt idx="1">
                  <c:v>0.20663600941439597</c:v>
                </c:pt>
                <c:pt idx="2">
                  <c:v>0.58383444967446962</c:v>
                </c:pt>
                <c:pt idx="3">
                  <c:v>0.72557373775872236</c:v>
                </c:pt>
                <c:pt idx="4">
                  <c:v>0.68800946273483987</c:v>
                </c:pt>
                <c:pt idx="5">
                  <c:v>0.58205233466335216</c:v>
                </c:pt>
                <c:pt idx="6">
                  <c:v>0.46726390312556987</c:v>
                </c:pt>
                <c:pt idx="7">
                  <c:v>0.36625109833821057</c:v>
                </c:pt>
                <c:pt idx="8">
                  <c:v>0.28437525584346091</c:v>
                </c:pt>
                <c:pt idx="9">
                  <c:v>0.22042633190944017</c:v>
                </c:pt>
                <c:pt idx="10">
                  <c:v>0.17129539009452799</c:v>
                </c:pt>
                <c:pt idx="11">
                  <c:v>0.13377087437760338</c:v>
                </c:pt>
                <c:pt idx="12">
                  <c:v>0.10511412448788171</c:v>
                </c:pt>
                <c:pt idx="13">
                  <c:v>8.3160330843767838E-2</c:v>
                </c:pt>
                <c:pt idx="14">
                  <c:v>6.625714699115548E-2</c:v>
                </c:pt>
                <c:pt idx="15">
                  <c:v>5.3163855540105942E-2</c:v>
                </c:pt>
                <c:pt idx="16">
                  <c:v>4.2954958687224654E-2</c:v>
                </c:pt>
                <c:pt idx="17">
                  <c:v>3.4940902740587809E-2</c:v>
                </c:pt>
                <c:pt idx="18">
                  <c:v>2.8606864654889819E-2</c:v>
                </c:pt>
                <c:pt idx="19">
                  <c:v>2.3566953909204269E-2</c:v>
                </c:pt>
                <c:pt idx="20">
                  <c:v>1.9530435810266589E-2</c:v>
                </c:pt>
                <c:pt idx="21">
                  <c:v>1.627700214196226E-2</c:v>
                </c:pt>
                <c:pt idx="22">
                  <c:v>1.3638685875116963E-2</c:v>
                </c:pt>
              </c:numCache>
            </c:numRef>
          </c:val>
          <c:smooth val="1"/>
        </c:ser>
        <c:marker val="1"/>
        <c:axId val="150314368"/>
        <c:axId val="150324352"/>
      </c:lineChart>
      <c:catAx>
        <c:axId val="150314368"/>
        <c:scaling>
          <c:orientation val="minMax"/>
        </c:scaling>
        <c:axPos val="b"/>
        <c:numFmt formatCode="General" sourceLinked="1"/>
        <c:tickLblPos val="nextTo"/>
        <c:crossAx val="150324352"/>
        <c:crosses val="autoZero"/>
        <c:auto val="1"/>
        <c:lblAlgn val="ctr"/>
        <c:lblOffset val="100"/>
      </c:catAx>
      <c:valAx>
        <c:axId val="150324352"/>
        <c:scaling>
          <c:orientation val="minMax"/>
        </c:scaling>
        <c:axPos val="l"/>
        <c:majorGridlines/>
        <c:numFmt formatCode="General" sourceLinked="1"/>
        <c:tickLblPos val="nextTo"/>
        <c:crossAx val="1503143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Фактический</c:v>
          </c:tx>
          <c:val>
            <c:numRef>
              <c:f>'14'!$I$9:$I$24</c:f>
              <c:numCache>
                <c:formatCode>General</c:formatCode>
                <c:ptCount val="16"/>
                <c:pt idx="0">
                  <c:v>50</c:v>
                </c:pt>
                <c:pt idx="1">
                  <c:v>45</c:v>
                </c:pt>
                <c:pt idx="2">
                  <c:v>38</c:v>
                </c:pt>
                <c:pt idx="3">
                  <c:v>65</c:v>
                </c:pt>
                <c:pt idx="4">
                  <c:v>78</c:v>
                </c:pt>
                <c:pt idx="5">
                  <c:v>77</c:v>
                </c:pt>
                <c:pt idx="6">
                  <c:v>95</c:v>
                </c:pt>
                <c:pt idx="7">
                  <c:v>110</c:v>
                </c:pt>
                <c:pt idx="8">
                  <c:v>92</c:v>
                </c:pt>
                <c:pt idx="9">
                  <c:v>115</c:v>
                </c:pt>
                <c:pt idx="10">
                  <c:v>135</c:v>
                </c:pt>
                <c:pt idx="11">
                  <c:v>110</c:v>
                </c:pt>
                <c:pt idx="12">
                  <c:v>120</c:v>
                </c:pt>
                <c:pt idx="13">
                  <c:v>115</c:v>
                </c:pt>
                <c:pt idx="14">
                  <c:v>150</c:v>
                </c:pt>
                <c:pt idx="15">
                  <c:v>140</c:v>
                </c:pt>
              </c:numCache>
            </c:numRef>
          </c:val>
        </c:ser>
        <c:ser>
          <c:idx val="1"/>
          <c:order val="1"/>
          <c:tx>
            <c:v>Прогноз</c:v>
          </c:tx>
          <c:val>
            <c:numRef>
              <c:f>'14'!$M$8:$M$23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46.5</c:v>
                </c:pt>
                <c:pt idx="3">
                  <c:v>40.549999999999997</c:v>
                </c:pt>
                <c:pt idx="4">
                  <c:v>57.664999999999999</c:v>
                </c:pt>
                <c:pt idx="5">
                  <c:v>71.899499999999989</c:v>
                </c:pt>
                <c:pt idx="6">
                  <c:v>75.469849999999994</c:v>
                </c:pt>
                <c:pt idx="7">
                  <c:v>89.140954999999991</c:v>
                </c:pt>
                <c:pt idx="8">
                  <c:v>103.74228649999999</c:v>
                </c:pt>
                <c:pt idx="9">
                  <c:v>95.522685949999982</c:v>
                </c:pt>
                <c:pt idx="10">
                  <c:v>109.15680578499999</c:v>
                </c:pt>
                <c:pt idx="11">
                  <c:v>127.24704173550001</c:v>
                </c:pt>
                <c:pt idx="12">
                  <c:v>115.17411252065</c:v>
                </c:pt>
                <c:pt idx="13">
                  <c:v>118.55223375619499</c:v>
                </c:pt>
                <c:pt idx="14">
                  <c:v>116.06567012685849</c:v>
                </c:pt>
                <c:pt idx="15">
                  <c:v>139.81970103805753</c:v>
                </c:pt>
              </c:numCache>
            </c:numRef>
          </c:val>
        </c:ser>
        <c:marker val="1"/>
        <c:axId val="166178816"/>
        <c:axId val="166180736"/>
      </c:lineChart>
      <c:catAx>
        <c:axId val="16617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</c:title>
        <c:tickLblPos val="nextTo"/>
        <c:crossAx val="166180736"/>
        <c:crosses val="autoZero"/>
        <c:auto val="1"/>
        <c:lblAlgn val="ctr"/>
        <c:lblOffset val="100"/>
      </c:catAx>
      <c:valAx>
        <c:axId val="1661807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</c:title>
        <c:numFmt formatCode="General" sourceLinked="1"/>
        <c:tickLblPos val="nextTo"/>
        <c:crossAx val="16617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Фактический</c:v>
          </c:tx>
          <c:val>
            <c:numRef>
              <c:f>'14'!$I$9:$I$24</c:f>
              <c:numCache>
                <c:formatCode>General</c:formatCode>
                <c:ptCount val="16"/>
                <c:pt idx="0">
                  <c:v>50</c:v>
                </c:pt>
                <c:pt idx="1">
                  <c:v>45</c:v>
                </c:pt>
                <c:pt idx="2">
                  <c:v>38</c:v>
                </c:pt>
                <c:pt idx="3">
                  <c:v>65</c:v>
                </c:pt>
                <c:pt idx="4">
                  <c:v>78</c:v>
                </c:pt>
                <c:pt idx="5">
                  <c:v>77</c:v>
                </c:pt>
                <c:pt idx="6">
                  <c:v>95</c:v>
                </c:pt>
                <c:pt idx="7">
                  <c:v>110</c:v>
                </c:pt>
                <c:pt idx="8">
                  <c:v>92</c:v>
                </c:pt>
                <c:pt idx="9">
                  <c:v>115</c:v>
                </c:pt>
                <c:pt idx="10">
                  <c:v>135</c:v>
                </c:pt>
                <c:pt idx="11">
                  <c:v>110</c:v>
                </c:pt>
                <c:pt idx="12">
                  <c:v>120</c:v>
                </c:pt>
                <c:pt idx="13">
                  <c:v>115</c:v>
                </c:pt>
                <c:pt idx="14">
                  <c:v>150</c:v>
                </c:pt>
                <c:pt idx="15">
                  <c:v>140</c:v>
                </c:pt>
              </c:numCache>
            </c:numRef>
          </c:val>
        </c:ser>
        <c:ser>
          <c:idx val="1"/>
          <c:order val="1"/>
          <c:tx>
            <c:v>Прогноз</c:v>
          </c:tx>
          <c:val>
            <c:numRef>
              <c:f>'14'!$P$30:$P$45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46.5</c:v>
                </c:pt>
                <c:pt idx="3">
                  <c:v>40.549999999999997</c:v>
                </c:pt>
                <c:pt idx="4">
                  <c:v>57.664999999999999</c:v>
                </c:pt>
                <c:pt idx="5">
                  <c:v>71.899499999999989</c:v>
                </c:pt>
                <c:pt idx="6">
                  <c:v>75.469849999999994</c:v>
                </c:pt>
                <c:pt idx="7">
                  <c:v>89.140954999999991</c:v>
                </c:pt>
                <c:pt idx="8">
                  <c:v>103.74228649999999</c:v>
                </c:pt>
                <c:pt idx="9">
                  <c:v>95.522685949999982</c:v>
                </c:pt>
                <c:pt idx="10">
                  <c:v>109.15680578499999</c:v>
                </c:pt>
                <c:pt idx="11">
                  <c:v>127.24704173550001</c:v>
                </c:pt>
                <c:pt idx="12">
                  <c:v>115.17411252065</c:v>
                </c:pt>
                <c:pt idx="13">
                  <c:v>118.55223375619499</c:v>
                </c:pt>
                <c:pt idx="14">
                  <c:v>116.06567012685849</c:v>
                </c:pt>
                <c:pt idx="15">
                  <c:v>139.81970103805753</c:v>
                </c:pt>
              </c:numCache>
            </c:numRef>
          </c:val>
        </c:ser>
        <c:marker val="1"/>
        <c:axId val="166193792"/>
        <c:axId val="166273792"/>
      </c:lineChart>
      <c:catAx>
        <c:axId val="16619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</c:title>
        <c:tickLblPos val="nextTo"/>
        <c:crossAx val="166273792"/>
        <c:crosses val="autoZero"/>
        <c:auto val="1"/>
        <c:lblAlgn val="ctr"/>
        <c:lblOffset val="100"/>
      </c:catAx>
      <c:valAx>
        <c:axId val="166273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</c:title>
        <c:numFmt formatCode="General" sourceLinked="1"/>
        <c:tickLblPos val="nextTo"/>
        <c:crossAx val="166193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Фактический</c:v>
          </c:tx>
          <c:val>
            <c:numRef>
              <c:f>'14'!$I$9:$I$24</c:f>
              <c:numCache>
                <c:formatCode>General</c:formatCode>
                <c:ptCount val="16"/>
                <c:pt idx="0">
                  <c:v>50</c:v>
                </c:pt>
                <c:pt idx="1">
                  <c:v>45</c:v>
                </c:pt>
                <c:pt idx="2">
                  <c:v>38</c:v>
                </c:pt>
                <c:pt idx="3">
                  <c:v>65</c:v>
                </c:pt>
                <c:pt idx="4">
                  <c:v>78</c:v>
                </c:pt>
                <c:pt idx="5">
                  <c:v>77</c:v>
                </c:pt>
                <c:pt idx="6">
                  <c:v>95</c:v>
                </c:pt>
                <c:pt idx="7">
                  <c:v>110</c:v>
                </c:pt>
                <c:pt idx="8">
                  <c:v>92</c:v>
                </c:pt>
                <c:pt idx="9">
                  <c:v>115</c:v>
                </c:pt>
                <c:pt idx="10">
                  <c:v>135</c:v>
                </c:pt>
                <c:pt idx="11">
                  <c:v>110</c:v>
                </c:pt>
                <c:pt idx="12">
                  <c:v>120</c:v>
                </c:pt>
                <c:pt idx="13">
                  <c:v>115</c:v>
                </c:pt>
                <c:pt idx="14">
                  <c:v>150</c:v>
                </c:pt>
                <c:pt idx="15">
                  <c:v>140</c:v>
                </c:pt>
              </c:numCache>
            </c:numRef>
          </c:val>
        </c:ser>
        <c:ser>
          <c:idx val="1"/>
          <c:order val="1"/>
          <c:tx>
            <c:v>Прогноз</c:v>
          </c:tx>
          <c:val>
            <c:numRef>
              <c:f>'14'!$H$30:$H$45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48</c:v>
                </c:pt>
                <c:pt idx="3">
                  <c:v>44</c:v>
                </c:pt>
                <c:pt idx="4">
                  <c:v>52.4</c:v>
                </c:pt>
                <c:pt idx="5">
                  <c:v>62.64</c:v>
                </c:pt>
                <c:pt idx="6">
                  <c:v>68.384</c:v>
                </c:pt>
                <c:pt idx="7">
                  <c:v>79.0304</c:v>
                </c:pt>
                <c:pt idx="8">
                  <c:v>91.418239999999997</c:v>
                </c:pt>
                <c:pt idx="9">
                  <c:v>91.65094400000001</c:v>
                </c:pt>
                <c:pt idx="10">
                  <c:v>100.99056640000001</c:v>
                </c:pt>
                <c:pt idx="11">
                  <c:v>114.59433984</c:v>
                </c:pt>
                <c:pt idx="12">
                  <c:v>112.756603904</c:v>
                </c:pt>
                <c:pt idx="13">
                  <c:v>115.65396234239999</c:v>
                </c:pt>
                <c:pt idx="14">
                  <c:v>115.39237740543999</c:v>
                </c:pt>
                <c:pt idx="15">
                  <c:v>129.23542644326398</c:v>
                </c:pt>
              </c:numCache>
            </c:numRef>
          </c:val>
        </c:ser>
        <c:marker val="1"/>
        <c:axId val="166307328"/>
        <c:axId val="166309248"/>
      </c:lineChart>
      <c:catAx>
        <c:axId val="16630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</c:title>
        <c:tickLblPos val="nextTo"/>
        <c:crossAx val="166309248"/>
        <c:crosses val="autoZero"/>
        <c:auto val="1"/>
        <c:lblAlgn val="ctr"/>
        <c:lblOffset val="100"/>
      </c:catAx>
      <c:valAx>
        <c:axId val="1663092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</c:title>
        <c:numFmt formatCode="General" sourceLinked="1"/>
        <c:tickLblPos val="nextTo"/>
        <c:crossAx val="16630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Фактический</c:v>
          </c:tx>
          <c:val>
            <c:numRef>
              <c:f>'14'!$I$9:$I$24</c:f>
              <c:numCache>
                <c:formatCode>General</c:formatCode>
                <c:ptCount val="16"/>
                <c:pt idx="0">
                  <c:v>50</c:v>
                </c:pt>
                <c:pt idx="1">
                  <c:v>45</c:v>
                </c:pt>
                <c:pt idx="2">
                  <c:v>38</c:v>
                </c:pt>
                <c:pt idx="3">
                  <c:v>65</c:v>
                </c:pt>
                <c:pt idx="4">
                  <c:v>78</c:v>
                </c:pt>
                <c:pt idx="5">
                  <c:v>77</c:v>
                </c:pt>
                <c:pt idx="6">
                  <c:v>95</c:v>
                </c:pt>
                <c:pt idx="7">
                  <c:v>110</c:v>
                </c:pt>
                <c:pt idx="8">
                  <c:v>92</c:v>
                </c:pt>
                <c:pt idx="9">
                  <c:v>115</c:v>
                </c:pt>
                <c:pt idx="10">
                  <c:v>135</c:v>
                </c:pt>
                <c:pt idx="11">
                  <c:v>110</c:v>
                </c:pt>
                <c:pt idx="12">
                  <c:v>120</c:v>
                </c:pt>
                <c:pt idx="13">
                  <c:v>115</c:v>
                </c:pt>
                <c:pt idx="14">
                  <c:v>150</c:v>
                </c:pt>
                <c:pt idx="15">
                  <c:v>140</c:v>
                </c:pt>
              </c:numCache>
            </c:numRef>
          </c:val>
        </c:ser>
        <c:ser>
          <c:idx val="1"/>
          <c:order val="1"/>
          <c:tx>
            <c:v>Прогноз</c:v>
          </c:tx>
          <c:val>
            <c:numRef>
              <c:f>'14'!$M$8:$M$23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46.5</c:v>
                </c:pt>
                <c:pt idx="3">
                  <c:v>40.549999999999997</c:v>
                </c:pt>
                <c:pt idx="4">
                  <c:v>57.664999999999999</c:v>
                </c:pt>
                <c:pt idx="5">
                  <c:v>71.899499999999989</c:v>
                </c:pt>
                <c:pt idx="6">
                  <c:v>75.469849999999994</c:v>
                </c:pt>
                <c:pt idx="7">
                  <c:v>89.140954999999991</c:v>
                </c:pt>
                <c:pt idx="8">
                  <c:v>103.74228649999999</c:v>
                </c:pt>
                <c:pt idx="9">
                  <c:v>95.522685949999982</c:v>
                </c:pt>
                <c:pt idx="10">
                  <c:v>109.15680578499999</c:v>
                </c:pt>
                <c:pt idx="11">
                  <c:v>127.24704173550001</c:v>
                </c:pt>
                <c:pt idx="12">
                  <c:v>115.17411252065</c:v>
                </c:pt>
                <c:pt idx="13">
                  <c:v>118.55223375619499</c:v>
                </c:pt>
                <c:pt idx="14">
                  <c:v>116.06567012685849</c:v>
                </c:pt>
                <c:pt idx="15">
                  <c:v>139.81970103805753</c:v>
                </c:pt>
              </c:numCache>
            </c:numRef>
          </c:val>
        </c:ser>
        <c:marker val="1"/>
        <c:axId val="166224256"/>
        <c:axId val="166226176"/>
      </c:lineChart>
      <c:catAx>
        <c:axId val="16622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</c:title>
        <c:tickLblPos val="nextTo"/>
        <c:crossAx val="166226176"/>
        <c:crosses val="autoZero"/>
        <c:auto val="1"/>
        <c:lblAlgn val="ctr"/>
        <c:lblOffset val="100"/>
      </c:catAx>
      <c:valAx>
        <c:axId val="166226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</c:title>
        <c:numFmt formatCode="General" sourceLinked="1"/>
        <c:tickLblPos val="nextTo"/>
        <c:crossAx val="166224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Фактический</c:v>
          </c:tx>
          <c:val>
            <c:numRef>
              <c:f>'14'!$I$9:$I$24</c:f>
              <c:numCache>
                <c:formatCode>General</c:formatCode>
                <c:ptCount val="16"/>
                <c:pt idx="0">
                  <c:v>50</c:v>
                </c:pt>
                <c:pt idx="1">
                  <c:v>45</c:v>
                </c:pt>
                <c:pt idx="2">
                  <c:v>38</c:v>
                </c:pt>
                <c:pt idx="3">
                  <c:v>65</c:v>
                </c:pt>
                <c:pt idx="4">
                  <c:v>78</c:v>
                </c:pt>
                <c:pt idx="5">
                  <c:v>77</c:v>
                </c:pt>
                <c:pt idx="6">
                  <c:v>95</c:v>
                </c:pt>
                <c:pt idx="7">
                  <c:v>110</c:v>
                </c:pt>
                <c:pt idx="8">
                  <c:v>92</c:v>
                </c:pt>
                <c:pt idx="9">
                  <c:v>115</c:v>
                </c:pt>
                <c:pt idx="10">
                  <c:v>135</c:v>
                </c:pt>
                <c:pt idx="11">
                  <c:v>110</c:v>
                </c:pt>
                <c:pt idx="12">
                  <c:v>120</c:v>
                </c:pt>
                <c:pt idx="13">
                  <c:v>115</c:v>
                </c:pt>
                <c:pt idx="14">
                  <c:v>150</c:v>
                </c:pt>
                <c:pt idx="15">
                  <c:v>140</c:v>
                </c:pt>
              </c:numCache>
            </c:numRef>
          </c:val>
        </c:ser>
        <c:ser>
          <c:idx val="1"/>
          <c:order val="1"/>
          <c:tx>
            <c:v>Прогноз</c:v>
          </c:tx>
          <c:val>
            <c:numRef>
              <c:f>'14'!$O$54:$O$69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49.5</c:v>
                </c:pt>
                <c:pt idx="3">
                  <c:v>48.35</c:v>
                </c:pt>
                <c:pt idx="4">
                  <c:v>50.015000000000001</c:v>
                </c:pt>
                <c:pt idx="5">
                  <c:v>52.813500000000005</c:v>
                </c:pt>
                <c:pt idx="6">
                  <c:v>55.232150000000011</c:v>
                </c:pt>
                <c:pt idx="7">
                  <c:v>59.208935000000011</c:v>
                </c:pt>
                <c:pt idx="8">
                  <c:v>64.28804150000002</c:v>
                </c:pt>
                <c:pt idx="9">
                  <c:v>67.059237350000018</c:v>
                </c:pt>
                <c:pt idx="10">
                  <c:v>71.853313615000019</c:v>
                </c:pt>
                <c:pt idx="11">
                  <c:v>78.167982253500014</c:v>
                </c:pt>
                <c:pt idx="12">
                  <c:v>81.351184028150016</c:v>
                </c:pt>
                <c:pt idx="13">
                  <c:v>85.21606562533502</c:v>
                </c:pt>
                <c:pt idx="14">
                  <c:v>88.194459062801513</c:v>
                </c:pt>
                <c:pt idx="15">
                  <c:v>94.375013156521362</c:v>
                </c:pt>
              </c:numCache>
            </c:numRef>
          </c:val>
        </c:ser>
        <c:marker val="1"/>
        <c:axId val="166239232"/>
        <c:axId val="166331520"/>
      </c:lineChart>
      <c:catAx>
        <c:axId val="166239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</c:title>
        <c:tickLblPos val="nextTo"/>
        <c:crossAx val="166331520"/>
        <c:crosses val="autoZero"/>
        <c:auto val="1"/>
        <c:lblAlgn val="ctr"/>
        <c:lblOffset val="100"/>
      </c:catAx>
      <c:valAx>
        <c:axId val="1663315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</c:title>
        <c:numFmt formatCode="General" sourceLinked="1"/>
        <c:tickLblPos val="nextTo"/>
        <c:crossAx val="166239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'11'!$N$82:$N$101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'11'!$O$82:$O$101</c:f>
              <c:numCache>
                <c:formatCode>General</c:formatCode>
                <c:ptCount val="20"/>
                <c:pt idx="0">
                  <c:v>837.51413523778319</c:v>
                </c:pt>
                <c:pt idx="1">
                  <c:v>843.02926880773157</c:v>
                </c:pt>
                <c:pt idx="2">
                  <c:v>843.75292941799853</c:v>
                </c:pt>
                <c:pt idx="3">
                  <c:v>846.73380517681369</c:v>
                </c:pt>
                <c:pt idx="4">
                  <c:v>849.36517401995957</c:v>
                </c:pt>
                <c:pt idx="5">
                  <c:v>850.90687963973619</c:v>
                </c:pt>
                <c:pt idx="6">
                  <c:v>851.70065700432178</c:v>
                </c:pt>
                <c:pt idx="7">
                  <c:v>852.47386339549564</c:v>
                </c:pt>
                <c:pt idx="8">
                  <c:v>853.09679654289801</c:v>
                </c:pt>
                <c:pt idx="9">
                  <c:v>853.53555529424057</c:v>
                </c:pt>
                <c:pt idx="10">
                  <c:v>855.16691713022306</c:v>
                </c:pt>
                <c:pt idx="11">
                  <c:v>856.39598685462852</c:v>
                </c:pt>
                <c:pt idx="12">
                  <c:v>856.53507424026031</c:v>
                </c:pt>
                <c:pt idx="13">
                  <c:v>856.70712776808364</c:v>
                </c:pt>
                <c:pt idx="14">
                  <c:v>856.81297642788275</c:v>
                </c:pt>
                <c:pt idx="15">
                  <c:v>858.10600901078442</c:v>
                </c:pt>
                <c:pt idx="16">
                  <c:v>858.28908183393071</c:v>
                </c:pt>
                <c:pt idx="17">
                  <c:v>858.37304115015434</c:v>
                </c:pt>
                <c:pt idx="18">
                  <c:v>859.58377292286605</c:v>
                </c:pt>
                <c:pt idx="19">
                  <c:v>865.32306520957502</c:v>
                </c:pt>
              </c:numCache>
            </c:numRef>
          </c:yVal>
        </c:ser>
        <c:axId val="150338560"/>
        <c:axId val="151180800"/>
      </c:scatterChart>
      <c:valAx>
        <c:axId val="15033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</c:title>
        <c:numFmt formatCode="General" sourceLinked="1"/>
        <c:tickLblPos val="nextTo"/>
        <c:crossAx val="151180800"/>
        <c:crosses val="autoZero"/>
        <c:crossBetween val="midCat"/>
      </c:valAx>
      <c:valAx>
        <c:axId val="151180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5033856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'11'!$N$130:$N$149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xVal>
          <c:yVal>
            <c:numRef>
              <c:f>'11'!$O$130:$O$149</c:f>
              <c:numCache>
                <c:formatCode>General</c:formatCode>
                <c:ptCount val="20"/>
                <c:pt idx="0">
                  <c:v>830</c:v>
                </c:pt>
                <c:pt idx="1">
                  <c:v>830.40000000000009</c:v>
                </c:pt>
                <c:pt idx="2">
                  <c:v>830.80000000000007</c:v>
                </c:pt>
                <c:pt idx="3">
                  <c:v>831.2</c:v>
                </c:pt>
                <c:pt idx="4">
                  <c:v>831.6</c:v>
                </c:pt>
                <c:pt idx="5">
                  <c:v>832</c:v>
                </c:pt>
                <c:pt idx="6">
                  <c:v>832.40000000000009</c:v>
                </c:pt>
                <c:pt idx="7">
                  <c:v>832.80000000000007</c:v>
                </c:pt>
                <c:pt idx="8">
                  <c:v>833.2</c:v>
                </c:pt>
                <c:pt idx="9">
                  <c:v>833.6</c:v>
                </c:pt>
                <c:pt idx="10">
                  <c:v>834</c:v>
                </c:pt>
                <c:pt idx="11">
                  <c:v>834.40000000000009</c:v>
                </c:pt>
                <c:pt idx="12">
                  <c:v>834.80000000000007</c:v>
                </c:pt>
                <c:pt idx="13">
                  <c:v>835.2</c:v>
                </c:pt>
                <c:pt idx="14">
                  <c:v>835.6</c:v>
                </c:pt>
                <c:pt idx="15">
                  <c:v>836</c:v>
                </c:pt>
                <c:pt idx="16">
                  <c:v>836.40000000000009</c:v>
                </c:pt>
                <c:pt idx="17">
                  <c:v>836.80000000000007</c:v>
                </c:pt>
                <c:pt idx="18">
                  <c:v>837.2</c:v>
                </c:pt>
                <c:pt idx="19">
                  <c:v>837.6</c:v>
                </c:pt>
              </c:numCache>
            </c:numRef>
          </c:yVal>
        </c:ser>
        <c:axId val="151069824"/>
        <c:axId val="151071744"/>
      </c:scatterChart>
      <c:valAx>
        <c:axId val="15106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</c:title>
        <c:numFmt formatCode="General" sourceLinked="1"/>
        <c:tickLblPos val="nextTo"/>
        <c:crossAx val="151071744"/>
        <c:crosses val="autoZero"/>
        <c:crossBetween val="midCat"/>
      </c:valAx>
      <c:valAx>
        <c:axId val="1510717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5106982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'11'!$H$8:$H$57</c:f>
              <c:numCache>
                <c:formatCode>General</c:formatCod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numCache>
            </c:numRef>
          </c:xVal>
          <c:yVal>
            <c:numRef>
              <c:f>'11'!$K$8:$K$57</c:f>
              <c:numCache>
                <c:formatCode>General</c:formatCode>
                <c:ptCount val="50"/>
                <c:pt idx="0">
                  <c:v>829.92781795299379</c:v>
                </c:pt>
                <c:pt idx="1">
                  <c:v>829.57703462415384</c:v>
                </c:pt>
                <c:pt idx="2">
                  <c:v>829.10969045433455</c:v>
                </c:pt>
                <c:pt idx="3">
                  <c:v>835.015982836386</c:v>
                </c:pt>
                <c:pt idx="4">
                  <c:v>830.8110588209471</c:v>
                </c:pt>
                <c:pt idx="5">
                  <c:v>833.95137090486242</c:v>
                </c:pt>
                <c:pt idx="6">
                  <c:v>829.49327084929109</c:v>
                </c:pt>
                <c:pt idx="7">
                  <c:v>828.19097643719294</c:v>
                </c:pt>
                <c:pt idx="8">
                  <c:v>834.84157881954457</c:v>
                </c:pt>
                <c:pt idx="9">
                  <c:v>835.70540406442308</c:v>
                </c:pt>
                <c:pt idx="10">
                  <c:v>831.25702082287171</c:v>
                </c:pt>
                <c:pt idx="11">
                  <c:v>830.26020749120516</c:v>
                </c:pt>
                <c:pt idx="12">
                  <c:v>836.34721760736727</c:v>
                </c:pt>
                <c:pt idx="13">
                  <c:v>839.0000553104212</c:v>
                </c:pt>
                <c:pt idx="14">
                  <c:v>836.69819779936518</c:v>
                </c:pt>
                <c:pt idx="15">
                  <c:v>835.75589275891252</c:v>
                </c:pt>
                <c:pt idx="16">
                  <c:v>828.96870069075385</c:v>
                </c:pt>
                <c:pt idx="17">
                  <c:v>834.86363234711177</c:v>
                </c:pt>
                <c:pt idx="18">
                  <c:v>838.45835640574228</c:v>
                </c:pt>
                <c:pt idx="19">
                  <c:v>834.56664872317344</c:v>
                </c:pt>
                <c:pt idx="20">
                  <c:v>838.03935838321922</c:v>
                </c:pt>
                <c:pt idx="21">
                  <c:v>839.57191120807556</c:v>
                </c:pt>
                <c:pt idx="22">
                  <c:v>834.56848949800485</c:v>
                </c:pt>
                <c:pt idx="23">
                  <c:v>837.98785729379165</c:v>
                </c:pt>
                <c:pt idx="24">
                  <c:v>845.27363713344096</c:v>
                </c:pt>
                <c:pt idx="25">
                  <c:v>837.0392264003749</c:v>
                </c:pt>
                <c:pt idx="26">
                  <c:v>843.80426822731397</c:v>
                </c:pt>
                <c:pt idx="27">
                  <c:v>844.26258275385487</c:v>
                </c:pt>
                <c:pt idx="28">
                  <c:v>834.32749423552309</c:v>
                </c:pt>
                <c:pt idx="29">
                  <c:v>835.32402271546891</c:v>
                </c:pt>
                <c:pt idx="30">
                  <c:v>843.51245671986544</c:v>
                </c:pt>
                <c:pt idx="31">
                  <c:v>840.60372295289426</c:v>
                </c:pt>
                <c:pt idx="32">
                  <c:v>839.3839106152999</c:v>
                </c:pt>
                <c:pt idx="33">
                  <c:v>837.48745468321727</c:v>
                </c:pt>
                <c:pt idx="34">
                  <c:v>845.06573142956188</c:v>
                </c:pt>
                <c:pt idx="35">
                  <c:v>847.93274831367307</c:v>
                </c:pt>
                <c:pt idx="36">
                  <c:v>843.04906612856439</c:v>
                </c:pt>
                <c:pt idx="37">
                  <c:v>843.78312807999907</c:v>
                </c:pt>
                <c:pt idx="38">
                  <c:v>843.17026021042261</c:v>
                </c:pt>
                <c:pt idx="39">
                  <c:v>844.27492192606735</c:v>
                </c:pt>
                <c:pt idx="40">
                  <c:v>843.32191781731672</c:v>
                </c:pt>
                <c:pt idx="41">
                  <c:v>837.16244421303281</c:v>
                </c:pt>
                <c:pt idx="42">
                  <c:v>850.25321723216337</c:v>
                </c:pt>
                <c:pt idx="43">
                  <c:v>846.22894955994275</c:v>
                </c:pt>
                <c:pt idx="44">
                  <c:v>849.97507038036713</c:v>
                </c:pt>
                <c:pt idx="45">
                  <c:v>848.20383140508784</c:v>
                </c:pt>
                <c:pt idx="46">
                  <c:v>850.60612264456586</c:v>
                </c:pt>
                <c:pt idx="47">
                  <c:v>853.32137101092383</c:v>
                </c:pt>
                <c:pt idx="48">
                  <c:v>848.44569010545388</c:v>
                </c:pt>
                <c:pt idx="49">
                  <c:v>851.27339294421256</c:v>
                </c:pt>
              </c:numCache>
            </c:numRef>
          </c:yVal>
        </c:ser>
        <c:axId val="151267584"/>
        <c:axId val="151277568"/>
      </c:scatterChart>
      <c:scatterChart>
        <c:scatterStyle val="smoothMarker"/>
        <c:ser>
          <c:idx val="1"/>
          <c:order val="1"/>
          <c:tx>
            <c:v>Линия тренда</c:v>
          </c:tx>
          <c:marker>
            <c:symbol val="none"/>
          </c:marker>
          <c:xVal>
            <c:numRef>
              <c:f>'11'!$H$8:$H$57</c:f>
              <c:numCache>
                <c:formatCode>General</c:formatCod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numCache>
            </c:numRef>
          </c:xVal>
          <c:yVal>
            <c:numRef>
              <c:f>'11'!$I$8:$I$57</c:f>
              <c:numCache>
                <c:formatCode>General</c:formatCode>
                <c:ptCount val="50"/>
                <c:pt idx="0">
                  <c:v>830</c:v>
                </c:pt>
                <c:pt idx="1">
                  <c:v>830.40000000000009</c:v>
                </c:pt>
                <c:pt idx="2">
                  <c:v>830.80000000000007</c:v>
                </c:pt>
                <c:pt idx="3">
                  <c:v>831.2</c:v>
                </c:pt>
                <c:pt idx="4">
                  <c:v>831.6</c:v>
                </c:pt>
                <c:pt idx="5">
                  <c:v>832</c:v>
                </c:pt>
                <c:pt idx="6">
                  <c:v>832.40000000000009</c:v>
                </c:pt>
                <c:pt idx="7">
                  <c:v>832.80000000000007</c:v>
                </c:pt>
                <c:pt idx="8">
                  <c:v>833.2</c:v>
                </c:pt>
                <c:pt idx="9">
                  <c:v>833.6</c:v>
                </c:pt>
                <c:pt idx="10">
                  <c:v>834</c:v>
                </c:pt>
                <c:pt idx="11">
                  <c:v>834.40000000000009</c:v>
                </c:pt>
                <c:pt idx="12">
                  <c:v>834.80000000000007</c:v>
                </c:pt>
                <c:pt idx="13">
                  <c:v>835.2</c:v>
                </c:pt>
                <c:pt idx="14">
                  <c:v>835.6</c:v>
                </c:pt>
                <c:pt idx="15">
                  <c:v>836</c:v>
                </c:pt>
                <c:pt idx="16">
                  <c:v>836.40000000000009</c:v>
                </c:pt>
                <c:pt idx="17">
                  <c:v>836.80000000000007</c:v>
                </c:pt>
                <c:pt idx="18">
                  <c:v>837.2</c:v>
                </c:pt>
                <c:pt idx="19">
                  <c:v>837.6</c:v>
                </c:pt>
                <c:pt idx="20">
                  <c:v>838</c:v>
                </c:pt>
                <c:pt idx="21">
                  <c:v>838.40000000000009</c:v>
                </c:pt>
                <c:pt idx="22">
                  <c:v>838.80000000000007</c:v>
                </c:pt>
                <c:pt idx="23">
                  <c:v>839.2</c:v>
                </c:pt>
                <c:pt idx="24">
                  <c:v>839.6</c:v>
                </c:pt>
                <c:pt idx="25">
                  <c:v>840</c:v>
                </c:pt>
                <c:pt idx="26">
                  <c:v>840.40000000000009</c:v>
                </c:pt>
                <c:pt idx="27">
                  <c:v>840.80000000000007</c:v>
                </c:pt>
                <c:pt idx="28">
                  <c:v>841.2</c:v>
                </c:pt>
                <c:pt idx="29">
                  <c:v>841.6</c:v>
                </c:pt>
                <c:pt idx="30">
                  <c:v>842</c:v>
                </c:pt>
                <c:pt idx="31">
                  <c:v>842.40000000000009</c:v>
                </c:pt>
                <c:pt idx="32">
                  <c:v>842.80000000000007</c:v>
                </c:pt>
                <c:pt idx="33">
                  <c:v>843.2</c:v>
                </c:pt>
                <c:pt idx="34">
                  <c:v>843.6</c:v>
                </c:pt>
                <c:pt idx="35">
                  <c:v>844</c:v>
                </c:pt>
                <c:pt idx="36">
                  <c:v>844.40000000000009</c:v>
                </c:pt>
                <c:pt idx="37">
                  <c:v>844.80000000000007</c:v>
                </c:pt>
                <c:pt idx="38">
                  <c:v>845.2</c:v>
                </c:pt>
                <c:pt idx="39">
                  <c:v>845.6</c:v>
                </c:pt>
                <c:pt idx="40">
                  <c:v>846</c:v>
                </c:pt>
                <c:pt idx="41">
                  <c:v>846.40000000000009</c:v>
                </c:pt>
                <c:pt idx="42">
                  <c:v>846.80000000000007</c:v>
                </c:pt>
                <c:pt idx="43">
                  <c:v>847.2</c:v>
                </c:pt>
                <c:pt idx="44">
                  <c:v>847.6</c:v>
                </c:pt>
                <c:pt idx="45">
                  <c:v>848</c:v>
                </c:pt>
                <c:pt idx="46">
                  <c:v>848.40000000000009</c:v>
                </c:pt>
                <c:pt idx="47">
                  <c:v>848.80000000000007</c:v>
                </c:pt>
                <c:pt idx="48">
                  <c:v>849.2</c:v>
                </c:pt>
                <c:pt idx="49">
                  <c:v>849.6</c:v>
                </c:pt>
              </c:numCache>
            </c:numRef>
          </c:yVal>
          <c:smooth val="1"/>
        </c:ser>
        <c:ser>
          <c:idx val="2"/>
          <c:order val="2"/>
          <c:tx>
            <c:v>Верхняя граница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'11'!$H$8:$H$57</c:f>
              <c:numCache>
                <c:formatCode>General</c:formatCod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numCache>
            </c:numRef>
          </c:xVal>
          <c:yVal>
            <c:numRef>
              <c:f>'11'!$E$8:$E$57</c:f>
              <c:numCache>
                <c:formatCode>General</c:formatCode>
                <c:ptCount val="50"/>
                <c:pt idx="0">
                  <c:v>835.93028824937676</c:v>
                </c:pt>
                <c:pt idx="1">
                  <c:v>836.337883430842</c:v>
                </c:pt>
                <c:pt idx="2">
                  <c:v>836.74547861230735</c:v>
                </c:pt>
                <c:pt idx="3">
                  <c:v>837.15307379377259</c:v>
                </c:pt>
                <c:pt idx="4">
                  <c:v>837.56066897523783</c:v>
                </c:pt>
                <c:pt idx="5">
                  <c:v>837.96826415670307</c:v>
                </c:pt>
                <c:pt idx="6">
                  <c:v>838.37585933816842</c:v>
                </c:pt>
                <c:pt idx="7">
                  <c:v>838.78345451963366</c:v>
                </c:pt>
                <c:pt idx="8">
                  <c:v>839.1910497010989</c:v>
                </c:pt>
                <c:pt idx="9">
                  <c:v>839.59864488256426</c:v>
                </c:pt>
                <c:pt idx="10">
                  <c:v>840.0062400640295</c:v>
                </c:pt>
                <c:pt idx="11">
                  <c:v>840.41383524549474</c:v>
                </c:pt>
                <c:pt idx="12">
                  <c:v>840.82143042695998</c:v>
                </c:pt>
                <c:pt idx="13">
                  <c:v>841.22902560842533</c:v>
                </c:pt>
                <c:pt idx="14">
                  <c:v>841.63662078989057</c:v>
                </c:pt>
                <c:pt idx="15">
                  <c:v>842.04421597135581</c:v>
                </c:pt>
                <c:pt idx="16">
                  <c:v>842.45181115282105</c:v>
                </c:pt>
                <c:pt idx="17">
                  <c:v>842.8594063342864</c:v>
                </c:pt>
                <c:pt idx="18">
                  <c:v>843.26700151575164</c:v>
                </c:pt>
                <c:pt idx="19">
                  <c:v>843.67459669721688</c:v>
                </c:pt>
                <c:pt idx="20">
                  <c:v>844.08219187868224</c:v>
                </c:pt>
                <c:pt idx="21">
                  <c:v>844.48978706014748</c:v>
                </c:pt>
                <c:pt idx="22">
                  <c:v>844.89738224161272</c:v>
                </c:pt>
                <c:pt idx="23">
                  <c:v>845.30497742307796</c:v>
                </c:pt>
                <c:pt idx="24">
                  <c:v>845.71257260454331</c:v>
                </c:pt>
                <c:pt idx="25">
                  <c:v>846.12016778600855</c:v>
                </c:pt>
                <c:pt idx="26">
                  <c:v>846.52776296747379</c:v>
                </c:pt>
                <c:pt idx="27">
                  <c:v>846.93535814893903</c:v>
                </c:pt>
                <c:pt idx="28">
                  <c:v>847.34295333040438</c:v>
                </c:pt>
                <c:pt idx="29">
                  <c:v>847.75054851186962</c:v>
                </c:pt>
                <c:pt idx="30">
                  <c:v>848.15814369333486</c:v>
                </c:pt>
                <c:pt idx="31">
                  <c:v>848.56573887480022</c:v>
                </c:pt>
                <c:pt idx="32">
                  <c:v>848.97333405626546</c:v>
                </c:pt>
                <c:pt idx="33">
                  <c:v>849.3809292377307</c:v>
                </c:pt>
                <c:pt idx="34">
                  <c:v>849.78852441919594</c:v>
                </c:pt>
                <c:pt idx="35">
                  <c:v>850.19611960066129</c:v>
                </c:pt>
                <c:pt idx="36">
                  <c:v>850.60371478212653</c:v>
                </c:pt>
                <c:pt idx="37">
                  <c:v>851.01130996359177</c:v>
                </c:pt>
                <c:pt idx="38">
                  <c:v>851.41890514505712</c:v>
                </c:pt>
                <c:pt idx="39">
                  <c:v>851.82650032652236</c:v>
                </c:pt>
                <c:pt idx="40">
                  <c:v>852.2340955079876</c:v>
                </c:pt>
                <c:pt idx="41">
                  <c:v>852.64169068945284</c:v>
                </c:pt>
                <c:pt idx="42">
                  <c:v>853.0492858709182</c:v>
                </c:pt>
                <c:pt idx="43">
                  <c:v>853.45688105238344</c:v>
                </c:pt>
                <c:pt idx="44">
                  <c:v>853.86447623384868</c:v>
                </c:pt>
                <c:pt idx="45">
                  <c:v>854.27207141531392</c:v>
                </c:pt>
                <c:pt idx="46">
                  <c:v>854.67966659677927</c:v>
                </c:pt>
                <c:pt idx="47">
                  <c:v>855.08726177824451</c:v>
                </c:pt>
                <c:pt idx="48">
                  <c:v>855.49485695970975</c:v>
                </c:pt>
                <c:pt idx="49">
                  <c:v>855.9024521411751</c:v>
                </c:pt>
              </c:numCache>
            </c:numRef>
          </c:yVal>
          <c:smooth val="1"/>
        </c:ser>
        <c:ser>
          <c:idx val="3"/>
          <c:order val="3"/>
          <c:tx>
            <c:v>Нижняя граница</c:v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'11'!$H$8:$H$57</c:f>
              <c:numCache>
                <c:formatCode>General</c:formatCod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numCache>
            </c:numRef>
          </c:xVal>
          <c:yVal>
            <c:numRef>
              <c:f>'11'!$F$8:$F$57</c:f>
              <c:numCache>
                <c:formatCode>General</c:formatCode>
                <c:ptCount val="50"/>
                <c:pt idx="0">
                  <c:v>822.49972273653486</c:v>
                </c:pt>
                <c:pt idx="1">
                  <c:v>822.9073179180001</c:v>
                </c:pt>
                <c:pt idx="2">
                  <c:v>823.31491309946546</c:v>
                </c:pt>
                <c:pt idx="3">
                  <c:v>823.7225082809307</c:v>
                </c:pt>
                <c:pt idx="4">
                  <c:v>824.13010346239594</c:v>
                </c:pt>
                <c:pt idx="5">
                  <c:v>824.53769864386118</c:v>
                </c:pt>
                <c:pt idx="6">
                  <c:v>824.94529382532653</c:v>
                </c:pt>
                <c:pt idx="7">
                  <c:v>825.35288900679177</c:v>
                </c:pt>
                <c:pt idx="8">
                  <c:v>825.76048418825701</c:v>
                </c:pt>
                <c:pt idx="9">
                  <c:v>826.16807936972236</c:v>
                </c:pt>
                <c:pt idx="10">
                  <c:v>826.5756745511876</c:v>
                </c:pt>
                <c:pt idx="11">
                  <c:v>826.98326973265284</c:v>
                </c:pt>
                <c:pt idx="12">
                  <c:v>827.39086491411808</c:v>
                </c:pt>
                <c:pt idx="13">
                  <c:v>827.79846009558344</c:v>
                </c:pt>
                <c:pt idx="14">
                  <c:v>828.20605527704868</c:v>
                </c:pt>
                <c:pt idx="15">
                  <c:v>828.61365045851392</c:v>
                </c:pt>
                <c:pt idx="16">
                  <c:v>829.02124563997916</c:v>
                </c:pt>
                <c:pt idx="17">
                  <c:v>829.42884082144451</c:v>
                </c:pt>
                <c:pt idx="18">
                  <c:v>829.83643600290975</c:v>
                </c:pt>
                <c:pt idx="19">
                  <c:v>830.24403118437499</c:v>
                </c:pt>
                <c:pt idx="20">
                  <c:v>830.65162636584034</c:v>
                </c:pt>
                <c:pt idx="21">
                  <c:v>831.05922154730558</c:v>
                </c:pt>
                <c:pt idx="22">
                  <c:v>831.46681672877082</c:v>
                </c:pt>
                <c:pt idx="23">
                  <c:v>831.87441191023606</c:v>
                </c:pt>
                <c:pt idx="24">
                  <c:v>832.28200709170142</c:v>
                </c:pt>
                <c:pt idx="25">
                  <c:v>832.68960227316666</c:v>
                </c:pt>
                <c:pt idx="26">
                  <c:v>833.0971974546319</c:v>
                </c:pt>
                <c:pt idx="27">
                  <c:v>833.50479263609714</c:v>
                </c:pt>
                <c:pt idx="28">
                  <c:v>833.91238781756249</c:v>
                </c:pt>
                <c:pt idx="29">
                  <c:v>834.31998299902773</c:v>
                </c:pt>
                <c:pt idx="30">
                  <c:v>834.72757818049297</c:v>
                </c:pt>
                <c:pt idx="31">
                  <c:v>835.13517336195832</c:v>
                </c:pt>
                <c:pt idx="32">
                  <c:v>835.54276854342356</c:v>
                </c:pt>
                <c:pt idx="33">
                  <c:v>835.9503637248888</c:v>
                </c:pt>
                <c:pt idx="34">
                  <c:v>836.35795890635404</c:v>
                </c:pt>
                <c:pt idx="35">
                  <c:v>836.7655540878194</c:v>
                </c:pt>
                <c:pt idx="36">
                  <c:v>837.17314926928464</c:v>
                </c:pt>
                <c:pt idx="37">
                  <c:v>837.58074445074988</c:v>
                </c:pt>
                <c:pt idx="38">
                  <c:v>837.98833963221523</c:v>
                </c:pt>
                <c:pt idx="39">
                  <c:v>838.39593481368047</c:v>
                </c:pt>
                <c:pt idx="40">
                  <c:v>838.80352999514571</c:v>
                </c:pt>
                <c:pt idx="41">
                  <c:v>839.21112517661095</c:v>
                </c:pt>
                <c:pt idx="42">
                  <c:v>839.6187203580763</c:v>
                </c:pt>
                <c:pt idx="43">
                  <c:v>840.02631553954154</c:v>
                </c:pt>
                <c:pt idx="44">
                  <c:v>840.43391072100678</c:v>
                </c:pt>
                <c:pt idx="45">
                  <c:v>840.84150590247202</c:v>
                </c:pt>
                <c:pt idx="46">
                  <c:v>841.24910108393738</c:v>
                </c:pt>
                <c:pt idx="47">
                  <c:v>841.65669626540262</c:v>
                </c:pt>
                <c:pt idx="48">
                  <c:v>842.06429144686786</c:v>
                </c:pt>
                <c:pt idx="49">
                  <c:v>842.47188662833321</c:v>
                </c:pt>
              </c:numCache>
            </c:numRef>
          </c:yVal>
          <c:smooth val="1"/>
        </c:ser>
        <c:ser>
          <c:idx val="4"/>
          <c:order val="4"/>
          <c:tx>
            <c:v>Регрессия</c:v>
          </c:tx>
          <c:marker>
            <c:symbol val="none"/>
          </c:marker>
          <c:xVal>
            <c:numRef>
              <c:f>'11'!$H$8:$H$57</c:f>
              <c:numCache>
                <c:formatCode>General</c:formatCod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numCache>
            </c:numRef>
          </c:xVal>
          <c:yVal>
            <c:numRef>
              <c:f>'11'!$L$8:$L$57</c:f>
              <c:numCache>
                <c:formatCode>General</c:formatCode>
                <c:ptCount val="50"/>
                <c:pt idx="0">
                  <c:v>829.21500549295581</c:v>
                </c:pt>
                <c:pt idx="1">
                  <c:v>829.62260067442105</c:v>
                </c:pt>
                <c:pt idx="2">
                  <c:v>830.0301958558864</c:v>
                </c:pt>
                <c:pt idx="3">
                  <c:v>830.43779103735164</c:v>
                </c:pt>
                <c:pt idx="4">
                  <c:v>830.84538621881688</c:v>
                </c:pt>
                <c:pt idx="5">
                  <c:v>831.25298140028212</c:v>
                </c:pt>
                <c:pt idx="6">
                  <c:v>831.66057658174748</c:v>
                </c:pt>
                <c:pt idx="7">
                  <c:v>832.06817176321272</c:v>
                </c:pt>
                <c:pt idx="8">
                  <c:v>832.47576694467796</c:v>
                </c:pt>
                <c:pt idx="9">
                  <c:v>832.88336212614331</c:v>
                </c:pt>
                <c:pt idx="10">
                  <c:v>833.29095730760855</c:v>
                </c:pt>
                <c:pt idx="11">
                  <c:v>833.69855248907379</c:v>
                </c:pt>
                <c:pt idx="12">
                  <c:v>834.10614767053903</c:v>
                </c:pt>
                <c:pt idx="13">
                  <c:v>834.51374285200438</c:v>
                </c:pt>
                <c:pt idx="14">
                  <c:v>834.92133803346962</c:v>
                </c:pt>
                <c:pt idx="15">
                  <c:v>835.32893321493486</c:v>
                </c:pt>
                <c:pt idx="16">
                  <c:v>835.7365283964001</c:v>
                </c:pt>
                <c:pt idx="17">
                  <c:v>836.14412357786546</c:v>
                </c:pt>
                <c:pt idx="18">
                  <c:v>836.5517187593307</c:v>
                </c:pt>
                <c:pt idx="19">
                  <c:v>836.95931394079594</c:v>
                </c:pt>
                <c:pt idx="20">
                  <c:v>837.36690912226129</c:v>
                </c:pt>
                <c:pt idx="21">
                  <c:v>837.77450430372653</c:v>
                </c:pt>
                <c:pt idx="22">
                  <c:v>838.18209948519177</c:v>
                </c:pt>
                <c:pt idx="23">
                  <c:v>838.58969466665701</c:v>
                </c:pt>
                <c:pt idx="24">
                  <c:v>838.99728984812236</c:v>
                </c:pt>
                <c:pt idx="25">
                  <c:v>839.4048850295876</c:v>
                </c:pt>
                <c:pt idx="26">
                  <c:v>839.81248021105284</c:v>
                </c:pt>
                <c:pt idx="27">
                  <c:v>840.22007539251808</c:v>
                </c:pt>
                <c:pt idx="28">
                  <c:v>840.62767057398344</c:v>
                </c:pt>
                <c:pt idx="29">
                  <c:v>841.03526575544868</c:v>
                </c:pt>
                <c:pt idx="30">
                  <c:v>841.44286093691392</c:v>
                </c:pt>
                <c:pt idx="31">
                  <c:v>841.85045611837927</c:v>
                </c:pt>
                <c:pt idx="32">
                  <c:v>842.25805129984451</c:v>
                </c:pt>
                <c:pt idx="33">
                  <c:v>842.66564648130975</c:v>
                </c:pt>
                <c:pt idx="34">
                  <c:v>843.07324166277499</c:v>
                </c:pt>
                <c:pt idx="35">
                  <c:v>843.48083684424034</c:v>
                </c:pt>
                <c:pt idx="36">
                  <c:v>843.88843202570558</c:v>
                </c:pt>
                <c:pt idx="37">
                  <c:v>844.29602720717082</c:v>
                </c:pt>
                <c:pt idx="38">
                  <c:v>844.70362238863618</c:v>
                </c:pt>
                <c:pt idx="39">
                  <c:v>845.11121757010142</c:v>
                </c:pt>
                <c:pt idx="40">
                  <c:v>845.51881275156666</c:v>
                </c:pt>
                <c:pt idx="41">
                  <c:v>845.9264079330319</c:v>
                </c:pt>
                <c:pt idx="42">
                  <c:v>846.33400311449725</c:v>
                </c:pt>
                <c:pt idx="43">
                  <c:v>846.74159829596249</c:v>
                </c:pt>
                <c:pt idx="44">
                  <c:v>847.14919347742773</c:v>
                </c:pt>
                <c:pt idx="45">
                  <c:v>847.55678865889297</c:v>
                </c:pt>
                <c:pt idx="46">
                  <c:v>847.96438384035832</c:v>
                </c:pt>
                <c:pt idx="47">
                  <c:v>848.37197902182356</c:v>
                </c:pt>
                <c:pt idx="48">
                  <c:v>848.7795742032888</c:v>
                </c:pt>
                <c:pt idx="49">
                  <c:v>849.18716938475416</c:v>
                </c:pt>
              </c:numCache>
            </c:numRef>
          </c:yVal>
          <c:smooth val="1"/>
        </c:ser>
        <c:axId val="151267584"/>
        <c:axId val="151277568"/>
      </c:scatterChart>
      <c:valAx>
        <c:axId val="151267584"/>
        <c:scaling>
          <c:orientation val="minMax"/>
        </c:scaling>
        <c:axPos val="b"/>
        <c:numFmt formatCode="General" sourceLinked="1"/>
        <c:tickLblPos val="nextTo"/>
        <c:crossAx val="151277568"/>
        <c:crosses val="autoZero"/>
        <c:crossBetween val="midCat"/>
      </c:valAx>
      <c:valAx>
        <c:axId val="151277568"/>
        <c:scaling>
          <c:orientation val="minMax"/>
        </c:scaling>
        <c:axPos val="l"/>
        <c:majorGridlines/>
        <c:numFmt formatCode="General" sourceLinked="1"/>
        <c:tickLblPos val="nextTo"/>
        <c:crossAx val="15126758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'11'!$N$32:$N$81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'11'!$O$32:$O$81</c:f>
              <c:numCache>
                <c:formatCode>General</c:formatCode>
                <c:ptCount val="50"/>
                <c:pt idx="0">
                  <c:v>828.19097643719294</c:v>
                </c:pt>
                <c:pt idx="1">
                  <c:v>828.96870069075385</c:v>
                </c:pt>
                <c:pt idx="2">
                  <c:v>829.10969045433455</c:v>
                </c:pt>
                <c:pt idx="3">
                  <c:v>829.49327084929109</c:v>
                </c:pt>
                <c:pt idx="4">
                  <c:v>829.57703462415384</c:v>
                </c:pt>
                <c:pt idx="5">
                  <c:v>829.92781795299379</c:v>
                </c:pt>
                <c:pt idx="6">
                  <c:v>830.26020749120516</c:v>
                </c:pt>
                <c:pt idx="7">
                  <c:v>830.8110588209471</c:v>
                </c:pt>
                <c:pt idx="8">
                  <c:v>831.25702082287171</c:v>
                </c:pt>
                <c:pt idx="9">
                  <c:v>833.95137090486242</c:v>
                </c:pt>
                <c:pt idx="10">
                  <c:v>834.32749423552309</c:v>
                </c:pt>
                <c:pt idx="11">
                  <c:v>834.56664872317344</c:v>
                </c:pt>
                <c:pt idx="12">
                  <c:v>834.56848949800485</c:v>
                </c:pt>
                <c:pt idx="13">
                  <c:v>834.84157881954457</c:v>
                </c:pt>
                <c:pt idx="14">
                  <c:v>834.86363234711177</c:v>
                </c:pt>
                <c:pt idx="15">
                  <c:v>835.015982836386</c:v>
                </c:pt>
                <c:pt idx="16">
                  <c:v>835.32402271546891</c:v>
                </c:pt>
                <c:pt idx="17">
                  <c:v>835.70540406442308</c:v>
                </c:pt>
                <c:pt idx="18">
                  <c:v>835.75589275891252</c:v>
                </c:pt>
                <c:pt idx="19">
                  <c:v>836.34721760736727</c:v>
                </c:pt>
                <c:pt idx="20">
                  <c:v>836.69819779936518</c:v>
                </c:pt>
                <c:pt idx="21">
                  <c:v>837.0392264003749</c:v>
                </c:pt>
                <c:pt idx="22">
                  <c:v>837.16244421303281</c:v>
                </c:pt>
                <c:pt idx="23">
                  <c:v>837.48745468321727</c:v>
                </c:pt>
                <c:pt idx="24">
                  <c:v>837.98785729379165</c:v>
                </c:pt>
                <c:pt idx="25">
                  <c:v>838.03935838321922</c:v>
                </c:pt>
                <c:pt idx="26">
                  <c:v>838.45835640574228</c:v>
                </c:pt>
                <c:pt idx="27">
                  <c:v>839.0000553104212</c:v>
                </c:pt>
                <c:pt idx="28">
                  <c:v>839.3839106152999</c:v>
                </c:pt>
                <c:pt idx="29">
                  <c:v>839.57191120807556</c:v>
                </c:pt>
                <c:pt idx="30">
                  <c:v>840.60372295289426</c:v>
                </c:pt>
                <c:pt idx="31">
                  <c:v>843.04906612856439</c:v>
                </c:pt>
                <c:pt idx="32">
                  <c:v>843.17026021042261</c:v>
                </c:pt>
                <c:pt idx="33">
                  <c:v>843.32191781731672</c:v>
                </c:pt>
                <c:pt idx="34">
                  <c:v>843.51245671986544</c:v>
                </c:pt>
                <c:pt idx="35">
                  <c:v>843.78312807999907</c:v>
                </c:pt>
                <c:pt idx="36">
                  <c:v>843.80426822731397</c:v>
                </c:pt>
                <c:pt idx="37">
                  <c:v>844.26258275385487</c:v>
                </c:pt>
                <c:pt idx="38">
                  <c:v>844.27492192606735</c:v>
                </c:pt>
                <c:pt idx="39">
                  <c:v>845.06573142956188</c:v>
                </c:pt>
                <c:pt idx="40">
                  <c:v>845.27363713344096</c:v>
                </c:pt>
                <c:pt idx="41">
                  <c:v>846.22894955994275</c:v>
                </c:pt>
                <c:pt idx="42">
                  <c:v>847.93274831367307</c:v>
                </c:pt>
                <c:pt idx="43">
                  <c:v>848.20383140508784</c:v>
                </c:pt>
                <c:pt idx="44">
                  <c:v>848.44569010545388</c:v>
                </c:pt>
                <c:pt idx="45">
                  <c:v>849.97507038036713</c:v>
                </c:pt>
                <c:pt idx="46">
                  <c:v>850.25321723216337</c:v>
                </c:pt>
                <c:pt idx="47">
                  <c:v>850.60612264456586</c:v>
                </c:pt>
                <c:pt idx="48">
                  <c:v>851.27339294421256</c:v>
                </c:pt>
                <c:pt idx="49">
                  <c:v>853.32137101092383</c:v>
                </c:pt>
              </c:numCache>
            </c:numRef>
          </c:yVal>
        </c:ser>
        <c:axId val="151288832"/>
        <c:axId val="151315584"/>
      </c:scatterChart>
      <c:valAx>
        <c:axId val="15128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</c:title>
        <c:numFmt formatCode="General" sourceLinked="1"/>
        <c:tickLblPos val="nextTo"/>
        <c:crossAx val="151315584"/>
        <c:crosses val="autoZero"/>
        <c:crossBetween val="midCat"/>
      </c:valAx>
      <c:valAx>
        <c:axId val="151315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5128883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'11'!$N$130:$N$179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'11'!$O$130:$O$179</c:f>
              <c:numCache>
                <c:formatCode>General</c:formatCode>
                <c:ptCount val="50"/>
                <c:pt idx="0">
                  <c:v>830</c:v>
                </c:pt>
                <c:pt idx="1">
                  <c:v>830.40000000000009</c:v>
                </c:pt>
                <c:pt idx="2">
                  <c:v>830.80000000000007</c:v>
                </c:pt>
                <c:pt idx="3">
                  <c:v>831.2</c:v>
                </c:pt>
                <c:pt idx="4">
                  <c:v>831.6</c:v>
                </c:pt>
                <c:pt idx="5">
                  <c:v>832</c:v>
                </c:pt>
                <c:pt idx="6">
                  <c:v>832.40000000000009</c:v>
                </c:pt>
                <c:pt idx="7">
                  <c:v>832.80000000000007</c:v>
                </c:pt>
                <c:pt idx="8">
                  <c:v>833.2</c:v>
                </c:pt>
                <c:pt idx="9">
                  <c:v>833.6</c:v>
                </c:pt>
                <c:pt idx="10">
                  <c:v>834</c:v>
                </c:pt>
                <c:pt idx="11">
                  <c:v>834.40000000000009</c:v>
                </c:pt>
                <c:pt idx="12">
                  <c:v>834.80000000000007</c:v>
                </c:pt>
                <c:pt idx="13">
                  <c:v>835.2</c:v>
                </c:pt>
                <c:pt idx="14">
                  <c:v>835.6</c:v>
                </c:pt>
                <c:pt idx="15">
                  <c:v>836</c:v>
                </c:pt>
                <c:pt idx="16">
                  <c:v>836.40000000000009</c:v>
                </c:pt>
                <c:pt idx="17">
                  <c:v>836.80000000000007</c:v>
                </c:pt>
                <c:pt idx="18">
                  <c:v>837.2</c:v>
                </c:pt>
                <c:pt idx="19">
                  <c:v>837.6</c:v>
                </c:pt>
                <c:pt idx="20">
                  <c:v>838</c:v>
                </c:pt>
                <c:pt idx="21">
                  <c:v>838.40000000000009</c:v>
                </c:pt>
                <c:pt idx="22">
                  <c:v>838.80000000000007</c:v>
                </c:pt>
                <c:pt idx="23">
                  <c:v>839.2</c:v>
                </c:pt>
                <c:pt idx="24">
                  <c:v>839.6</c:v>
                </c:pt>
                <c:pt idx="25">
                  <c:v>840</c:v>
                </c:pt>
                <c:pt idx="26">
                  <c:v>840.40000000000009</c:v>
                </c:pt>
                <c:pt idx="27">
                  <c:v>840.80000000000007</c:v>
                </c:pt>
                <c:pt idx="28">
                  <c:v>841.2</c:v>
                </c:pt>
                <c:pt idx="29">
                  <c:v>841.6</c:v>
                </c:pt>
                <c:pt idx="30">
                  <c:v>842</c:v>
                </c:pt>
                <c:pt idx="31">
                  <c:v>842.40000000000009</c:v>
                </c:pt>
                <c:pt idx="32">
                  <c:v>842.80000000000007</c:v>
                </c:pt>
                <c:pt idx="33">
                  <c:v>843.2</c:v>
                </c:pt>
                <c:pt idx="34">
                  <c:v>843.6</c:v>
                </c:pt>
                <c:pt idx="35">
                  <c:v>844</c:v>
                </c:pt>
                <c:pt idx="36">
                  <c:v>844.40000000000009</c:v>
                </c:pt>
                <c:pt idx="37">
                  <c:v>844.80000000000007</c:v>
                </c:pt>
                <c:pt idx="38">
                  <c:v>845.2</c:v>
                </c:pt>
                <c:pt idx="39">
                  <c:v>845.6</c:v>
                </c:pt>
                <c:pt idx="40">
                  <c:v>846</c:v>
                </c:pt>
                <c:pt idx="41">
                  <c:v>846.40000000000009</c:v>
                </c:pt>
                <c:pt idx="42">
                  <c:v>846.80000000000007</c:v>
                </c:pt>
                <c:pt idx="43">
                  <c:v>847.2</c:v>
                </c:pt>
                <c:pt idx="44">
                  <c:v>847.6</c:v>
                </c:pt>
                <c:pt idx="45">
                  <c:v>848</c:v>
                </c:pt>
                <c:pt idx="46">
                  <c:v>848.40000000000009</c:v>
                </c:pt>
                <c:pt idx="47">
                  <c:v>848.80000000000007</c:v>
                </c:pt>
                <c:pt idx="48">
                  <c:v>849.2</c:v>
                </c:pt>
                <c:pt idx="49">
                  <c:v>849.6</c:v>
                </c:pt>
              </c:numCache>
            </c:numRef>
          </c:yVal>
        </c:ser>
        <c:axId val="165958400"/>
        <c:axId val="165960320"/>
      </c:scatterChart>
      <c:valAx>
        <c:axId val="16595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</c:title>
        <c:numFmt formatCode="General" sourceLinked="1"/>
        <c:tickLblPos val="nextTo"/>
        <c:crossAx val="165960320"/>
        <c:crosses val="autoZero"/>
        <c:crossBetween val="midCat"/>
      </c:valAx>
      <c:valAx>
        <c:axId val="165960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6595840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'11'!$N$130:$N$179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'11'!$O$130:$O$179</c:f>
              <c:numCache>
                <c:formatCode>General</c:formatCode>
                <c:ptCount val="50"/>
                <c:pt idx="0">
                  <c:v>830</c:v>
                </c:pt>
                <c:pt idx="1">
                  <c:v>830.40000000000009</c:v>
                </c:pt>
                <c:pt idx="2">
                  <c:v>830.80000000000007</c:v>
                </c:pt>
                <c:pt idx="3">
                  <c:v>831.2</c:v>
                </c:pt>
                <c:pt idx="4">
                  <c:v>831.6</c:v>
                </c:pt>
                <c:pt idx="5">
                  <c:v>832</c:v>
                </c:pt>
                <c:pt idx="6">
                  <c:v>832.40000000000009</c:v>
                </c:pt>
                <c:pt idx="7">
                  <c:v>832.80000000000007</c:v>
                </c:pt>
                <c:pt idx="8">
                  <c:v>833.2</c:v>
                </c:pt>
                <c:pt idx="9">
                  <c:v>833.6</c:v>
                </c:pt>
                <c:pt idx="10">
                  <c:v>834</c:v>
                </c:pt>
                <c:pt idx="11">
                  <c:v>834.40000000000009</c:v>
                </c:pt>
                <c:pt idx="12">
                  <c:v>834.80000000000007</c:v>
                </c:pt>
                <c:pt idx="13">
                  <c:v>835.2</c:v>
                </c:pt>
                <c:pt idx="14">
                  <c:v>835.6</c:v>
                </c:pt>
                <c:pt idx="15">
                  <c:v>836</c:v>
                </c:pt>
                <c:pt idx="16">
                  <c:v>836.40000000000009</c:v>
                </c:pt>
                <c:pt idx="17">
                  <c:v>836.80000000000007</c:v>
                </c:pt>
                <c:pt idx="18">
                  <c:v>837.2</c:v>
                </c:pt>
                <c:pt idx="19">
                  <c:v>837.6</c:v>
                </c:pt>
                <c:pt idx="20">
                  <c:v>838</c:v>
                </c:pt>
                <c:pt idx="21">
                  <c:v>838.40000000000009</c:v>
                </c:pt>
                <c:pt idx="22">
                  <c:v>838.80000000000007</c:v>
                </c:pt>
                <c:pt idx="23">
                  <c:v>839.2</c:v>
                </c:pt>
                <c:pt idx="24">
                  <c:v>839.6</c:v>
                </c:pt>
                <c:pt idx="25">
                  <c:v>840</c:v>
                </c:pt>
                <c:pt idx="26">
                  <c:v>840.40000000000009</c:v>
                </c:pt>
                <c:pt idx="27">
                  <c:v>840.80000000000007</c:v>
                </c:pt>
                <c:pt idx="28">
                  <c:v>841.2</c:v>
                </c:pt>
                <c:pt idx="29">
                  <c:v>841.6</c:v>
                </c:pt>
                <c:pt idx="30">
                  <c:v>842</c:v>
                </c:pt>
                <c:pt idx="31">
                  <c:v>842.40000000000009</c:v>
                </c:pt>
                <c:pt idx="32">
                  <c:v>842.80000000000007</c:v>
                </c:pt>
                <c:pt idx="33">
                  <c:v>843.2</c:v>
                </c:pt>
                <c:pt idx="34">
                  <c:v>843.6</c:v>
                </c:pt>
                <c:pt idx="35">
                  <c:v>844</c:v>
                </c:pt>
                <c:pt idx="36">
                  <c:v>844.40000000000009</c:v>
                </c:pt>
                <c:pt idx="37">
                  <c:v>844.80000000000007</c:v>
                </c:pt>
                <c:pt idx="38">
                  <c:v>845.2</c:v>
                </c:pt>
                <c:pt idx="39">
                  <c:v>845.6</c:v>
                </c:pt>
                <c:pt idx="40">
                  <c:v>846</c:v>
                </c:pt>
                <c:pt idx="41">
                  <c:v>846.40000000000009</c:v>
                </c:pt>
                <c:pt idx="42">
                  <c:v>846.80000000000007</c:v>
                </c:pt>
                <c:pt idx="43">
                  <c:v>847.2</c:v>
                </c:pt>
                <c:pt idx="44">
                  <c:v>847.6</c:v>
                </c:pt>
                <c:pt idx="45">
                  <c:v>848</c:v>
                </c:pt>
                <c:pt idx="46">
                  <c:v>848.40000000000009</c:v>
                </c:pt>
                <c:pt idx="47">
                  <c:v>848.80000000000007</c:v>
                </c:pt>
                <c:pt idx="48">
                  <c:v>849.2</c:v>
                </c:pt>
                <c:pt idx="49">
                  <c:v>849.6</c:v>
                </c:pt>
              </c:numCache>
            </c:numRef>
          </c:yVal>
        </c:ser>
        <c:axId val="166009088"/>
        <c:axId val="166015360"/>
      </c:scatterChart>
      <c:valAx>
        <c:axId val="16600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</c:title>
        <c:numFmt formatCode="General" sourceLinked="1"/>
        <c:tickLblPos val="nextTo"/>
        <c:crossAx val="166015360"/>
        <c:crosses val="autoZero"/>
        <c:crossBetween val="midCat"/>
      </c:valAx>
      <c:valAx>
        <c:axId val="166015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6600908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'12'!$E$14:$I$14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 formatCode="0">
                  <c:v>3</c:v>
                </c:pt>
                <c:pt idx="3" formatCode="0">
                  <c:v>4</c:v>
                </c:pt>
                <c:pt idx="4" formatCode="0">
                  <c:v>5</c:v>
                </c:pt>
              </c:numCache>
            </c:numRef>
          </c:xVal>
          <c:yVal>
            <c:numRef>
              <c:f>'12'!$E$17:$I$17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'12'!$F$14:$I$14</c:f>
              <c:numCache>
                <c:formatCode>0</c:formatCode>
                <c:ptCount val="4"/>
                <c:pt idx="0" formatCode="General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'12'!$E$18:$I$18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14</c:v>
                </c:pt>
                <c:pt idx="4">
                  <c:v>13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'12'!$E$14:$I$14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 formatCode="0">
                  <c:v>3</c:v>
                </c:pt>
                <c:pt idx="3" formatCode="0">
                  <c:v>4</c:v>
                </c:pt>
                <c:pt idx="4" formatCode="0">
                  <c:v>5</c:v>
                </c:pt>
              </c:numCache>
            </c:numRef>
          </c:xVal>
          <c:yVal>
            <c:numRef>
              <c:f>'12'!$E$19:$I$19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15</c:v>
                </c:pt>
              </c:numCache>
            </c:numRef>
          </c:yVal>
        </c:ser>
        <c:ser>
          <c:idx val="3"/>
          <c:order val="3"/>
          <c:spPr>
            <a:ln w="19050"/>
          </c:spPr>
          <c:marker>
            <c:symbol val="none"/>
          </c:marker>
          <c:xVal>
            <c:numRef>
              <c:f>'12'!$E$14:$I$14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 formatCode="0">
                  <c:v>3</c:v>
                </c:pt>
                <c:pt idx="3" formatCode="0">
                  <c:v>4</c:v>
                </c:pt>
                <c:pt idx="4" formatCode="0">
                  <c:v>5</c:v>
                </c:pt>
              </c:numCache>
            </c:numRef>
          </c:xVal>
          <c:yVal>
            <c:numRef>
              <c:f>'12'!$U$11:$U$18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yVal>
        </c:ser>
        <c:ser>
          <c:idx val="4"/>
          <c:order val="4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'12'!$E$14:$I$14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 formatCode="0">
                  <c:v>3</c:v>
                </c:pt>
                <c:pt idx="3" formatCode="0">
                  <c:v>4</c:v>
                </c:pt>
                <c:pt idx="4" formatCode="0">
                  <c:v>5</c:v>
                </c:pt>
              </c:numCache>
            </c:numRef>
          </c:xVal>
          <c:yVal>
            <c:numRef>
              <c:f>'12'!$V$11:$V$18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yVal>
        </c:ser>
        <c:ser>
          <c:idx val="5"/>
          <c:order val="5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'12'!$E$14:$I$14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 formatCode="0">
                  <c:v>3</c:v>
                </c:pt>
                <c:pt idx="3" formatCode="0">
                  <c:v>4</c:v>
                </c:pt>
                <c:pt idx="4" formatCode="0">
                  <c:v>5</c:v>
                </c:pt>
              </c:numCache>
            </c:numRef>
          </c:xVal>
          <c:yVal>
            <c:numRef>
              <c:f>'12'!$W$11:$W$18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yVal>
        </c:ser>
        <c:axId val="91624960"/>
        <c:axId val="91623424"/>
      </c:scatterChart>
      <c:valAx>
        <c:axId val="91624960"/>
        <c:scaling>
          <c:orientation val="minMax"/>
          <c:max val="5"/>
          <c:min val="1"/>
        </c:scaling>
        <c:axPos val="b"/>
        <c:numFmt formatCode="General" sourceLinked="1"/>
        <c:tickLblPos val="nextTo"/>
        <c:crossAx val="91623424"/>
        <c:crosses val="autoZero"/>
        <c:crossBetween val="midCat"/>
      </c:valAx>
      <c:valAx>
        <c:axId val="91623424"/>
        <c:scaling>
          <c:orientation val="minMax"/>
        </c:scaling>
        <c:axPos val="l"/>
        <c:numFmt formatCode="General" sourceLinked="1"/>
        <c:tickLblPos val="nextTo"/>
        <c:crossAx val="91624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Фактический</c:v>
          </c:tx>
          <c:val>
            <c:numRef>
              <c:f>'14'!$I$9:$I$24</c:f>
              <c:numCache>
                <c:formatCode>General</c:formatCode>
                <c:ptCount val="16"/>
                <c:pt idx="0">
                  <c:v>50</c:v>
                </c:pt>
                <c:pt idx="1">
                  <c:v>45</c:v>
                </c:pt>
                <c:pt idx="2">
                  <c:v>38</c:v>
                </c:pt>
                <c:pt idx="3">
                  <c:v>65</c:v>
                </c:pt>
                <c:pt idx="4">
                  <c:v>78</c:v>
                </c:pt>
                <c:pt idx="5">
                  <c:v>77</c:v>
                </c:pt>
                <c:pt idx="6">
                  <c:v>95</c:v>
                </c:pt>
                <c:pt idx="7">
                  <c:v>110</c:v>
                </c:pt>
                <c:pt idx="8">
                  <c:v>92</c:v>
                </c:pt>
                <c:pt idx="9">
                  <c:v>115</c:v>
                </c:pt>
                <c:pt idx="10">
                  <c:v>135</c:v>
                </c:pt>
                <c:pt idx="11">
                  <c:v>110</c:v>
                </c:pt>
                <c:pt idx="12">
                  <c:v>120</c:v>
                </c:pt>
                <c:pt idx="13">
                  <c:v>115</c:v>
                </c:pt>
                <c:pt idx="14">
                  <c:v>150</c:v>
                </c:pt>
                <c:pt idx="15">
                  <c:v>140</c:v>
                </c:pt>
              </c:numCache>
            </c:numRef>
          </c:val>
        </c:ser>
        <c:ser>
          <c:idx val="1"/>
          <c:order val="1"/>
          <c:tx>
            <c:v>Прогноз</c:v>
          </c:tx>
          <c:val>
            <c:numRef>
              <c:f>'14'!$X$8:$X$23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49.5</c:v>
                </c:pt>
                <c:pt idx="3">
                  <c:v>48.35</c:v>
                </c:pt>
                <c:pt idx="4">
                  <c:v>50.015000000000001</c:v>
                </c:pt>
                <c:pt idx="5">
                  <c:v>52.813500000000005</c:v>
                </c:pt>
                <c:pt idx="6">
                  <c:v>55.232150000000011</c:v>
                </c:pt>
                <c:pt idx="7">
                  <c:v>59.208935000000011</c:v>
                </c:pt>
                <c:pt idx="8">
                  <c:v>64.28804150000002</c:v>
                </c:pt>
                <c:pt idx="9">
                  <c:v>67.059237350000018</c:v>
                </c:pt>
                <c:pt idx="10">
                  <c:v>71.853313615000019</c:v>
                </c:pt>
                <c:pt idx="11">
                  <c:v>78.167982253500014</c:v>
                </c:pt>
                <c:pt idx="12">
                  <c:v>81.351184028150016</c:v>
                </c:pt>
                <c:pt idx="13">
                  <c:v>85.21606562533502</c:v>
                </c:pt>
                <c:pt idx="14">
                  <c:v>88.194459062801513</c:v>
                </c:pt>
                <c:pt idx="15">
                  <c:v>94.375013156521362</c:v>
                </c:pt>
              </c:numCache>
            </c:numRef>
          </c:val>
        </c:ser>
        <c:marker val="1"/>
        <c:axId val="166126720"/>
        <c:axId val="166128640"/>
      </c:lineChart>
      <c:catAx>
        <c:axId val="16612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</c:title>
        <c:tickLblPos val="nextTo"/>
        <c:crossAx val="166128640"/>
        <c:crosses val="autoZero"/>
        <c:auto val="1"/>
        <c:lblAlgn val="ctr"/>
        <c:lblOffset val="100"/>
      </c:catAx>
      <c:valAx>
        <c:axId val="166128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</c:title>
        <c:numFmt formatCode="General" sourceLinked="1"/>
        <c:tickLblPos val="nextTo"/>
        <c:crossAx val="166126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21</xdr:row>
      <xdr:rowOff>85725</xdr:rowOff>
    </xdr:from>
    <xdr:to>
      <xdr:col>25</xdr:col>
      <xdr:colOff>466725</xdr:colOff>
      <xdr:row>38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57</xdr:row>
      <xdr:rowOff>1</xdr:rowOff>
    </xdr:from>
    <xdr:to>
      <xdr:col>27</xdr:col>
      <xdr:colOff>0</xdr:colOff>
      <xdr:row>67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105</xdr:row>
      <xdr:rowOff>1</xdr:rowOff>
    </xdr:from>
    <xdr:to>
      <xdr:col>27</xdr:col>
      <xdr:colOff>0</xdr:colOff>
      <xdr:row>115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709973</xdr:colOff>
      <xdr:row>25</xdr:row>
      <xdr:rowOff>119262</xdr:rowOff>
    </xdr:from>
    <xdr:to>
      <xdr:col>28</xdr:col>
      <xdr:colOff>447435</xdr:colOff>
      <xdr:row>40</xdr:row>
      <xdr:rowOff>184097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39219</xdr:colOff>
      <xdr:row>0</xdr:row>
      <xdr:rowOff>109657</xdr:rowOff>
    </xdr:from>
    <xdr:to>
      <xdr:col>31</xdr:col>
      <xdr:colOff>72037</xdr:colOff>
      <xdr:row>17</xdr:row>
      <xdr:rowOff>109656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105</xdr:row>
      <xdr:rowOff>1</xdr:rowOff>
    </xdr:from>
    <xdr:to>
      <xdr:col>27</xdr:col>
      <xdr:colOff>0</xdr:colOff>
      <xdr:row>115</xdr:row>
      <xdr:rowOff>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105</xdr:row>
      <xdr:rowOff>1</xdr:rowOff>
    </xdr:from>
    <xdr:to>
      <xdr:col>27</xdr:col>
      <xdr:colOff>0</xdr:colOff>
      <xdr:row>115</xdr:row>
      <xdr:rowOff>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10</xdr:row>
      <xdr:rowOff>76200</xdr:rowOff>
    </xdr:from>
    <xdr:to>
      <xdr:col>19</xdr:col>
      <xdr:colOff>438150</xdr:colOff>
      <xdr:row>24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7</xdr:row>
      <xdr:rowOff>0</xdr:rowOff>
    </xdr:from>
    <xdr:to>
      <xdr:col>33</xdr:col>
      <xdr:colOff>514350</xdr:colOff>
      <xdr:row>24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7</xdr:row>
      <xdr:rowOff>0</xdr:rowOff>
    </xdr:from>
    <xdr:to>
      <xdr:col>22</xdr:col>
      <xdr:colOff>352424</xdr:colOff>
      <xdr:row>23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190499</xdr:rowOff>
    </xdr:from>
    <xdr:to>
      <xdr:col>25</xdr:col>
      <xdr:colOff>419100</xdr:colOff>
      <xdr:row>45</xdr:row>
      <xdr:rowOff>104774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28</xdr:row>
      <xdr:rowOff>190499</xdr:rowOff>
    </xdr:from>
    <xdr:to>
      <xdr:col>17</xdr:col>
      <xdr:colOff>238125</xdr:colOff>
      <xdr:row>43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7</xdr:row>
      <xdr:rowOff>0</xdr:rowOff>
    </xdr:from>
    <xdr:to>
      <xdr:col>22</xdr:col>
      <xdr:colOff>304800</xdr:colOff>
      <xdr:row>23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23</xdr:col>
      <xdr:colOff>0</xdr:colOff>
      <xdr:row>63</xdr:row>
      <xdr:rowOff>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5:Q107"/>
  <sheetViews>
    <sheetView topLeftCell="D1" workbookViewId="0">
      <selection activeCell="J7" sqref="J7:L20"/>
    </sheetView>
  </sheetViews>
  <sheetFormatPr defaultRowHeight="15"/>
  <cols>
    <col min="6" max="6" width="13" customWidth="1"/>
    <col min="7" max="7" width="13.5703125" customWidth="1"/>
    <col min="10" max="10" width="36.85546875" customWidth="1"/>
    <col min="11" max="11" width="17" customWidth="1"/>
    <col min="12" max="12" width="15" customWidth="1"/>
    <col min="17" max="17" width="10.5703125" bestFit="1" customWidth="1"/>
  </cols>
  <sheetData>
    <row r="5" spans="6:17" ht="15.75" thickBot="1"/>
    <row r="6" spans="6:17" ht="15.75" thickBot="1">
      <c r="F6" s="4" t="s">
        <v>2</v>
      </c>
      <c r="G6" s="5" t="s">
        <v>3</v>
      </c>
    </row>
    <row r="7" spans="6:17">
      <c r="F7" s="22">
        <v>78.799071363464464</v>
      </c>
      <c r="G7" s="23">
        <v>65.102716638939455</v>
      </c>
      <c r="J7" t="s">
        <v>4</v>
      </c>
    </row>
    <row r="8" spans="6:17" ht="15.75" thickBot="1">
      <c r="F8" s="6">
        <v>74.889267327380367</v>
      </c>
      <c r="G8" s="7">
        <v>76.859518180135638</v>
      </c>
      <c r="Q8" s="21"/>
    </row>
    <row r="9" spans="6:17">
      <c r="F9" s="6">
        <v>80.977029230853077</v>
      </c>
      <c r="G9" s="7">
        <v>69.007513906690292</v>
      </c>
      <c r="J9" s="3"/>
      <c r="K9" s="3" t="s">
        <v>5</v>
      </c>
      <c r="L9" s="3" t="s">
        <v>6</v>
      </c>
      <c r="Q9" s="21"/>
    </row>
    <row r="10" spans="6:17">
      <c r="F10" s="6">
        <v>85.105894160806201</v>
      </c>
      <c r="G10" s="7">
        <v>74.446455932338722</v>
      </c>
      <c r="J10" s="1" t="s">
        <v>7</v>
      </c>
      <c r="K10" s="1">
        <v>80.185940734809265</v>
      </c>
      <c r="L10" s="1">
        <v>69.912558905634796</v>
      </c>
      <c r="Q10" s="21"/>
    </row>
    <row r="11" spans="6:17">
      <c r="F11" s="6">
        <v>84.793400876224041</v>
      </c>
      <c r="G11" s="7">
        <v>68.022558429511264</v>
      </c>
      <c r="J11" s="1" t="s">
        <v>8</v>
      </c>
      <c r="K11" s="1">
        <v>26.724859212157348</v>
      </c>
      <c r="L11" s="1">
        <v>17.731802098600991</v>
      </c>
      <c r="Q11" s="21"/>
    </row>
    <row r="12" spans="6:17">
      <c r="F12" s="6">
        <v>86.932532414793968</v>
      </c>
      <c r="G12" s="7">
        <v>67.249274201749358</v>
      </c>
      <c r="J12" s="1" t="s">
        <v>9</v>
      </c>
      <c r="K12" s="1">
        <v>10</v>
      </c>
      <c r="L12" s="1">
        <v>10</v>
      </c>
      <c r="Q12" s="21"/>
    </row>
    <row r="13" spans="6:17">
      <c r="F13" s="6">
        <v>71.265649441629648</v>
      </c>
      <c r="G13" s="7">
        <v>73.34620381181594</v>
      </c>
      <c r="J13" s="1" t="s">
        <v>10</v>
      </c>
      <c r="K13" s="1">
        <v>22.228330655379168</v>
      </c>
      <c r="L13" s="1"/>
      <c r="Q13" s="21"/>
    </row>
    <row r="14" spans="6:17">
      <c r="F14" s="6">
        <v>79.06327502685599</v>
      </c>
      <c r="G14" s="7">
        <v>64.664640325936489</v>
      </c>
      <c r="J14" s="1" t="s">
        <v>11</v>
      </c>
      <c r="K14" s="1">
        <v>0</v>
      </c>
      <c r="L14" s="1"/>
      <c r="Q14" s="21"/>
    </row>
    <row r="15" spans="6:17">
      <c r="F15" s="6">
        <v>84.380090103950351</v>
      </c>
      <c r="G15" s="7">
        <v>73.097738954238594</v>
      </c>
      <c r="J15" s="1" t="s">
        <v>12</v>
      </c>
      <c r="K15" s="1">
        <v>18</v>
      </c>
      <c r="L15" s="1"/>
      <c r="Q15" s="21"/>
    </row>
    <row r="16" spans="6:17">
      <c r="F16" s="6">
        <v>75.653197402134538</v>
      </c>
      <c r="G16" s="7">
        <v>67.328968674992211</v>
      </c>
      <c r="I16">
        <f>(F23-G23)/F29^(1/2)/(1/10+1/10)^(1/2)</f>
        <v>4.8724232593143535</v>
      </c>
      <c r="J16" s="1" t="s">
        <v>13</v>
      </c>
      <c r="K16" s="1">
        <v>4.8724232593143535</v>
      </c>
      <c r="L16" s="1"/>
      <c r="Q16" s="21"/>
    </row>
    <row r="17" spans="6:17">
      <c r="F17" s="8"/>
      <c r="G17" s="9"/>
      <c r="I17">
        <f>TDIST(I16,10+10-2,1)</f>
        <v>6.1229514255024624E-5</v>
      </c>
      <c r="J17" s="1" t="s">
        <v>14</v>
      </c>
      <c r="K17" s="1">
        <v>6.1229514255024624E-5</v>
      </c>
      <c r="L17" s="1"/>
      <c r="Q17" s="21"/>
    </row>
    <row r="18" spans="6:17">
      <c r="F18" s="8" t="s">
        <v>0</v>
      </c>
      <c r="G18" s="9" t="s">
        <v>1</v>
      </c>
      <c r="I18">
        <f>TINV(2*0.05,10+10-2)</f>
        <v>1.7340635923093939</v>
      </c>
      <c r="J18" s="1" t="s">
        <v>15</v>
      </c>
      <c r="K18" s="1">
        <v>1.7340635923093939</v>
      </c>
      <c r="L18" s="1"/>
      <c r="Q18" s="21"/>
    </row>
    <row r="19" spans="6:17" ht="15.75" thickBot="1">
      <c r="F19" s="10">
        <v>16</v>
      </c>
      <c r="G19" s="11">
        <v>16</v>
      </c>
      <c r="I19">
        <f>TDIST(I16,10+10-2,2)</f>
        <v>1.2245902851004925E-4</v>
      </c>
      <c r="J19" s="1" t="s">
        <v>16</v>
      </c>
      <c r="K19" s="1">
        <v>1.2245902851004925E-4</v>
      </c>
      <c r="L19" s="1"/>
      <c r="Q19" s="21"/>
    </row>
    <row r="20" spans="6:17" ht="15.75" thickBot="1">
      <c r="I20">
        <f>TINV(0.05,10+10-2)</f>
        <v>2.1009220368611805</v>
      </c>
      <c r="J20" s="2" t="s">
        <v>17</v>
      </c>
      <c r="K20" s="2">
        <v>2.1009220368611805</v>
      </c>
      <c r="L20" s="2"/>
      <c r="Q20" s="21"/>
    </row>
    <row r="21" spans="6:17">
      <c r="Q21" s="21"/>
    </row>
    <row r="22" spans="6:17">
      <c r="F22" t="s">
        <v>21</v>
      </c>
      <c r="Q22" s="21"/>
    </row>
    <row r="23" spans="6:17">
      <c r="F23" s="12">
        <f>AVERAGE(F7:F16)</f>
        <v>80.185940734809265</v>
      </c>
      <c r="G23" s="12">
        <f>AVERAGE(G7:G16)</f>
        <v>69.912558905634796</v>
      </c>
      <c r="Q23" s="21"/>
    </row>
    <row r="24" spans="6:17">
      <c r="J24" t="s">
        <v>18</v>
      </c>
      <c r="Q24" s="21"/>
    </row>
    <row r="25" spans="6:17" ht="15.75" thickBot="1">
      <c r="F25" t="s">
        <v>19</v>
      </c>
      <c r="Q25" s="21"/>
    </row>
    <row r="26" spans="6:17">
      <c r="F26">
        <f>VAR(F7:F16)</f>
        <v>26.724859212157348</v>
      </c>
      <c r="G26">
        <f>VAR(G7:G16)</f>
        <v>17.731802098600991</v>
      </c>
      <c r="J26" s="3"/>
      <c r="K26" s="3" t="s">
        <v>5</v>
      </c>
      <c r="L26" s="3" t="s">
        <v>6</v>
      </c>
      <c r="Q26" s="21"/>
    </row>
    <row r="27" spans="6:17">
      <c r="J27" s="1" t="s">
        <v>7</v>
      </c>
      <c r="K27" s="1">
        <v>80.185940734809265</v>
      </c>
      <c r="L27" s="1">
        <v>69.912558905634796</v>
      </c>
      <c r="Q27" s="21"/>
    </row>
    <row r="28" spans="6:17">
      <c r="F28" t="s">
        <v>20</v>
      </c>
      <c r="J28" s="1" t="s">
        <v>8</v>
      </c>
      <c r="K28" s="1">
        <v>26.724859212157348</v>
      </c>
      <c r="L28" s="1">
        <v>17.731802098600991</v>
      </c>
      <c r="Q28" s="21"/>
    </row>
    <row r="29" spans="6:17">
      <c r="F29">
        <f>((10-1)*F26+(10-1)*G26)/(10+10-2)</f>
        <v>22.228330655379168</v>
      </c>
      <c r="J29" s="1" t="s">
        <v>9</v>
      </c>
      <c r="K29" s="1">
        <v>10</v>
      </c>
      <c r="L29" s="1">
        <v>10</v>
      </c>
      <c r="Q29" s="21"/>
    </row>
    <row r="30" spans="6:17">
      <c r="J30" s="1" t="s">
        <v>11</v>
      </c>
      <c r="K30" s="1">
        <v>0</v>
      </c>
      <c r="L30" s="1"/>
      <c r="Q30" s="21"/>
    </row>
    <row r="31" spans="6:17">
      <c r="J31" s="1" t="s">
        <v>12</v>
      </c>
      <c r="K31" s="1">
        <v>17</v>
      </c>
      <c r="L31" s="1"/>
      <c r="Q31" s="21"/>
    </row>
    <row r="32" spans="6:17">
      <c r="J32" s="1" t="s">
        <v>13</v>
      </c>
      <c r="K32" s="1">
        <v>4.8724232593143535</v>
      </c>
      <c r="L32" s="1"/>
      <c r="Q32" s="21"/>
    </row>
    <row r="33" spans="10:17">
      <c r="J33" s="1" t="s">
        <v>14</v>
      </c>
      <c r="K33" s="1">
        <v>7.1612394194153561E-5</v>
      </c>
      <c r="L33" s="1"/>
      <c r="Q33" s="21"/>
    </row>
    <row r="34" spans="10:17">
      <c r="J34" s="1" t="s">
        <v>15</v>
      </c>
      <c r="K34" s="1">
        <v>1.7396067156488346</v>
      </c>
      <c r="L34" s="1"/>
      <c r="Q34" s="21"/>
    </row>
    <row r="35" spans="10:17">
      <c r="J35" s="1" t="s">
        <v>16</v>
      </c>
      <c r="K35" s="1">
        <v>1.4322478838830712E-4</v>
      </c>
      <c r="L35" s="1"/>
      <c r="Q35" s="21"/>
    </row>
    <row r="36" spans="10:17" ht="15.75" thickBot="1">
      <c r="J36" s="2" t="s">
        <v>17</v>
      </c>
      <c r="K36" s="2">
        <v>2.1098155585926612</v>
      </c>
      <c r="L36" s="2"/>
      <c r="Q36" s="21"/>
    </row>
    <row r="37" spans="10:17">
      <c r="Q37" s="21"/>
    </row>
    <row r="38" spans="10:17">
      <c r="Q38" s="21"/>
    </row>
    <row r="39" spans="10:17">
      <c r="J39" s="14"/>
      <c r="K39" s="14"/>
      <c r="L39" s="14"/>
      <c r="Q39" s="21"/>
    </row>
    <row r="40" spans="10:17">
      <c r="J40" s="14"/>
      <c r="K40" s="14"/>
      <c r="L40" s="14"/>
      <c r="Q40" s="21"/>
    </row>
    <row r="41" spans="10:17">
      <c r="J41" s="24"/>
      <c r="K41" s="24"/>
      <c r="L41" s="24"/>
      <c r="Q41" s="21"/>
    </row>
    <row r="42" spans="10:17">
      <c r="J42" s="1"/>
      <c r="K42" s="1"/>
      <c r="L42" s="1"/>
      <c r="Q42" s="21"/>
    </row>
    <row r="43" spans="10:17">
      <c r="J43" s="1"/>
      <c r="K43" s="1"/>
      <c r="L43" s="1"/>
      <c r="Q43" s="21"/>
    </row>
    <row r="44" spans="10:17">
      <c r="J44" s="1"/>
      <c r="K44" s="1"/>
      <c r="L44" s="1"/>
      <c r="Q44" s="21"/>
    </row>
    <row r="45" spans="10:17">
      <c r="J45" s="1"/>
      <c r="K45" s="1"/>
      <c r="L45" s="1"/>
      <c r="Q45" s="21"/>
    </row>
    <row r="46" spans="10:17">
      <c r="J46" s="1"/>
      <c r="K46" s="1"/>
      <c r="L46" s="1"/>
      <c r="Q46" s="21"/>
    </row>
    <row r="47" spans="10:17">
      <c r="J47" s="1"/>
      <c r="K47" s="1"/>
      <c r="L47" s="1"/>
      <c r="Q47" s="21"/>
    </row>
    <row r="48" spans="10:17">
      <c r="J48" s="1"/>
      <c r="K48" s="1"/>
      <c r="L48" s="1"/>
      <c r="Q48" s="21"/>
    </row>
    <row r="49" spans="10:17">
      <c r="J49" s="1"/>
      <c r="K49" s="1"/>
      <c r="L49" s="1"/>
      <c r="Q49" s="21"/>
    </row>
    <row r="50" spans="10:17">
      <c r="J50" s="1"/>
      <c r="K50" s="1"/>
      <c r="L50" s="1"/>
      <c r="Q50" s="21"/>
    </row>
    <row r="51" spans="10:17">
      <c r="J51" s="1"/>
      <c r="K51" s="1"/>
      <c r="L51" s="1"/>
      <c r="Q51" s="21"/>
    </row>
    <row r="52" spans="10:17">
      <c r="J52" s="1"/>
      <c r="K52" s="1"/>
      <c r="L52" s="1"/>
      <c r="Q52" s="21"/>
    </row>
    <row r="53" spans="10:17">
      <c r="Q53" s="21"/>
    </row>
    <row r="54" spans="10:17">
      <c r="Q54" s="21"/>
    </row>
    <row r="55" spans="10:17">
      <c r="Q55" s="21"/>
    </row>
    <row r="56" spans="10:17">
      <c r="Q56" s="21"/>
    </row>
    <row r="57" spans="10:17">
      <c r="Q57" s="21"/>
    </row>
    <row r="58" spans="10:17">
      <c r="Q58" s="21"/>
    </row>
    <row r="59" spans="10:17">
      <c r="Q59" s="21"/>
    </row>
    <row r="60" spans="10:17">
      <c r="Q60" s="21"/>
    </row>
    <row r="61" spans="10:17">
      <c r="Q61" s="21"/>
    </row>
    <row r="62" spans="10:17">
      <c r="Q62" s="21"/>
    </row>
    <row r="63" spans="10:17">
      <c r="Q63" s="21"/>
    </row>
    <row r="64" spans="10:17">
      <c r="Q64" s="21"/>
    </row>
    <row r="65" spans="17:17">
      <c r="Q65" s="21"/>
    </row>
    <row r="66" spans="17:17">
      <c r="Q66" s="21"/>
    </row>
    <row r="67" spans="17:17">
      <c r="Q67" s="21"/>
    </row>
    <row r="68" spans="17:17">
      <c r="Q68" s="21"/>
    </row>
    <row r="69" spans="17:17">
      <c r="Q69" s="21"/>
    </row>
    <row r="70" spans="17:17">
      <c r="Q70" s="21"/>
    </row>
    <row r="71" spans="17:17">
      <c r="Q71" s="21"/>
    </row>
    <row r="72" spans="17:17">
      <c r="Q72" s="21"/>
    </row>
    <row r="73" spans="17:17">
      <c r="Q73" s="21"/>
    </row>
    <row r="74" spans="17:17">
      <c r="Q74" s="21"/>
    </row>
    <row r="75" spans="17:17">
      <c r="Q75" s="21"/>
    </row>
    <row r="76" spans="17:17">
      <c r="Q76" s="21"/>
    </row>
    <row r="77" spans="17:17">
      <c r="Q77" s="21"/>
    </row>
    <row r="78" spans="17:17">
      <c r="Q78" s="21"/>
    </row>
    <row r="79" spans="17:17">
      <c r="Q79" s="21"/>
    </row>
    <row r="80" spans="17:17">
      <c r="Q80" s="21"/>
    </row>
    <row r="81" spans="17:17">
      <c r="Q81" s="21"/>
    </row>
    <row r="82" spans="17:17">
      <c r="Q82" s="21"/>
    </row>
    <row r="83" spans="17:17">
      <c r="Q83" s="21"/>
    </row>
    <row r="84" spans="17:17">
      <c r="Q84" s="21"/>
    </row>
    <row r="85" spans="17:17">
      <c r="Q85" s="21"/>
    </row>
    <row r="86" spans="17:17">
      <c r="Q86" s="21"/>
    </row>
    <row r="87" spans="17:17">
      <c r="Q87" s="21"/>
    </row>
    <row r="88" spans="17:17">
      <c r="Q88" s="21"/>
    </row>
    <row r="89" spans="17:17">
      <c r="Q89" s="21"/>
    </row>
    <row r="90" spans="17:17">
      <c r="Q90" s="21"/>
    </row>
    <row r="91" spans="17:17">
      <c r="Q91" s="21"/>
    </row>
    <row r="92" spans="17:17">
      <c r="Q92" s="21"/>
    </row>
    <row r="93" spans="17:17">
      <c r="Q93" s="21"/>
    </row>
    <row r="94" spans="17:17">
      <c r="Q94" s="21"/>
    </row>
    <row r="95" spans="17:17">
      <c r="Q95" s="21"/>
    </row>
    <row r="96" spans="17:17">
      <c r="Q96" s="21"/>
    </row>
    <row r="97" spans="17:17">
      <c r="Q97" s="21"/>
    </row>
    <row r="98" spans="17:17">
      <c r="Q98" s="21"/>
    </row>
    <row r="99" spans="17:17">
      <c r="Q99" s="21"/>
    </row>
    <row r="100" spans="17:17">
      <c r="Q100" s="21"/>
    </row>
    <row r="101" spans="17:17">
      <c r="Q101" s="21"/>
    </row>
    <row r="102" spans="17:17">
      <c r="Q102" s="21"/>
    </row>
    <row r="103" spans="17:17">
      <c r="Q103" s="21"/>
    </row>
    <row r="104" spans="17:17">
      <c r="Q104" s="21"/>
    </row>
    <row r="105" spans="17:17">
      <c r="Q105" s="21"/>
    </row>
    <row r="106" spans="17:17">
      <c r="Q106" s="21"/>
    </row>
    <row r="107" spans="17:17">
      <c r="Q107" s="2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6:M57"/>
  <sheetViews>
    <sheetView topLeftCell="A16" zoomScaleNormal="100" workbookViewId="0">
      <selection activeCell="I26" sqref="I26"/>
    </sheetView>
  </sheetViews>
  <sheetFormatPr defaultRowHeight="15"/>
  <cols>
    <col min="6" max="7" width="11.5703125" bestFit="1" customWidth="1"/>
    <col min="10" max="10" width="34.28515625" customWidth="1"/>
    <col min="11" max="11" width="13.85546875" customWidth="1"/>
    <col min="12" max="12" width="17.5703125" customWidth="1"/>
    <col min="13" max="13" width="15.7109375" customWidth="1"/>
  </cols>
  <sheetData>
    <row r="6" spans="6:12">
      <c r="F6">
        <v>16.186588759883307</v>
      </c>
      <c r="G6">
        <v>10.941112148211687</v>
      </c>
      <c r="J6" t="s">
        <v>24</v>
      </c>
    </row>
    <row r="7" spans="6:12" ht="15.75" thickBot="1">
      <c r="F7">
        <v>20.33541596167197</v>
      </c>
      <c r="G7">
        <v>11.002543967842939</v>
      </c>
    </row>
    <row r="8" spans="6:12">
      <c r="F8">
        <v>14.888989931496326</v>
      </c>
      <c r="G8">
        <v>6.4049493428319693</v>
      </c>
      <c r="J8" s="3"/>
      <c r="K8" s="3" t="s">
        <v>5</v>
      </c>
      <c r="L8" s="3" t="s">
        <v>6</v>
      </c>
    </row>
    <row r="9" spans="6:12">
      <c r="F9">
        <v>24.942880877933931</v>
      </c>
      <c r="G9">
        <v>9.2677021509734914</v>
      </c>
      <c r="J9" s="1" t="s">
        <v>7</v>
      </c>
      <c r="K9" s="1">
        <v>19.774668481222761</v>
      </c>
      <c r="L9" s="1">
        <v>9.369702095464163</v>
      </c>
    </row>
    <row r="10" spans="6:12">
      <c r="F10">
        <v>23.134960024908651</v>
      </c>
      <c r="G10">
        <v>3.7382926873397082</v>
      </c>
      <c r="J10" s="1" t="s">
        <v>8</v>
      </c>
      <c r="K10" s="1">
        <v>12.834820784607777</v>
      </c>
      <c r="L10" s="1">
        <v>10.257320826206625</v>
      </c>
    </row>
    <row r="11" spans="6:12">
      <c r="F11">
        <v>18.260782376746647</v>
      </c>
      <c r="G11">
        <v>6.5018787406734191</v>
      </c>
      <c r="J11" s="1" t="s">
        <v>9</v>
      </c>
      <c r="K11" s="1">
        <v>10</v>
      </c>
      <c r="L11" s="1">
        <v>10</v>
      </c>
    </row>
    <row r="12" spans="6:12">
      <c r="F12">
        <v>16.324131643632427</v>
      </c>
      <c r="G12">
        <v>8.5052374995575519</v>
      </c>
      <c r="J12" s="1" t="s">
        <v>12</v>
      </c>
      <c r="K12" s="1">
        <v>9</v>
      </c>
      <c r="L12" s="1">
        <v>9</v>
      </c>
    </row>
    <row r="13" spans="6:12">
      <c r="F13">
        <v>17.645904841192532</v>
      </c>
      <c r="G13">
        <v>11.847886323957937</v>
      </c>
      <c r="I13">
        <f>F24/G24</f>
        <v>1.2512839368167024</v>
      </c>
      <c r="J13" s="1" t="s">
        <v>25</v>
      </c>
      <c r="K13" s="1">
        <v>1.2512839368167024</v>
      </c>
      <c r="L13" s="1"/>
    </row>
    <row r="14" spans="6:12">
      <c r="F14">
        <v>22.404067345196381</v>
      </c>
      <c r="G14">
        <v>10.6477011993411</v>
      </c>
      <c r="I14">
        <f>FDIST(I13,9,9)</f>
        <v>0.37193593434703776</v>
      </c>
      <c r="J14" s="1" t="s">
        <v>26</v>
      </c>
      <c r="K14" s="1">
        <v>0.37193593434703776</v>
      </c>
      <c r="L14" s="1"/>
    </row>
    <row r="15" spans="6:12" ht="15.75" thickBot="1">
      <c r="F15">
        <v>23.622963049565442</v>
      </c>
      <c r="G15">
        <v>14.839716893911827</v>
      </c>
      <c r="I15">
        <f>FINV(0.05,9,9)</f>
        <v>3.1788931045809843</v>
      </c>
      <c r="J15" s="2" t="s">
        <v>27</v>
      </c>
      <c r="K15" s="2">
        <v>3.1788931045809843</v>
      </c>
      <c r="L15" s="2"/>
    </row>
    <row r="16" spans="6:12">
      <c r="F16" s="13"/>
      <c r="G16" s="13"/>
    </row>
    <row r="17" spans="6:13">
      <c r="F17" t="s">
        <v>28</v>
      </c>
      <c r="J17" t="s">
        <v>82</v>
      </c>
      <c r="K17">
        <f>FINV(0.025,K12,L12)</f>
        <v>4.0259941583298566</v>
      </c>
    </row>
    <row r="18" spans="6:13">
      <c r="F18">
        <v>9</v>
      </c>
      <c r="G18">
        <v>9</v>
      </c>
      <c r="J18" t="s">
        <v>83</v>
      </c>
      <c r="K18">
        <f>FINV(1-0.025,K12,L12)</f>
        <v>0.24838585469156299</v>
      </c>
      <c r="L18" s="14"/>
    </row>
    <row r="19" spans="6:13">
      <c r="J19" s="14"/>
      <c r="K19" s="14"/>
      <c r="L19" s="14"/>
    </row>
    <row r="20" spans="6:13">
      <c r="F20" s="13" t="s">
        <v>22</v>
      </c>
      <c r="J20" s="14"/>
      <c r="K20" s="14"/>
      <c r="L20" s="14"/>
    </row>
    <row r="21" spans="6:13">
      <c r="F21" s="13">
        <f>AVERAGE(F6:F15)</f>
        <v>19.774668481222761</v>
      </c>
      <c r="G21" s="13">
        <f>AVERAGE(G6:G15)</f>
        <v>9.369702095464163</v>
      </c>
      <c r="J21" s="14"/>
      <c r="K21" s="14"/>
      <c r="L21" s="14"/>
      <c r="M21" s="14"/>
    </row>
    <row r="22" spans="6:13">
      <c r="F22" s="13"/>
      <c r="G22" s="13"/>
      <c r="J22" s="14"/>
      <c r="K22" s="14" t="s">
        <v>84</v>
      </c>
      <c r="L22" s="14" t="s">
        <v>85</v>
      </c>
      <c r="M22" s="14"/>
    </row>
    <row r="23" spans="6:13">
      <c r="F23" s="13" t="s">
        <v>23</v>
      </c>
      <c r="J23" s="1">
        <v>0</v>
      </c>
      <c r="K23" s="1">
        <f>-(FDIST(J23+0.0000001,$K$12,$L$12)-FDIST(J23,$K$12,$L$12))/0.0000001</f>
        <v>0</v>
      </c>
      <c r="L23" s="1" t="e">
        <f t="shared" ref="L23:L24" si="0">IF(AND(J23&gt;=$K$18,J23&lt;$K$17),K23,NA())</f>
        <v>#N/A</v>
      </c>
      <c r="M23" s="14"/>
    </row>
    <row r="24" spans="6:13">
      <c r="F24" s="13">
        <f>VAR(F6:F15)</f>
        <v>12.834820784607777</v>
      </c>
      <c r="G24" s="13">
        <f>VAR(G6:G15)</f>
        <v>10.257320826206625</v>
      </c>
      <c r="J24" s="1">
        <v>0.2</v>
      </c>
      <c r="K24" s="1">
        <f t="shared" ref="K24:K45" si="1">-(FDIST(J24+0.0000001,$K$12,$L$12)-FDIST(J24,$K$12,$L$12))/0.0000001</f>
        <v>0.20663600941439597</v>
      </c>
      <c r="L24" s="1" t="e">
        <f t="shared" si="0"/>
        <v>#N/A</v>
      </c>
      <c r="M24" s="14"/>
    </row>
    <row r="25" spans="6:13">
      <c r="J25" s="1">
        <v>0.4</v>
      </c>
      <c r="K25" s="1">
        <f t="shared" si="1"/>
        <v>0.58383444967446962</v>
      </c>
      <c r="L25" s="1">
        <f>IF(AND(J25&gt;=$K$18,J25&lt;$K$17),K25,NA())</f>
        <v>0.58383444967446962</v>
      </c>
      <c r="M25" s="14"/>
    </row>
    <row r="26" spans="6:13">
      <c r="J26" s="1">
        <v>0.6</v>
      </c>
      <c r="K26" s="1">
        <f t="shared" si="1"/>
        <v>0.72557373775872236</v>
      </c>
      <c r="L26" s="1">
        <f t="shared" ref="L26:L45" si="2">IF(AND(J26&gt;=$K$18,J26&lt;$K$17),K26,NA())</f>
        <v>0.72557373775872236</v>
      </c>
      <c r="M26" s="14"/>
    </row>
    <row r="27" spans="6:13">
      <c r="J27" s="1">
        <v>0.8</v>
      </c>
      <c r="K27" s="1">
        <f t="shared" si="1"/>
        <v>0.68800946273483987</v>
      </c>
      <c r="L27" s="1">
        <f t="shared" si="2"/>
        <v>0.68800946273483987</v>
      </c>
      <c r="M27" s="14"/>
    </row>
    <row r="28" spans="6:13">
      <c r="J28" s="1">
        <v>1</v>
      </c>
      <c r="K28" s="1">
        <f t="shared" si="1"/>
        <v>0.58205233466335216</v>
      </c>
      <c r="L28" s="1">
        <f t="shared" si="2"/>
        <v>0.58205233466335216</v>
      </c>
      <c r="M28" s="14"/>
    </row>
    <row r="29" spans="6:13">
      <c r="J29" s="1">
        <v>1.2</v>
      </c>
      <c r="K29" s="1">
        <f t="shared" si="1"/>
        <v>0.46726390312556987</v>
      </c>
      <c r="L29" s="1">
        <f t="shared" si="2"/>
        <v>0.46726390312556987</v>
      </c>
      <c r="M29" s="14"/>
    </row>
    <row r="30" spans="6:13">
      <c r="J30" s="1">
        <v>1.4</v>
      </c>
      <c r="K30" s="1">
        <f t="shared" si="1"/>
        <v>0.36625109833821057</v>
      </c>
      <c r="L30" s="1">
        <f t="shared" si="2"/>
        <v>0.36625109833821057</v>
      </c>
      <c r="M30" s="14"/>
    </row>
    <row r="31" spans="6:13">
      <c r="J31" s="1">
        <v>1.6</v>
      </c>
      <c r="K31" s="1">
        <f t="shared" si="1"/>
        <v>0.28437525584346091</v>
      </c>
      <c r="L31" s="1">
        <f t="shared" si="2"/>
        <v>0.28437525584346091</v>
      </c>
      <c r="M31" s="14"/>
    </row>
    <row r="32" spans="6:13">
      <c r="J32" s="1">
        <v>1.8</v>
      </c>
      <c r="K32" s="1">
        <f t="shared" si="1"/>
        <v>0.22042633190944017</v>
      </c>
      <c r="L32" s="1">
        <f t="shared" si="2"/>
        <v>0.22042633190944017</v>
      </c>
      <c r="M32" s="14"/>
    </row>
    <row r="33" spans="10:13">
      <c r="J33" s="1">
        <v>2</v>
      </c>
      <c r="K33" s="1">
        <f t="shared" si="1"/>
        <v>0.17129539009452799</v>
      </c>
      <c r="L33" s="1">
        <f t="shared" si="2"/>
        <v>0.17129539009452799</v>
      </c>
      <c r="M33" s="14"/>
    </row>
    <row r="34" spans="10:13">
      <c r="J34" s="1">
        <v>2.2000000000000002</v>
      </c>
      <c r="K34" s="1">
        <f t="shared" si="1"/>
        <v>0.13377087437760338</v>
      </c>
      <c r="L34" s="1">
        <f t="shared" si="2"/>
        <v>0.13377087437760338</v>
      </c>
      <c r="M34" s="14"/>
    </row>
    <row r="35" spans="10:13">
      <c r="J35" s="1">
        <v>2.4</v>
      </c>
      <c r="K35" s="1">
        <f t="shared" si="1"/>
        <v>0.10511412448788171</v>
      </c>
      <c r="L35" s="1">
        <f t="shared" si="2"/>
        <v>0.10511412448788171</v>
      </c>
      <c r="M35" s="14"/>
    </row>
    <row r="36" spans="10:13">
      <c r="J36" s="1">
        <v>2.6</v>
      </c>
      <c r="K36" s="1">
        <f t="shared" si="1"/>
        <v>8.3160330843767838E-2</v>
      </c>
      <c r="L36" s="1">
        <f t="shared" si="2"/>
        <v>8.3160330843767838E-2</v>
      </c>
      <c r="M36" s="14"/>
    </row>
    <row r="37" spans="10:13">
      <c r="J37" s="1">
        <v>2.8</v>
      </c>
      <c r="K37" s="1">
        <f t="shared" si="1"/>
        <v>6.625714699115548E-2</v>
      </c>
      <c r="L37" s="1">
        <f t="shared" si="2"/>
        <v>6.625714699115548E-2</v>
      </c>
      <c r="M37" s="14"/>
    </row>
    <row r="38" spans="10:13">
      <c r="J38" s="1">
        <v>3</v>
      </c>
      <c r="K38" s="1">
        <f t="shared" si="1"/>
        <v>5.3163855540105942E-2</v>
      </c>
      <c r="L38" s="1">
        <f t="shared" si="2"/>
        <v>5.3163855540105942E-2</v>
      </c>
      <c r="M38" s="14"/>
    </row>
    <row r="39" spans="10:13">
      <c r="J39" s="1">
        <v>3.2</v>
      </c>
      <c r="K39" s="1">
        <f t="shared" si="1"/>
        <v>4.2954958687224654E-2</v>
      </c>
      <c r="L39" s="1">
        <f t="shared" si="2"/>
        <v>4.2954958687224654E-2</v>
      </c>
      <c r="M39" s="14"/>
    </row>
    <row r="40" spans="10:13">
      <c r="J40" s="1">
        <v>3.4</v>
      </c>
      <c r="K40" s="1">
        <f t="shared" si="1"/>
        <v>3.4940902740587809E-2</v>
      </c>
      <c r="L40" s="1">
        <f t="shared" si="2"/>
        <v>3.4940902740587809E-2</v>
      </c>
      <c r="M40" s="14"/>
    </row>
    <row r="41" spans="10:13">
      <c r="J41" s="1">
        <v>3.6</v>
      </c>
      <c r="K41" s="1">
        <f t="shared" si="1"/>
        <v>2.8606864654889819E-2</v>
      </c>
      <c r="L41" s="1">
        <f t="shared" si="2"/>
        <v>2.8606864654889819E-2</v>
      </c>
      <c r="M41" s="14"/>
    </row>
    <row r="42" spans="10:13">
      <c r="J42" s="1">
        <v>3.8</v>
      </c>
      <c r="K42" s="1">
        <f t="shared" si="1"/>
        <v>2.3566953909204269E-2</v>
      </c>
      <c r="L42" s="1">
        <f t="shared" si="2"/>
        <v>2.3566953909204269E-2</v>
      </c>
      <c r="M42" s="14"/>
    </row>
    <row r="43" spans="10:13">
      <c r="J43" s="1">
        <v>4</v>
      </c>
      <c r="K43" s="1">
        <f t="shared" si="1"/>
        <v>1.9530435810266589E-2</v>
      </c>
      <c r="L43" s="1">
        <f t="shared" si="2"/>
        <v>1.9530435810266589E-2</v>
      </c>
      <c r="M43" s="14"/>
    </row>
    <row r="44" spans="10:13">
      <c r="J44" s="1">
        <v>4.2</v>
      </c>
      <c r="K44" s="1">
        <f t="shared" si="1"/>
        <v>1.627700214196226E-2</v>
      </c>
      <c r="L44" s="1" t="e">
        <f t="shared" si="2"/>
        <v>#N/A</v>
      </c>
      <c r="M44" s="14"/>
    </row>
    <row r="45" spans="10:13">
      <c r="J45" s="1">
        <v>4.4000000000000004</v>
      </c>
      <c r="K45" s="1">
        <f t="shared" si="1"/>
        <v>1.3638685875116963E-2</v>
      </c>
      <c r="L45" s="1" t="e">
        <f t="shared" si="2"/>
        <v>#N/A</v>
      </c>
      <c r="M45" s="14"/>
    </row>
    <row r="46" spans="10:13">
      <c r="J46" s="1"/>
      <c r="K46" s="1"/>
    </row>
    <row r="47" spans="10:13">
      <c r="J47" s="1"/>
      <c r="K47" s="1"/>
    </row>
    <row r="48" spans="10:13">
      <c r="J48" s="1"/>
      <c r="K48" s="1"/>
    </row>
    <row r="49" spans="10:11">
      <c r="J49" s="1"/>
      <c r="K49" s="1"/>
    </row>
    <row r="50" spans="10:11">
      <c r="J50" s="1"/>
      <c r="K50" s="1"/>
    </row>
    <row r="51" spans="10:11">
      <c r="J51" s="1"/>
      <c r="K51" s="1"/>
    </row>
    <row r="52" spans="10:11">
      <c r="J52" s="1"/>
      <c r="K52" s="1"/>
    </row>
    <row r="53" spans="10:11">
      <c r="J53" s="1"/>
      <c r="K53" s="1"/>
    </row>
    <row r="54" spans="10:11">
      <c r="J54" s="1"/>
      <c r="K54" s="1"/>
    </row>
    <row r="55" spans="10:11">
      <c r="J55" s="1"/>
      <c r="K55" s="1"/>
    </row>
    <row r="56" spans="10:11">
      <c r="J56" s="1"/>
      <c r="K56" s="1"/>
    </row>
    <row r="57" spans="10:11">
      <c r="J57" s="1"/>
      <c r="K57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V179"/>
  <sheetViews>
    <sheetView topLeftCell="F37" zoomScale="70" zoomScaleNormal="70" workbookViewId="0">
      <selection activeCell="Q30" sqref="Q30"/>
    </sheetView>
  </sheetViews>
  <sheetFormatPr defaultRowHeight="15"/>
  <cols>
    <col min="2" max="2" width="10.5703125" customWidth="1"/>
    <col min="4" max="5" width="11" customWidth="1"/>
    <col min="6" max="6" width="10.7109375" customWidth="1"/>
    <col min="12" max="12" width="14.5703125" customWidth="1"/>
    <col min="13" max="13" width="23.7109375" customWidth="1"/>
    <col min="14" max="14" width="35" customWidth="1"/>
    <col min="15" max="15" width="23.140625" customWidth="1"/>
    <col min="16" max="16" width="28.28515625" customWidth="1"/>
    <col min="17" max="17" width="16" customWidth="1"/>
    <col min="18" max="18" width="17" customWidth="1"/>
    <col min="19" max="19" width="16.140625" customWidth="1"/>
    <col min="20" max="20" width="14.42578125" customWidth="1"/>
    <col min="21" max="21" width="15.140625" customWidth="1"/>
    <col min="22" max="22" width="17.140625" customWidth="1"/>
  </cols>
  <sheetData>
    <row r="3" spans="1:16">
      <c r="H3" t="s">
        <v>32</v>
      </c>
      <c r="I3">
        <v>0.4</v>
      </c>
    </row>
    <row r="4" spans="1:16">
      <c r="H4" t="s">
        <v>33</v>
      </c>
      <c r="I4">
        <v>50</v>
      </c>
    </row>
    <row r="7" spans="1:16" ht="30">
      <c r="A7" t="s">
        <v>64</v>
      </c>
      <c r="B7" t="s">
        <v>67</v>
      </c>
      <c r="C7" t="s">
        <v>68</v>
      </c>
      <c r="D7" t="s">
        <v>66</v>
      </c>
      <c r="E7" s="19" t="s">
        <v>69</v>
      </c>
      <c r="F7" s="19" t="s">
        <v>70</v>
      </c>
      <c r="H7" t="s">
        <v>29</v>
      </c>
      <c r="I7" s="17" t="s">
        <v>30</v>
      </c>
      <c r="J7" s="17" t="s">
        <v>34</v>
      </c>
      <c r="K7" t="s">
        <v>31</v>
      </c>
      <c r="L7" t="s">
        <v>60</v>
      </c>
    </row>
    <row r="8" spans="1:16">
      <c r="A8">
        <f>(L8-K8)^2</f>
        <v>0.50810160318539765</v>
      </c>
      <c r="B8">
        <f>(L8-$K$59)^2</f>
        <v>99.721832630213413</v>
      </c>
      <c r="C8">
        <f>(K8-$K$59)^2</f>
        <v>85.993526957404299</v>
      </c>
      <c r="D8">
        <f>(H8-$H$59)^2</f>
        <v>600.25</v>
      </c>
      <c r="E8">
        <f>L8+$P$14*2</f>
        <v>835.93028824937676</v>
      </c>
      <c r="F8">
        <f>L8-2*$P$14</f>
        <v>822.49972273653486</v>
      </c>
      <c r="H8">
        <v>1950</v>
      </c>
      <c r="I8" s="17">
        <f>H8*$I$3+$I$4</f>
        <v>830</v>
      </c>
      <c r="J8" s="17">
        <v>-7.218204700620845E-2</v>
      </c>
      <c r="K8">
        <f>I8+J8</f>
        <v>829.92781795299379</v>
      </c>
      <c r="L8">
        <f>$O$27*H8+$O$26</f>
        <v>829.21500549295581</v>
      </c>
      <c r="N8" t="s">
        <v>35</v>
      </c>
    </row>
    <row r="9" spans="1:16" ht="15.75" thickBot="1">
      <c r="A9">
        <f t="shared" ref="A9:A57" si="0">(L9-K9)^2</f>
        <v>2.0762649369540655E-3</v>
      </c>
      <c r="B9">
        <f t="shared" ref="B9:B57" si="1">(L9-$K$59)^2</f>
        <v>91.747408696436025</v>
      </c>
      <c r="C9">
        <f t="shared" ref="C9:C57" si="2">(K9-$K$59)^2</f>
        <v>92.622392580157026</v>
      </c>
      <c r="D9">
        <f t="shared" ref="D9:D57" si="3">(H9-$H$59)^2</f>
        <v>552.25</v>
      </c>
      <c r="E9">
        <f t="shared" ref="E9:E57" si="4">L9+$P$14*2</f>
        <v>836.337883430842</v>
      </c>
      <c r="F9">
        <f t="shared" ref="F9:F57" si="5">L9-2*$P$14</f>
        <v>822.9073179180001</v>
      </c>
      <c r="H9">
        <v>1951</v>
      </c>
      <c r="I9" s="17">
        <f t="shared" ref="I9:I57" si="6">H9*$I$3+$I$4</f>
        <v>830.40000000000009</v>
      </c>
      <c r="J9" s="17">
        <v>-0.82296537584625185</v>
      </c>
      <c r="K9">
        <f t="shared" ref="K9:K57" si="7">I9+J9</f>
        <v>829.57703462415384</v>
      </c>
      <c r="L9">
        <f>$O$27*H9+$O$26</f>
        <v>829.62260067442105</v>
      </c>
    </row>
    <row r="10" spans="1:16">
      <c r="A10">
        <f t="shared" si="0"/>
        <v>0.84733019428613243</v>
      </c>
      <c r="B10">
        <f t="shared" si="1"/>
        <v>84.105252426563936</v>
      </c>
      <c r="C10">
        <f t="shared" si="2"/>
        <v>101.83629309918801</v>
      </c>
      <c r="D10">
        <f t="shared" si="3"/>
        <v>506.25</v>
      </c>
      <c r="E10">
        <f t="shared" si="4"/>
        <v>836.74547861230735</v>
      </c>
      <c r="F10">
        <f t="shared" si="5"/>
        <v>823.31491309946546</v>
      </c>
      <c r="H10">
        <v>1952</v>
      </c>
      <c r="I10" s="17">
        <f t="shared" si="6"/>
        <v>830.80000000000007</v>
      </c>
      <c r="J10" s="17">
        <v>-1.6903095456655137</v>
      </c>
      <c r="K10">
        <f t="shared" si="7"/>
        <v>829.10969045433455</v>
      </c>
      <c r="L10">
        <f t="shared" ref="L8:L39" si="8">$O$27*H10+$O$26</f>
        <v>830.0301958558864</v>
      </c>
      <c r="N10" s="15" t="s">
        <v>36</v>
      </c>
      <c r="O10" s="15"/>
    </row>
    <row r="11" spans="1:16">
      <c r="A11">
        <f t="shared" si="0"/>
        <v>20.959840148745446</v>
      </c>
      <c r="B11">
        <f t="shared" si="1"/>
        <v>76.795363820601381</v>
      </c>
      <c r="C11">
        <f t="shared" si="2"/>
        <v>17.515100533607058</v>
      </c>
      <c r="D11">
        <f t="shared" si="3"/>
        <v>462.25</v>
      </c>
      <c r="E11">
        <f t="shared" si="4"/>
        <v>837.15307379377259</v>
      </c>
      <c r="F11">
        <f t="shared" si="5"/>
        <v>823.7225082809307</v>
      </c>
      <c r="H11">
        <v>1953</v>
      </c>
      <c r="I11" s="17">
        <f t="shared" si="6"/>
        <v>831.2</v>
      </c>
      <c r="J11" s="17">
        <v>3.815982836385956</v>
      </c>
      <c r="K11">
        <f t="shared" si="7"/>
        <v>835.015982836386</v>
      </c>
      <c r="L11">
        <f t="shared" si="8"/>
        <v>830.43779103735164</v>
      </c>
      <c r="N11" s="1" t="s">
        <v>37</v>
      </c>
      <c r="O11" s="1">
        <v>0.87276463556580686</v>
      </c>
    </row>
    <row r="12" spans="1:16">
      <c r="A12">
        <f t="shared" si="0"/>
        <v>1.1783702445107259E-3</v>
      </c>
      <c r="B12">
        <f t="shared" si="1"/>
        <v>69.817742878546184</v>
      </c>
      <c r="C12">
        <f t="shared" si="2"/>
        <v>70.392580209313337</v>
      </c>
      <c r="D12">
        <f t="shared" si="3"/>
        <v>420.25</v>
      </c>
      <c r="E12">
        <f t="shared" si="4"/>
        <v>837.56066897523783</v>
      </c>
      <c r="F12">
        <f t="shared" si="5"/>
        <v>824.13010346239594</v>
      </c>
      <c r="H12">
        <v>1954</v>
      </c>
      <c r="I12" s="17">
        <f t="shared" si="6"/>
        <v>831.6</v>
      </c>
      <c r="J12" s="17">
        <v>-0.7889411790529266</v>
      </c>
      <c r="K12">
        <f t="shared" si="7"/>
        <v>830.8110588209471</v>
      </c>
      <c r="L12">
        <f t="shared" si="8"/>
        <v>830.84538621881688</v>
      </c>
      <c r="N12" s="1" t="s">
        <v>38</v>
      </c>
      <c r="O12" s="1">
        <v>0.76171810909431559</v>
      </c>
      <c r="P12">
        <f>B60/C60</f>
        <v>0.76171810909431537</v>
      </c>
    </row>
    <row r="13" spans="1:16">
      <c r="A13">
        <f t="shared" si="0"/>
        <v>7.2813059184290685</v>
      </c>
      <c r="B13">
        <f t="shared" si="1"/>
        <v>63.172389600398354</v>
      </c>
      <c r="C13">
        <f t="shared" si="2"/>
        <v>27.559523687274947</v>
      </c>
      <c r="D13">
        <f t="shared" si="3"/>
        <v>380.25</v>
      </c>
      <c r="E13">
        <f t="shared" si="4"/>
        <v>837.96826415670307</v>
      </c>
      <c r="F13">
        <f t="shared" si="5"/>
        <v>824.53769864386118</v>
      </c>
      <c r="H13">
        <v>1955</v>
      </c>
      <c r="I13" s="17">
        <f t="shared" si="6"/>
        <v>832</v>
      </c>
      <c r="J13" s="17">
        <v>1.951370904862415</v>
      </c>
      <c r="K13">
        <f t="shared" si="7"/>
        <v>833.95137090486242</v>
      </c>
      <c r="L13">
        <f t="shared" si="8"/>
        <v>831.25298140028212</v>
      </c>
      <c r="N13" s="1" t="s">
        <v>39</v>
      </c>
      <c r="O13" s="1">
        <v>0.75675390303378043</v>
      </c>
    </row>
    <row r="14" spans="1:16">
      <c r="A14">
        <f t="shared" si="0"/>
        <v>4.6972141379383041</v>
      </c>
      <c r="B14">
        <f t="shared" si="1"/>
        <v>56.859303986156178</v>
      </c>
      <c r="C14">
        <f t="shared" si="2"/>
        <v>94.241702936611887</v>
      </c>
      <c r="D14">
        <f t="shared" si="3"/>
        <v>342.25</v>
      </c>
      <c r="E14">
        <f t="shared" si="4"/>
        <v>838.37585933816842</v>
      </c>
      <c r="F14">
        <f t="shared" si="5"/>
        <v>824.94529382532653</v>
      </c>
      <c r="H14">
        <v>1956</v>
      </c>
      <c r="I14" s="17">
        <f t="shared" si="6"/>
        <v>832.40000000000009</v>
      </c>
      <c r="J14" s="17">
        <v>-2.9067291507089976</v>
      </c>
      <c r="K14">
        <f t="shared" si="7"/>
        <v>829.49327084929109</v>
      </c>
      <c r="L14">
        <f t="shared" si="8"/>
        <v>831.66057658174748</v>
      </c>
      <c r="N14" s="1" t="s">
        <v>40</v>
      </c>
      <c r="O14" s="1">
        <v>3.3576413782104924</v>
      </c>
      <c r="P14" s="16">
        <f>SQRT(A60/48)</f>
        <v>3.3576413782104875</v>
      </c>
    </row>
    <row r="15" spans="1:16" ht="15.75" thickBot="1">
      <c r="A15">
        <f t="shared" si="0"/>
        <v>15.032643596109576</v>
      </c>
      <c r="B15">
        <f t="shared" si="1"/>
        <v>50.878486035823165</v>
      </c>
      <c r="C15">
        <f t="shared" si="2"/>
        <v>121.22254426891948</v>
      </c>
      <c r="D15">
        <f t="shared" si="3"/>
        <v>306.25</v>
      </c>
      <c r="E15">
        <f t="shared" si="4"/>
        <v>838.78345451963366</v>
      </c>
      <c r="F15">
        <f t="shared" si="5"/>
        <v>825.35288900679177</v>
      </c>
      <c r="H15">
        <v>1957</v>
      </c>
      <c r="I15" s="17">
        <f t="shared" si="6"/>
        <v>832.80000000000007</v>
      </c>
      <c r="J15" s="17">
        <v>-4.6090235628071241</v>
      </c>
      <c r="K15">
        <f t="shared" si="7"/>
        <v>828.19097643719294</v>
      </c>
      <c r="L15">
        <f>$O$27*H15+$O$26</f>
        <v>832.06817176321272</v>
      </c>
      <c r="N15" s="2" t="s">
        <v>9</v>
      </c>
      <c r="O15" s="2">
        <v>50</v>
      </c>
    </row>
    <row r="16" spans="1:16">
      <c r="A16">
        <f t="shared" si="0"/>
        <v>5.5970658272598568</v>
      </c>
      <c r="B16">
        <f t="shared" si="1"/>
        <v>45.229935749397519</v>
      </c>
      <c r="C16">
        <f t="shared" si="2"/>
        <v>19.005315401841827</v>
      </c>
      <c r="D16">
        <f t="shared" si="3"/>
        <v>272.25</v>
      </c>
      <c r="E16">
        <f t="shared" si="4"/>
        <v>839.1910497010989</v>
      </c>
      <c r="F16">
        <f t="shared" si="5"/>
        <v>825.76048418825701</v>
      </c>
      <c r="H16">
        <v>1958</v>
      </c>
      <c r="I16" s="17">
        <f t="shared" si="6"/>
        <v>833.2</v>
      </c>
      <c r="J16" s="17">
        <v>1.6415788195445202</v>
      </c>
      <c r="K16">
        <f t="shared" si="7"/>
        <v>834.84157881954457</v>
      </c>
      <c r="L16">
        <f t="shared" si="8"/>
        <v>832.47576694467796</v>
      </c>
    </row>
    <row r="17" spans="1:22" ht="15.75" thickBot="1">
      <c r="A17">
        <f t="shared" si="0"/>
        <v>7.9639207014098252</v>
      </c>
      <c r="B17">
        <f t="shared" si="1"/>
        <v>39.913653126877804</v>
      </c>
      <c r="C17">
        <f t="shared" si="2"/>
        <v>12.219802254279633</v>
      </c>
      <c r="D17">
        <f t="shared" si="3"/>
        <v>240.25</v>
      </c>
      <c r="E17">
        <f t="shared" si="4"/>
        <v>839.59864488256426</v>
      </c>
      <c r="F17">
        <f t="shared" si="5"/>
        <v>826.16807936972236</v>
      </c>
      <c r="H17">
        <v>1959</v>
      </c>
      <c r="I17" s="17">
        <f t="shared" si="6"/>
        <v>833.6</v>
      </c>
      <c r="J17" s="17">
        <v>2.1054040644230554</v>
      </c>
      <c r="K17">
        <f t="shared" si="7"/>
        <v>835.70540406442308</v>
      </c>
      <c r="L17">
        <f t="shared" si="8"/>
        <v>832.88336212614331</v>
      </c>
      <c r="N17" t="s">
        <v>41</v>
      </c>
    </row>
    <row r="18" spans="1:22">
      <c r="A18">
        <f t="shared" si="0"/>
        <v>4.1368976239436597</v>
      </c>
      <c r="B18">
        <f t="shared" si="1"/>
        <v>34.929638168266976</v>
      </c>
      <c r="C18">
        <f t="shared" si="2"/>
        <v>63.108194399179951</v>
      </c>
      <c r="D18">
        <f t="shared" si="3"/>
        <v>210.25</v>
      </c>
      <c r="E18">
        <f t="shared" si="4"/>
        <v>840.0062400640295</v>
      </c>
      <c r="F18">
        <f t="shared" si="5"/>
        <v>826.5756745511876</v>
      </c>
      <c r="H18">
        <v>1960</v>
      </c>
      <c r="I18" s="17">
        <f t="shared" si="6"/>
        <v>834</v>
      </c>
      <c r="J18" s="17">
        <v>-2.7429791771282908</v>
      </c>
      <c r="K18">
        <f t="shared" si="7"/>
        <v>831.25702082287171</v>
      </c>
      <c r="L18">
        <f t="shared" si="8"/>
        <v>833.29095730760855</v>
      </c>
      <c r="N18" s="3"/>
      <c r="O18" s="3" t="s">
        <v>12</v>
      </c>
      <c r="P18" s="3" t="s">
        <v>46</v>
      </c>
      <c r="Q18" s="3" t="s">
        <v>47</v>
      </c>
      <c r="R18" s="3" t="s">
        <v>25</v>
      </c>
      <c r="S18" s="3" t="s">
        <v>48</v>
      </c>
    </row>
    <row r="19" spans="1:22">
      <c r="A19">
        <f t="shared" si="0"/>
        <v>11.822216324368201</v>
      </c>
      <c r="B19">
        <f t="shared" si="1"/>
        <v>30.277890873563518</v>
      </c>
      <c r="C19">
        <f t="shared" si="2"/>
        <v>79.939334238286634</v>
      </c>
      <c r="D19">
        <f t="shared" si="3"/>
        <v>182.25</v>
      </c>
      <c r="E19">
        <f t="shared" si="4"/>
        <v>840.41383524549474</v>
      </c>
      <c r="F19">
        <f t="shared" si="5"/>
        <v>826.98326973265284</v>
      </c>
      <c r="H19">
        <v>1961</v>
      </c>
      <c r="I19" s="17">
        <f t="shared" si="6"/>
        <v>834.40000000000009</v>
      </c>
      <c r="J19" s="17">
        <v>-4.1397925087949261</v>
      </c>
      <c r="K19">
        <f t="shared" si="7"/>
        <v>830.26020749120516</v>
      </c>
      <c r="L19">
        <f t="shared" si="8"/>
        <v>833.69855248907379</v>
      </c>
      <c r="N19" s="1" t="s">
        <v>42</v>
      </c>
      <c r="O19" s="1">
        <v>1</v>
      </c>
      <c r="P19" s="1">
        <v>1729.8685252179789</v>
      </c>
      <c r="Q19" s="1">
        <v>1729.8685252179789</v>
      </c>
      <c r="R19" s="1">
        <v>153.4420811315415</v>
      </c>
      <c r="S19" s="1">
        <v>1.4644269785129825E-16</v>
      </c>
    </row>
    <row r="20" spans="1:22">
      <c r="A20">
        <f t="shared" si="0"/>
        <v>5.0223944617553293</v>
      </c>
      <c r="B20">
        <f t="shared" si="1"/>
        <v>25.958411242767419</v>
      </c>
      <c r="C20">
        <f t="shared" si="2"/>
        <v>8.1445730150757125</v>
      </c>
      <c r="D20">
        <f t="shared" si="3"/>
        <v>156.25</v>
      </c>
      <c r="E20">
        <f t="shared" si="4"/>
        <v>840.82143042695998</v>
      </c>
      <c r="F20">
        <f t="shared" si="5"/>
        <v>827.39086491411808</v>
      </c>
      <c r="H20">
        <v>1962</v>
      </c>
      <c r="I20" s="17">
        <f t="shared" si="6"/>
        <v>834.80000000000007</v>
      </c>
      <c r="J20" s="17">
        <v>1.5472176073672017</v>
      </c>
      <c r="K20">
        <f t="shared" si="7"/>
        <v>836.34721760736727</v>
      </c>
      <c r="L20">
        <f t="shared" si="8"/>
        <v>834.10614767053903</v>
      </c>
      <c r="N20" s="1" t="s">
        <v>43</v>
      </c>
      <c r="O20" s="1">
        <v>48</v>
      </c>
      <c r="P20" s="1">
        <v>541.14026998422025</v>
      </c>
      <c r="Q20" s="1">
        <v>11.273755624671255</v>
      </c>
      <c r="R20" s="1"/>
      <c r="S20" s="1"/>
    </row>
    <row r="21" spans="1:22" ht="15.75" thickBot="1">
      <c r="A21">
        <f t="shared" si="0"/>
        <v>20.126999474545961</v>
      </c>
      <c r="B21">
        <f t="shared" si="1"/>
        <v>21.97119927587762</v>
      </c>
      <c r="C21">
        <f t="shared" si="2"/>
        <v>4.041391666261606E-2</v>
      </c>
      <c r="D21">
        <f t="shared" si="3"/>
        <v>132.25</v>
      </c>
      <c r="E21">
        <f t="shared" si="4"/>
        <v>841.22902560842533</v>
      </c>
      <c r="F21">
        <f t="shared" si="5"/>
        <v>827.79846009558344</v>
      </c>
      <c r="H21">
        <v>1963</v>
      </c>
      <c r="I21" s="17">
        <f t="shared" si="6"/>
        <v>835.2</v>
      </c>
      <c r="J21" s="17">
        <v>3.8000553104211576</v>
      </c>
      <c r="K21">
        <f t="shared" si="7"/>
        <v>839.0000553104212</v>
      </c>
      <c r="L21">
        <f t="shared" si="8"/>
        <v>834.51374285200438</v>
      </c>
      <c r="N21" s="2" t="s">
        <v>44</v>
      </c>
      <c r="O21" s="2">
        <v>49</v>
      </c>
      <c r="P21" s="2">
        <v>2271.0087952021991</v>
      </c>
      <c r="Q21" s="2"/>
      <c r="R21" s="2"/>
      <c r="S21" s="2"/>
    </row>
    <row r="22" spans="1:22" ht="15.75" thickBot="1">
      <c r="A22">
        <f t="shared" si="0"/>
        <v>3.1572306276583939</v>
      </c>
      <c r="B22">
        <f t="shared" si="1"/>
        <v>18.316254972896342</v>
      </c>
      <c r="C22">
        <f t="shared" si="2"/>
        <v>6.2644565474654232</v>
      </c>
      <c r="D22">
        <f t="shared" si="3"/>
        <v>110.25</v>
      </c>
      <c r="E22">
        <f t="shared" si="4"/>
        <v>841.63662078989057</v>
      </c>
      <c r="F22">
        <f t="shared" si="5"/>
        <v>828.20605527704868</v>
      </c>
      <c r="H22">
        <v>1964</v>
      </c>
      <c r="I22" s="17">
        <f t="shared" si="6"/>
        <v>835.6</v>
      </c>
      <c r="J22" s="17">
        <v>1.0981977993651526</v>
      </c>
      <c r="K22">
        <f t="shared" si="7"/>
        <v>836.69819779936518</v>
      </c>
      <c r="L22">
        <f t="shared" si="8"/>
        <v>834.92133803346962</v>
      </c>
    </row>
    <row r="23" spans="1:22">
      <c r="A23">
        <f t="shared" si="0"/>
        <v>0.1822944521936109</v>
      </c>
      <c r="B23">
        <f t="shared" si="1"/>
        <v>14.993578333822425</v>
      </c>
      <c r="C23">
        <f t="shared" si="2"/>
        <v>11.869366382703832</v>
      </c>
      <c r="D23">
        <f t="shared" si="3"/>
        <v>90.25</v>
      </c>
      <c r="E23">
        <f t="shared" si="4"/>
        <v>842.04421597135581</v>
      </c>
      <c r="F23">
        <f t="shared" si="5"/>
        <v>828.61365045851392</v>
      </c>
      <c r="H23">
        <v>1965</v>
      </c>
      <c r="I23" s="17">
        <f t="shared" si="6"/>
        <v>836</v>
      </c>
      <c r="J23" s="17">
        <v>-0.24410724108747672</v>
      </c>
      <c r="K23">
        <f t="shared" si="7"/>
        <v>835.75589275891252</v>
      </c>
      <c r="L23">
        <f t="shared" si="8"/>
        <v>835.32893321493486</v>
      </c>
      <c r="N23" s="3"/>
      <c r="O23" s="3" t="s">
        <v>49</v>
      </c>
      <c r="P23" s="3" t="s">
        <v>40</v>
      </c>
      <c r="Q23" s="3" t="s">
        <v>13</v>
      </c>
      <c r="R23" s="3" t="s">
        <v>50</v>
      </c>
      <c r="S23" s="3" t="s">
        <v>51</v>
      </c>
      <c r="T23" s="3" t="s">
        <v>52</v>
      </c>
      <c r="U23" s="3" t="s">
        <v>53</v>
      </c>
      <c r="V23" s="3" t="s">
        <v>54</v>
      </c>
    </row>
    <row r="24" spans="1:22">
      <c r="A24">
        <f t="shared" si="0"/>
        <v>45.803491853313048</v>
      </c>
      <c r="B24">
        <f t="shared" si="1"/>
        <v>12.003169358655875</v>
      </c>
      <c r="C24">
        <f t="shared" si="2"/>
        <v>104.70173856271572</v>
      </c>
      <c r="D24">
        <f t="shared" si="3"/>
        <v>72.25</v>
      </c>
      <c r="E24">
        <f t="shared" si="4"/>
        <v>842.45181115282105</v>
      </c>
      <c r="F24">
        <f t="shared" si="5"/>
        <v>829.02124563997916</v>
      </c>
      <c r="H24">
        <v>1966</v>
      </c>
      <c r="I24" s="17">
        <f t="shared" si="6"/>
        <v>836.40000000000009</v>
      </c>
      <c r="J24" s="17">
        <v>-7.431299309246242</v>
      </c>
      <c r="K24">
        <f t="shared" si="7"/>
        <v>828.96870069075385</v>
      </c>
      <c r="L24">
        <f t="shared" si="8"/>
        <v>835.7365283964001</v>
      </c>
      <c r="N24" s="1" t="s">
        <v>45</v>
      </c>
      <c r="O24" s="1">
        <v>34.404401635676777</v>
      </c>
      <c r="P24" s="1">
        <v>64.971895628257258</v>
      </c>
      <c r="Q24" s="1">
        <v>0.52952744110353134</v>
      </c>
      <c r="R24" s="1">
        <v>0.59888034871662588</v>
      </c>
      <c r="S24" s="1">
        <v>-96.23034766386732</v>
      </c>
      <c r="T24" s="1">
        <v>165.03915093522087</v>
      </c>
      <c r="U24" s="1">
        <v>-96.23034766386732</v>
      </c>
      <c r="V24" s="1">
        <v>165.03915093522087</v>
      </c>
    </row>
    <row r="25" spans="1:22" ht="15.75" thickBot="1">
      <c r="A25">
        <f t="shared" si="0"/>
        <v>1.6396577920370803</v>
      </c>
      <c r="B25">
        <f t="shared" si="1"/>
        <v>9.3450280473959921</v>
      </c>
      <c r="C25">
        <f t="shared" si="2"/>
        <v>18.81351667288909</v>
      </c>
      <c r="D25">
        <f t="shared" si="3"/>
        <v>56.25</v>
      </c>
      <c r="E25">
        <f t="shared" si="4"/>
        <v>842.8594063342864</v>
      </c>
      <c r="F25">
        <f t="shared" si="5"/>
        <v>829.42884082144451</v>
      </c>
      <c r="H25">
        <v>1967</v>
      </c>
      <c r="I25" s="17">
        <f t="shared" si="6"/>
        <v>836.80000000000007</v>
      </c>
      <c r="J25" s="17">
        <v>-1.9363676528882934</v>
      </c>
      <c r="K25">
        <f t="shared" si="7"/>
        <v>834.86363234711177</v>
      </c>
      <c r="L25">
        <f t="shared" si="8"/>
        <v>836.14412357786546</v>
      </c>
      <c r="N25" s="2" t="s">
        <v>55</v>
      </c>
      <c r="O25" s="2">
        <v>0.40759518146527129</v>
      </c>
      <c r="P25" s="2">
        <v>3.2904614044516729E-2</v>
      </c>
      <c r="Q25" s="2">
        <v>12.38717405752989</v>
      </c>
      <c r="R25" s="2">
        <v>1.4644269785129722E-16</v>
      </c>
      <c r="S25" s="2">
        <v>0.34143602195578293</v>
      </c>
      <c r="T25" s="2">
        <v>0.47375434097475966</v>
      </c>
      <c r="U25" s="2">
        <v>0.34143602195578293</v>
      </c>
      <c r="V25" s="2">
        <v>0.47375434097475966</v>
      </c>
    </row>
    <row r="26" spans="1:22">
      <c r="A26">
        <f t="shared" si="0"/>
        <v>3.6352671147138964</v>
      </c>
      <c r="B26">
        <f t="shared" si="1"/>
        <v>7.0191544000442621</v>
      </c>
      <c r="C26">
        <f t="shared" si="2"/>
        <v>0.55164938754866555</v>
      </c>
      <c r="D26">
        <f t="shared" si="3"/>
        <v>42.25</v>
      </c>
      <c r="E26">
        <f t="shared" si="4"/>
        <v>843.26700151575164</v>
      </c>
      <c r="F26">
        <f t="shared" si="5"/>
        <v>829.83643600290975</v>
      </c>
      <c r="H26">
        <v>1968</v>
      </c>
      <c r="I26" s="17">
        <f t="shared" si="6"/>
        <v>837.2</v>
      </c>
      <c r="J26" s="17">
        <v>1.2583564057422336</v>
      </c>
      <c r="K26">
        <f t="shared" si="7"/>
        <v>838.45835640574228</v>
      </c>
      <c r="L26">
        <f t="shared" si="8"/>
        <v>836.5517187593307</v>
      </c>
      <c r="N26" s="16" t="s">
        <v>59</v>
      </c>
      <c r="O26" s="16">
        <f>INTERCEPT(K8:K57,H8:H57)</f>
        <v>34.404401635677118</v>
      </c>
      <c r="P26" s="16">
        <f>P14*SQRT(1/50+H59^2/H62^2/49)</f>
        <v>64.971895628257172</v>
      </c>
      <c r="Q26" s="16">
        <f>O26/P26</f>
        <v>0.52952744110353722</v>
      </c>
      <c r="S26" s="16">
        <f>O26-TINV(0.05,48)*P26</f>
        <v>-96.230347663866809</v>
      </c>
      <c r="T26" s="16">
        <f>O26+TINV(0.05,48)*P26</f>
        <v>165.03915093522104</v>
      </c>
    </row>
    <row r="27" spans="1:22">
      <c r="A27">
        <f t="shared" si="0"/>
        <v>5.7248468436204938</v>
      </c>
      <c r="B27">
        <f t="shared" si="1"/>
        <v>5.0255484165998947</v>
      </c>
      <c r="C27">
        <f t="shared" si="2"/>
        <v>21.478022209407964</v>
      </c>
      <c r="D27">
        <f t="shared" si="3"/>
        <v>30.25</v>
      </c>
      <c r="E27">
        <f t="shared" si="4"/>
        <v>843.67459669721688</v>
      </c>
      <c r="F27">
        <f t="shared" si="5"/>
        <v>830.24403118437499</v>
      </c>
      <c r="H27">
        <v>1969</v>
      </c>
      <c r="I27" s="17">
        <f t="shared" si="6"/>
        <v>837.6</v>
      </c>
      <c r="J27" s="17">
        <v>-3.0333512768265791</v>
      </c>
      <c r="K27">
        <f t="shared" si="7"/>
        <v>834.56664872317344</v>
      </c>
      <c r="L27">
        <f t="shared" si="8"/>
        <v>836.95931394079594</v>
      </c>
      <c r="N27" s="16" t="s">
        <v>58</v>
      </c>
      <c r="O27" s="16">
        <f>SLOPE(K8:K57,H8:H57)</f>
        <v>0.40759518146527113</v>
      </c>
      <c r="P27" s="16">
        <f>P14/H62/SQRT(49)</f>
        <v>3.2904614044516688E-2</v>
      </c>
      <c r="Q27" s="16">
        <f>O27/P27</f>
        <v>12.387174057529901</v>
      </c>
      <c r="S27" s="16">
        <f>O27-TINV(0.05,48)*P27</f>
        <v>0.34143602195578288</v>
      </c>
      <c r="T27" s="16">
        <f>O27+TINV(0.05,48)*P27</f>
        <v>0.47375434097475938</v>
      </c>
    </row>
    <row r="28" spans="1:22">
      <c r="A28">
        <f t="shared" si="0"/>
        <v>0.45218800856287011</v>
      </c>
      <c r="B28">
        <f t="shared" si="1"/>
        <v>3.364210097062474</v>
      </c>
      <c r="C28">
        <f t="shared" si="2"/>
        <v>1.3496143987083553</v>
      </c>
      <c r="D28">
        <f t="shared" si="3"/>
        <v>20.25</v>
      </c>
      <c r="E28">
        <f t="shared" si="4"/>
        <v>844.08219187868224</v>
      </c>
      <c r="F28">
        <f t="shared" si="5"/>
        <v>830.65162636584034</v>
      </c>
      <c r="H28">
        <v>1970</v>
      </c>
      <c r="I28" s="17">
        <f t="shared" si="6"/>
        <v>838</v>
      </c>
      <c r="J28" s="17">
        <v>3.9358383219223469E-2</v>
      </c>
      <c r="K28">
        <f t="shared" si="7"/>
        <v>838.03935838321922</v>
      </c>
      <c r="L28">
        <f t="shared" si="8"/>
        <v>837.36690912226129</v>
      </c>
    </row>
    <row r="29" spans="1:22">
      <c r="A29">
        <f t="shared" si="0"/>
        <v>3.230671579801569</v>
      </c>
      <c r="B29">
        <f t="shared" si="1"/>
        <v>2.0351394414329267</v>
      </c>
      <c r="C29">
        <f t="shared" si="2"/>
        <v>0.13751026781895684</v>
      </c>
      <c r="D29">
        <f t="shared" si="3"/>
        <v>12.25</v>
      </c>
      <c r="E29">
        <f t="shared" si="4"/>
        <v>844.48978706014748</v>
      </c>
      <c r="F29">
        <f t="shared" si="5"/>
        <v>831.05922154730558</v>
      </c>
      <c r="H29">
        <v>1971</v>
      </c>
      <c r="I29" s="17">
        <f t="shared" si="6"/>
        <v>838.40000000000009</v>
      </c>
      <c r="J29" s="17">
        <v>1.1719112080754712</v>
      </c>
      <c r="K29">
        <f t="shared" si="7"/>
        <v>839.57191120807556</v>
      </c>
      <c r="L29">
        <f t="shared" si="8"/>
        <v>837.77450430372653</v>
      </c>
      <c r="N29" t="s">
        <v>56</v>
      </c>
    </row>
    <row r="30" spans="1:22" ht="15.75" thickBot="1">
      <c r="A30">
        <f t="shared" si="0"/>
        <v>13.058177139497046</v>
      </c>
      <c r="B30">
        <f t="shared" si="1"/>
        <v>1.038336449710743</v>
      </c>
      <c r="C30">
        <f t="shared" si="2"/>
        <v>21.460963681568888</v>
      </c>
      <c r="D30">
        <f t="shared" si="3"/>
        <v>6.25</v>
      </c>
      <c r="E30">
        <f t="shared" si="4"/>
        <v>844.89738224161272</v>
      </c>
      <c r="F30">
        <f t="shared" si="5"/>
        <v>831.46681672877082</v>
      </c>
      <c r="H30">
        <v>1972</v>
      </c>
      <c r="I30" s="17">
        <f t="shared" si="6"/>
        <v>838.80000000000007</v>
      </c>
      <c r="J30" s="17">
        <v>-4.2315105019952171</v>
      </c>
      <c r="K30">
        <f t="shared" si="7"/>
        <v>834.56848949800485</v>
      </c>
      <c r="L30">
        <f t="shared" si="8"/>
        <v>838.18209948519177</v>
      </c>
      <c r="Q30">
        <f>TINV(0.05,49)</f>
        <v>2.009575199320242</v>
      </c>
      <c r="R30">
        <f>FINV(0.05,1,49)</f>
        <v>4.0383924817229904</v>
      </c>
    </row>
    <row r="31" spans="1:22">
      <c r="A31">
        <f t="shared" si="0"/>
        <v>0.3622082233774801</v>
      </c>
      <c r="B31">
        <f t="shared" si="1"/>
        <v>0.37380112189592313</v>
      </c>
      <c r="C31">
        <f t="shared" si="2"/>
        <v>1.4719273848904006</v>
      </c>
      <c r="D31">
        <f t="shared" si="3"/>
        <v>2.25</v>
      </c>
      <c r="E31">
        <f t="shared" si="4"/>
        <v>845.30497742307796</v>
      </c>
      <c r="F31">
        <f t="shared" si="5"/>
        <v>831.87441191023606</v>
      </c>
      <c r="H31">
        <v>1973</v>
      </c>
      <c r="I31" s="17">
        <f t="shared" si="6"/>
        <v>839.2</v>
      </c>
      <c r="J31" s="17">
        <v>-1.2121427062083967</v>
      </c>
      <c r="K31">
        <f t="shared" si="7"/>
        <v>837.98785729379165</v>
      </c>
      <c r="L31">
        <f t="shared" si="8"/>
        <v>838.58969466665701</v>
      </c>
      <c r="N31" s="3" t="s">
        <v>57</v>
      </c>
      <c r="O31" s="3" t="s">
        <v>30</v>
      </c>
    </row>
    <row r="32" spans="1:22">
      <c r="A32">
        <f t="shared" si="0"/>
        <v>39.392535245926076</v>
      </c>
      <c r="B32">
        <f t="shared" si="1"/>
        <v>4.1533457988420452E-2</v>
      </c>
      <c r="C32">
        <f t="shared" si="2"/>
        <v>36.875859793216193</v>
      </c>
      <c r="D32">
        <f t="shared" si="3"/>
        <v>0.25</v>
      </c>
      <c r="E32">
        <f t="shared" si="4"/>
        <v>845.71257260454331</v>
      </c>
      <c r="F32">
        <f t="shared" si="5"/>
        <v>832.28200709170142</v>
      </c>
      <c r="H32">
        <v>1974</v>
      </c>
      <c r="I32" s="17">
        <f t="shared" si="6"/>
        <v>839.6</v>
      </c>
      <c r="J32" s="17">
        <v>5.6736371334409341</v>
      </c>
      <c r="K32">
        <f t="shared" si="7"/>
        <v>845.27363713344096</v>
      </c>
      <c r="L32">
        <f t="shared" si="8"/>
        <v>838.99728984812236</v>
      </c>
      <c r="N32" s="1">
        <v>1</v>
      </c>
      <c r="O32" s="1">
        <v>828.19097643719294</v>
      </c>
    </row>
    <row r="33" spans="1:15">
      <c r="A33">
        <f t="shared" si="0"/>
        <v>5.5963407499685252</v>
      </c>
      <c r="B33">
        <f t="shared" si="1"/>
        <v>4.1533457988420452E-2</v>
      </c>
      <c r="C33">
        <f t="shared" si="2"/>
        <v>4.6736431496981838</v>
      </c>
      <c r="D33">
        <f t="shared" si="3"/>
        <v>0.25</v>
      </c>
      <c r="E33">
        <f t="shared" si="4"/>
        <v>846.12016778600855</v>
      </c>
      <c r="F33">
        <f t="shared" si="5"/>
        <v>832.68960227316666</v>
      </c>
      <c r="H33">
        <v>1975</v>
      </c>
      <c r="I33" s="17">
        <f t="shared" si="6"/>
        <v>840</v>
      </c>
      <c r="J33" s="17">
        <v>-2.9607735996250995</v>
      </c>
      <c r="K33">
        <f t="shared" si="7"/>
        <v>837.0392264003749</v>
      </c>
      <c r="L33">
        <f t="shared" si="8"/>
        <v>839.4048850295876</v>
      </c>
      <c r="N33" s="1">
        <v>3</v>
      </c>
      <c r="O33" s="1">
        <v>828.96870069075385</v>
      </c>
    </row>
    <row r="34" spans="1:15">
      <c r="A34">
        <f t="shared" si="0"/>
        <v>15.934371566765931</v>
      </c>
      <c r="B34">
        <f t="shared" si="1"/>
        <v>0.37380112189578413</v>
      </c>
      <c r="C34">
        <f t="shared" si="2"/>
        <v>21.189273371237885</v>
      </c>
      <c r="D34">
        <f t="shared" si="3"/>
        <v>2.25</v>
      </c>
      <c r="E34">
        <f t="shared" si="4"/>
        <v>846.52776296747379</v>
      </c>
      <c r="F34">
        <f t="shared" si="5"/>
        <v>833.0971974546319</v>
      </c>
      <c r="H34">
        <v>1976</v>
      </c>
      <c r="I34" s="17">
        <f t="shared" si="6"/>
        <v>840.40000000000009</v>
      </c>
      <c r="J34" s="17">
        <v>3.404268227313878</v>
      </c>
      <c r="K34">
        <f t="shared" si="7"/>
        <v>843.80426822731397</v>
      </c>
      <c r="L34">
        <f t="shared" si="8"/>
        <v>839.81248021105284</v>
      </c>
      <c r="N34" s="1">
        <v>5</v>
      </c>
      <c r="O34" s="1">
        <v>829.10969045433455</v>
      </c>
    </row>
    <row r="35" spans="1:15">
      <c r="A35">
        <f t="shared" si="0"/>
        <v>16.341865766462124</v>
      </c>
      <c r="B35">
        <f t="shared" si="1"/>
        <v>1.0383364497105114</v>
      </c>
      <c r="C35">
        <f t="shared" si="2"/>
        <v>25.618734823765816</v>
      </c>
      <c r="D35">
        <f t="shared" si="3"/>
        <v>6.25</v>
      </c>
      <c r="E35">
        <f t="shared" si="4"/>
        <v>846.93535814893903</v>
      </c>
      <c r="F35">
        <f t="shared" si="5"/>
        <v>833.50479263609714</v>
      </c>
      <c r="H35">
        <v>1977</v>
      </c>
      <c r="I35" s="17">
        <f t="shared" si="6"/>
        <v>840.80000000000007</v>
      </c>
      <c r="J35" s="17">
        <v>3.4625827538548037</v>
      </c>
      <c r="K35">
        <f t="shared" si="7"/>
        <v>844.26258275385487</v>
      </c>
      <c r="L35">
        <f t="shared" si="8"/>
        <v>840.22007539251808</v>
      </c>
      <c r="N35" s="1">
        <v>7</v>
      </c>
      <c r="O35" s="1">
        <v>829.49327084929109</v>
      </c>
    </row>
    <row r="36" spans="1:15">
      <c r="A36">
        <f t="shared" si="0"/>
        <v>39.692221895695617</v>
      </c>
      <c r="B36">
        <f t="shared" si="1"/>
        <v>2.0351394414329267</v>
      </c>
      <c r="C36">
        <f t="shared" si="2"/>
        <v>23.751910711562825</v>
      </c>
      <c r="D36">
        <f t="shared" si="3"/>
        <v>12.25</v>
      </c>
      <c r="E36">
        <f t="shared" si="4"/>
        <v>847.34295333040438</v>
      </c>
      <c r="F36">
        <f t="shared" si="5"/>
        <v>833.91238781756249</v>
      </c>
      <c r="H36">
        <v>1978</v>
      </c>
      <c r="I36" s="17">
        <f t="shared" si="6"/>
        <v>841.2</v>
      </c>
      <c r="J36" s="17">
        <v>-6.8725057644769549</v>
      </c>
      <c r="K36">
        <f t="shared" si="7"/>
        <v>834.32749423552309</v>
      </c>
      <c r="L36">
        <f t="shared" si="8"/>
        <v>840.62767057398344</v>
      </c>
      <c r="N36" s="1">
        <v>9</v>
      </c>
      <c r="O36" s="1">
        <v>829.57703462415384</v>
      </c>
    </row>
    <row r="37" spans="1:15">
      <c r="A37">
        <f t="shared" si="0"/>
        <v>32.618297061717286</v>
      </c>
      <c r="B37">
        <f t="shared" si="1"/>
        <v>3.364210097062474</v>
      </c>
      <c r="C37">
        <f t="shared" si="2"/>
        <v>15.031630869324703</v>
      </c>
      <c r="D37">
        <f t="shared" si="3"/>
        <v>20.25</v>
      </c>
      <c r="E37">
        <f t="shared" si="4"/>
        <v>847.75054851186962</v>
      </c>
      <c r="F37">
        <f t="shared" si="5"/>
        <v>834.31998299902773</v>
      </c>
      <c r="H37">
        <v>1979</v>
      </c>
      <c r="I37" s="17">
        <f t="shared" si="6"/>
        <v>841.6</v>
      </c>
      <c r="J37" s="17">
        <v>-6.275977284531109</v>
      </c>
      <c r="K37">
        <f t="shared" si="7"/>
        <v>835.32402271546891</v>
      </c>
      <c r="L37">
        <f t="shared" si="8"/>
        <v>841.03526575544868</v>
      </c>
      <c r="N37" s="1">
        <v>11</v>
      </c>
      <c r="O37" s="1">
        <v>829.92781795299379</v>
      </c>
    </row>
    <row r="38" spans="1:15">
      <c r="A38">
        <f t="shared" si="0"/>
        <v>4.2832267048107306</v>
      </c>
      <c r="B38">
        <f t="shared" si="1"/>
        <v>5.0255484165993849</v>
      </c>
      <c r="C38">
        <f t="shared" si="2"/>
        <v>18.587905077240624</v>
      </c>
      <c r="D38">
        <f t="shared" si="3"/>
        <v>30.25</v>
      </c>
      <c r="E38">
        <f t="shared" si="4"/>
        <v>848.15814369333486</v>
      </c>
      <c r="F38">
        <f t="shared" si="5"/>
        <v>834.72757818049297</v>
      </c>
      <c r="H38">
        <v>1980</v>
      </c>
      <c r="I38" s="17">
        <f t="shared" si="6"/>
        <v>842</v>
      </c>
      <c r="J38" s="17">
        <v>1.5124567198654404</v>
      </c>
      <c r="K38">
        <f t="shared" si="7"/>
        <v>843.51245671986544</v>
      </c>
      <c r="L38">
        <f t="shared" si="8"/>
        <v>841.44286093691392</v>
      </c>
      <c r="N38" s="1">
        <v>13</v>
      </c>
      <c r="O38" s="1">
        <v>830.26020749120516</v>
      </c>
    </row>
    <row r="39" spans="1:15">
      <c r="A39">
        <f t="shared" si="0"/>
        <v>1.5543435859202768</v>
      </c>
      <c r="B39">
        <f t="shared" si="1"/>
        <v>7.0191544000442621</v>
      </c>
      <c r="C39">
        <f t="shared" si="2"/>
        <v>1.9673863852442219</v>
      </c>
      <c r="D39">
        <f t="shared" si="3"/>
        <v>42.25</v>
      </c>
      <c r="E39">
        <f t="shared" si="4"/>
        <v>848.56573887480022</v>
      </c>
      <c r="F39">
        <f t="shared" si="5"/>
        <v>835.13517336195832</v>
      </c>
      <c r="H39">
        <v>1981</v>
      </c>
      <c r="I39" s="17">
        <f t="shared" si="6"/>
        <v>842.40000000000009</v>
      </c>
      <c r="J39" s="17">
        <v>-1.796277047105832</v>
      </c>
      <c r="K39">
        <f t="shared" si="7"/>
        <v>840.60372295289426</v>
      </c>
      <c r="L39">
        <f t="shared" si="8"/>
        <v>841.85045611837927</v>
      </c>
      <c r="N39" s="1">
        <v>15</v>
      </c>
      <c r="O39" s="1">
        <v>830.8110588209471</v>
      </c>
    </row>
    <row r="40" spans="1:15">
      <c r="A40">
        <f t="shared" si="0"/>
        <v>8.2606846745545806</v>
      </c>
      <c r="B40">
        <f t="shared" si="1"/>
        <v>9.3450280473959921</v>
      </c>
      <c r="C40">
        <f t="shared" si="2"/>
        <v>3.3424313845407741E-2</v>
      </c>
      <c r="D40">
        <f t="shared" si="3"/>
        <v>56.25</v>
      </c>
      <c r="E40">
        <f t="shared" si="4"/>
        <v>848.97333405626546</v>
      </c>
      <c r="F40">
        <f t="shared" si="5"/>
        <v>835.54276854342356</v>
      </c>
      <c r="H40">
        <v>1982</v>
      </c>
      <c r="I40" s="17">
        <f t="shared" si="6"/>
        <v>842.80000000000007</v>
      </c>
      <c r="J40" s="17">
        <v>-3.4160893847001716</v>
      </c>
      <c r="K40">
        <f t="shared" si="7"/>
        <v>839.3839106152999</v>
      </c>
      <c r="L40">
        <f t="shared" ref="L40:L57" si="9">$O$27*H40+$O$26</f>
        <v>842.25805129984451</v>
      </c>
      <c r="N40" s="1">
        <v>17</v>
      </c>
      <c r="O40" s="1">
        <v>831.25702082287171</v>
      </c>
    </row>
    <row r="41" spans="1:15">
      <c r="A41">
        <f t="shared" si="0"/>
        <v>26.813670297832278</v>
      </c>
      <c r="B41">
        <f t="shared" si="1"/>
        <v>12.003169358655088</v>
      </c>
      <c r="C41">
        <f t="shared" si="2"/>
        <v>2.9365372211945195</v>
      </c>
      <c r="D41">
        <f t="shared" si="3"/>
        <v>72.25</v>
      </c>
      <c r="E41">
        <f t="shared" si="4"/>
        <v>849.3809292377307</v>
      </c>
      <c r="F41">
        <f t="shared" si="5"/>
        <v>835.9503637248888</v>
      </c>
      <c r="H41">
        <v>1983</v>
      </c>
      <c r="I41" s="17">
        <f t="shared" si="6"/>
        <v>843.2</v>
      </c>
      <c r="J41" s="17">
        <v>-5.71254531678278</v>
      </c>
      <c r="K41">
        <f t="shared" si="7"/>
        <v>837.48745468321727</v>
      </c>
      <c r="L41">
        <f t="shared" si="9"/>
        <v>842.66564648130975</v>
      </c>
      <c r="N41" s="1">
        <v>19</v>
      </c>
      <c r="O41" s="1">
        <v>833.95137090486242</v>
      </c>
    </row>
    <row r="42" spans="1:15">
      <c r="A42">
        <f t="shared" si="0"/>
        <v>3.9700154707504716</v>
      </c>
      <c r="B42">
        <f t="shared" si="1"/>
        <v>14.993578333821546</v>
      </c>
      <c r="C42">
        <f t="shared" si="2"/>
        <v>34.394049137734498</v>
      </c>
      <c r="D42">
        <f t="shared" si="3"/>
        <v>90.25</v>
      </c>
      <c r="E42">
        <f t="shared" si="4"/>
        <v>849.78852441919594</v>
      </c>
      <c r="F42">
        <f t="shared" si="5"/>
        <v>836.35795890635404</v>
      </c>
      <c r="H42">
        <v>1984</v>
      </c>
      <c r="I42" s="17">
        <f t="shared" si="6"/>
        <v>843.6</v>
      </c>
      <c r="J42" s="17">
        <v>1.4657314295618562</v>
      </c>
      <c r="K42">
        <f t="shared" si="7"/>
        <v>845.06573142956188</v>
      </c>
      <c r="L42">
        <f t="shared" si="9"/>
        <v>843.07324166277499</v>
      </c>
      <c r="N42" s="1">
        <v>21</v>
      </c>
      <c r="O42" s="1">
        <v>834.32749423552309</v>
      </c>
    </row>
    <row r="43" spans="1:15">
      <c r="A43">
        <f t="shared" si="0"/>
        <v>19.819515731666691</v>
      </c>
      <c r="B43">
        <f t="shared" si="1"/>
        <v>18.316254972896342</v>
      </c>
      <c r="C43">
        <f t="shared" si="2"/>
        <v>76.241901632829013</v>
      </c>
      <c r="D43">
        <f t="shared" si="3"/>
        <v>110.25</v>
      </c>
      <c r="E43">
        <f t="shared" si="4"/>
        <v>850.19611960066129</v>
      </c>
      <c r="F43">
        <f t="shared" si="5"/>
        <v>836.7655540878194</v>
      </c>
      <c r="H43">
        <v>1985</v>
      </c>
      <c r="I43" s="17">
        <f t="shared" si="6"/>
        <v>844</v>
      </c>
      <c r="J43" s="17">
        <v>3.9327483136730734</v>
      </c>
      <c r="K43">
        <f t="shared" si="7"/>
        <v>847.93274831367307</v>
      </c>
      <c r="L43">
        <f t="shared" si="9"/>
        <v>843.48083684424034</v>
      </c>
      <c r="N43" s="1">
        <v>23</v>
      </c>
      <c r="O43" s="1">
        <v>834.56664872317344</v>
      </c>
    </row>
    <row r="44" spans="1:15">
      <c r="A44">
        <f t="shared" si="0"/>
        <v>0.70453510928363872</v>
      </c>
      <c r="B44">
        <f t="shared" si="1"/>
        <v>21.97119927587762</v>
      </c>
      <c r="C44">
        <f t="shared" si="2"/>
        <v>14.806939996457727</v>
      </c>
      <c r="D44">
        <f t="shared" si="3"/>
        <v>132.25</v>
      </c>
      <c r="E44">
        <f t="shared" si="4"/>
        <v>850.60371478212653</v>
      </c>
      <c r="F44">
        <f t="shared" si="5"/>
        <v>837.17314926928464</v>
      </c>
      <c r="H44">
        <v>1986</v>
      </c>
      <c r="I44" s="17">
        <f t="shared" si="6"/>
        <v>844.40000000000009</v>
      </c>
      <c r="J44" s="17">
        <v>-1.3509338714357</v>
      </c>
      <c r="K44">
        <f t="shared" si="7"/>
        <v>843.04906612856439</v>
      </c>
      <c r="L44">
        <f t="shared" si="9"/>
        <v>843.88843202570558</v>
      </c>
      <c r="N44" s="1">
        <v>25</v>
      </c>
      <c r="O44" s="1">
        <v>834.56848949800485</v>
      </c>
    </row>
    <row r="45" spans="1:15">
      <c r="A45">
        <f t="shared" si="0"/>
        <v>0.26306551465354255</v>
      </c>
      <c r="B45">
        <f t="shared" si="1"/>
        <v>25.95841124276626</v>
      </c>
      <c r="C45">
        <f t="shared" si="2"/>
        <v>20.995096437096144</v>
      </c>
      <c r="D45">
        <f t="shared" si="3"/>
        <v>156.25</v>
      </c>
      <c r="E45">
        <f t="shared" si="4"/>
        <v>851.01130996359177</v>
      </c>
      <c r="F45">
        <f t="shared" si="5"/>
        <v>837.58074445074988</v>
      </c>
      <c r="H45">
        <v>1987</v>
      </c>
      <c r="I45" s="17">
        <f t="shared" si="6"/>
        <v>844.80000000000007</v>
      </c>
      <c r="J45" s="17">
        <v>-1.0168719200009946</v>
      </c>
      <c r="K45">
        <f t="shared" si="7"/>
        <v>843.78312807999907</v>
      </c>
      <c r="L45">
        <f t="shared" si="9"/>
        <v>844.29602720717082</v>
      </c>
      <c r="N45" s="1">
        <v>27</v>
      </c>
      <c r="O45" s="1">
        <v>834.84157881954457</v>
      </c>
    </row>
    <row r="46" spans="1:15">
      <c r="A46">
        <f t="shared" si="0"/>
        <v>2.351199569575849</v>
      </c>
      <c r="B46">
        <f t="shared" si="1"/>
        <v>30.277890873563518</v>
      </c>
      <c r="C46">
        <f t="shared" si="2"/>
        <v>15.754332490553844</v>
      </c>
      <c r="D46">
        <f t="shared" si="3"/>
        <v>182.25</v>
      </c>
      <c r="E46">
        <f t="shared" si="4"/>
        <v>851.41890514505712</v>
      </c>
      <c r="F46">
        <f t="shared" si="5"/>
        <v>837.98833963221523</v>
      </c>
      <c r="H46">
        <v>1988</v>
      </c>
      <c r="I46" s="17">
        <f t="shared" si="6"/>
        <v>845.2</v>
      </c>
      <c r="J46" s="17">
        <v>-2.0297397895774338</v>
      </c>
      <c r="K46">
        <f t="shared" si="7"/>
        <v>843.17026021042261</v>
      </c>
      <c r="L46">
        <f t="shared" si="9"/>
        <v>844.70362238863618</v>
      </c>
      <c r="N46" s="1">
        <v>29</v>
      </c>
      <c r="O46" s="1">
        <v>834.86363234711177</v>
      </c>
    </row>
    <row r="47" spans="1:15">
      <c r="A47">
        <f t="shared" si="0"/>
        <v>0.69939040423035448</v>
      </c>
      <c r="B47">
        <f t="shared" si="1"/>
        <v>34.929638168266976</v>
      </c>
      <c r="C47">
        <f t="shared" si="2"/>
        <v>25.743796403625574</v>
      </c>
      <c r="D47">
        <f t="shared" si="3"/>
        <v>210.25</v>
      </c>
      <c r="E47">
        <f t="shared" si="4"/>
        <v>851.82650032652236</v>
      </c>
      <c r="F47">
        <f t="shared" si="5"/>
        <v>838.39593481368047</v>
      </c>
      <c r="H47">
        <v>1989</v>
      </c>
      <c r="I47" s="17">
        <f t="shared" si="6"/>
        <v>845.6</v>
      </c>
      <c r="J47" s="17">
        <v>-1.3250780739326729</v>
      </c>
      <c r="K47">
        <f t="shared" si="7"/>
        <v>844.27492192606735</v>
      </c>
      <c r="L47">
        <f t="shared" si="9"/>
        <v>845.11121757010142</v>
      </c>
      <c r="N47" s="1">
        <v>31</v>
      </c>
      <c r="O47" s="1">
        <v>835.015982836386</v>
      </c>
    </row>
    <row r="48" spans="1:15">
      <c r="A48">
        <f t="shared" si="0"/>
        <v>4.8263473521330482</v>
      </c>
      <c r="B48">
        <f t="shared" si="1"/>
        <v>39.913653126877804</v>
      </c>
      <c r="C48">
        <f t="shared" si="2"/>
        <v>16.981243008053067</v>
      </c>
      <c r="D48">
        <f t="shared" si="3"/>
        <v>240.25</v>
      </c>
      <c r="E48">
        <f t="shared" si="4"/>
        <v>852.2340955079876</v>
      </c>
      <c r="F48">
        <f t="shared" si="5"/>
        <v>838.80352999514571</v>
      </c>
      <c r="H48">
        <v>1990</v>
      </c>
      <c r="I48" s="17">
        <f t="shared" si="6"/>
        <v>846</v>
      </c>
      <c r="J48" s="17">
        <v>-2.6780821826832835</v>
      </c>
      <c r="K48">
        <f t="shared" si="7"/>
        <v>843.32191781731672</v>
      </c>
      <c r="L48">
        <f t="shared" si="9"/>
        <v>845.51881275156666</v>
      </c>
      <c r="N48" s="1">
        <v>33</v>
      </c>
      <c r="O48" s="1">
        <v>835.32402271546891</v>
      </c>
    </row>
    <row r="49" spans="1:15">
      <c r="A49">
        <f t="shared" si="0"/>
        <v>76.807060085460165</v>
      </c>
      <c r="B49">
        <f t="shared" si="1"/>
        <v>45.229935749395992</v>
      </c>
      <c r="C49">
        <f t="shared" si="2"/>
        <v>4.1560662021906243</v>
      </c>
      <c r="D49">
        <f t="shared" si="3"/>
        <v>272.25</v>
      </c>
      <c r="E49">
        <f t="shared" si="4"/>
        <v>852.64169068945284</v>
      </c>
      <c r="F49">
        <f t="shared" si="5"/>
        <v>839.21112517661095</v>
      </c>
      <c r="H49">
        <v>1991</v>
      </c>
      <c r="I49" s="17">
        <f t="shared" si="6"/>
        <v>846.40000000000009</v>
      </c>
      <c r="J49" s="17">
        <v>-9.2375557869672775</v>
      </c>
      <c r="K49">
        <f t="shared" si="7"/>
        <v>837.16244421303281</v>
      </c>
      <c r="L49">
        <f t="shared" si="9"/>
        <v>845.9264079330319</v>
      </c>
      <c r="N49" s="1">
        <v>35</v>
      </c>
      <c r="O49" s="1">
        <v>835.70540406442308</v>
      </c>
    </row>
    <row r="50" spans="1:15">
      <c r="A50">
        <f t="shared" si="0"/>
        <v>15.360239300113387</v>
      </c>
      <c r="B50">
        <f t="shared" si="1"/>
        <v>50.878486035823165</v>
      </c>
      <c r="C50">
        <f t="shared" si="2"/>
        <v>122.14957296813476</v>
      </c>
      <c r="D50">
        <f t="shared" si="3"/>
        <v>306.25</v>
      </c>
      <c r="E50">
        <f t="shared" si="4"/>
        <v>853.0492858709182</v>
      </c>
      <c r="F50">
        <f t="shared" si="5"/>
        <v>839.6187203580763</v>
      </c>
      <c r="H50">
        <v>1992</v>
      </c>
      <c r="I50" s="17">
        <f t="shared" si="6"/>
        <v>846.80000000000007</v>
      </c>
      <c r="J50" s="17">
        <v>3.453217232163297</v>
      </c>
      <c r="K50">
        <f t="shared" si="7"/>
        <v>850.25321723216337</v>
      </c>
      <c r="L50">
        <f t="shared" si="9"/>
        <v>846.33400311449725</v>
      </c>
      <c r="N50" s="1">
        <v>37</v>
      </c>
      <c r="O50" s="1">
        <v>835.75589275891252</v>
      </c>
    </row>
    <row r="51" spans="1:15">
      <c r="A51">
        <f t="shared" si="0"/>
        <v>0.2628087265426387</v>
      </c>
      <c r="B51">
        <f t="shared" si="1"/>
        <v>56.859303986156178</v>
      </c>
      <c r="C51">
        <f t="shared" si="2"/>
        <v>49.390845993020214</v>
      </c>
      <c r="D51">
        <f t="shared" si="3"/>
        <v>342.25</v>
      </c>
      <c r="E51">
        <f t="shared" si="4"/>
        <v>853.45688105238344</v>
      </c>
      <c r="F51">
        <f t="shared" si="5"/>
        <v>840.02631553954154</v>
      </c>
      <c r="H51">
        <v>1993</v>
      </c>
      <c r="I51" s="17">
        <f t="shared" si="6"/>
        <v>847.2</v>
      </c>
      <c r="J51" s="17">
        <v>-0.97105044005729724</v>
      </c>
      <c r="K51">
        <f t="shared" si="7"/>
        <v>846.22894955994275</v>
      </c>
      <c r="L51">
        <f t="shared" si="9"/>
        <v>846.74159829596249</v>
      </c>
      <c r="N51" s="1">
        <v>39</v>
      </c>
      <c r="O51" s="1">
        <v>836.34721760736727</v>
      </c>
    </row>
    <row r="52" spans="1:15">
      <c r="A52">
        <f t="shared" si="0"/>
        <v>7.985580270566369</v>
      </c>
      <c r="B52">
        <f t="shared" si="1"/>
        <v>63.172389600396549</v>
      </c>
      <c r="C52">
        <f t="shared" si="2"/>
        <v>116.07870842399468</v>
      </c>
      <c r="D52">
        <f t="shared" si="3"/>
        <v>380.25</v>
      </c>
      <c r="E52">
        <f t="shared" si="4"/>
        <v>853.86447623384868</v>
      </c>
      <c r="F52">
        <f t="shared" si="5"/>
        <v>840.43391072100678</v>
      </c>
      <c r="H52">
        <v>1994</v>
      </c>
      <c r="I52" s="17">
        <f t="shared" si="6"/>
        <v>847.6</v>
      </c>
      <c r="J52" s="17">
        <v>2.3750703803671058</v>
      </c>
      <c r="K52">
        <f t="shared" si="7"/>
        <v>849.97507038036713</v>
      </c>
      <c r="L52">
        <f t="shared" si="9"/>
        <v>847.14919347742773</v>
      </c>
      <c r="N52" s="1">
        <v>41</v>
      </c>
      <c r="O52" s="1">
        <v>836.69819779936518</v>
      </c>
    </row>
    <row r="53" spans="1:15">
      <c r="A53">
        <f t="shared" si="0"/>
        <v>0.41866431540339927</v>
      </c>
      <c r="B53">
        <f t="shared" si="1"/>
        <v>69.81774287854428</v>
      </c>
      <c r="C53">
        <f t="shared" si="2"/>
        <v>81.049398921542092</v>
      </c>
      <c r="D53">
        <f t="shared" si="3"/>
        <v>420.25</v>
      </c>
      <c r="E53">
        <f t="shared" si="4"/>
        <v>854.27207141531392</v>
      </c>
      <c r="F53">
        <f t="shared" si="5"/>
        <v>840.84150590247202</v>
      </c>
      <c r="H53">
        <v>1995</v>
      </c>
      <c r="I53" s="17">
        <f t="shared" si="6"/>
        <v>848</v>
      </c>
      <c r="J53" s="17">
        <v>0.20383140508783981</v>
      </c>
      <c r="K53">
        <f t="shared" si="7"/>
        <v>848.20383140508784</v>
      </c>
      <c r="L53">
        <f t="shared" si="9"/>
        <v>847.55678865889297</v>
      </c>
      <c r="N53" s="1">
        <v>43</v>
      </c>
      <c r="O53" s="1">
        <v>837.0392264003749</v>
      </c>
    </row>
    <row r="54" spans="1:15">
      <c r="A54">
        <f t="shared" si="0"/>
        <v>6.9787839096558546</v>
      </c>
      <c r="B54">
        <f t="shared" si="1"/>
        <v>76.795363820601381</v>
      </c>
      <c r="C54">
        <f t="shared" si="2"/>
        <v>130.07482804350448</v>
      </c>
      <c r="D54">
        <f t="shared" si="3"/>
        <v>462.25</v>
      </c>
      <c r="E54">
        <f t="shared" si="4"/>
        <v>854.67966659677927</v>
      </c>
      <c r="F54">
        <f t="shared" si="5"/>
        <v>841.24910108393738</v>
      </c>
      <c r="H54">
        <v>1996</v>
      </c>
      <c r="I54" s="17">
        <f t="shared" si="6"/>
        <v>848.40000000000009</v>
      </c>
      <c r="J54" s="17">
        <v>2.2061226445657667</v>
      </c>
      <c r="K54">
        <f t="shared" si="7"/>
        <v>850.60612264456586</v>
      </c>
      <c r="L54">
        <f t="shared" si="9"/>
        <v>847.96438384035832</v>
      </c>
      <c r="N54" s="1">
        <v>45</v>
      </c>
      <c r="O54" s="1">
        <v>837.16244421303281</v>
      </c>
    </row>
    <row r="55" spans="1:15">
      <c r="A55">
        <f t="shared" si="0"/>
        <v>24.49648106176986</v>
      </c>
      <c r="B55">
        <f t="shared" si="1"/>
        <v>84.105252426563936</v>
      </c>
      <c r="C55">
        <f t="shared" si="2"/>
        <v>199.38240815563722</v>
      </c>
      <c r="D55">
        <f t="shared" si="3"/>
        <v>506.25</v>
      </c>
      <c r="E55">
        <f t="shared" si="4"/>
        <v>855.08726177824451</v>
      </c>
      <c r="F55">
        <f t="shared" si="5"/>
        <v>841.65669626540262</v>
      </c>
      <c r="H55">
        <v>1997</v>
      </c>
      <c r="I55" s="17">
        <f t="shared" si="6"/>
        <v>848.80000000000007</v>
      </c>
      <c r="J55" s="17">
        <v>4.5213710109237581</v>
      </c>
      <c r="K55">
        <f t="shared" si="7"/>
        <v>853.32137101092383</v>
      </c>
      <c r="L55">
        <f t="shared" si="9"/>
        <v>848.37197902182356</v>
      </c>
      <c r="N55" s="1">
        <v>47</v>
      </c>
      <c r="O55" s="1">
        <v>837.48745468321727</v>
      </c>
    </row>
    <row r="56" spans="1:15">
      <c r="A56">
        <f t="shared" si="0"/>
        <v>0.111478590787042</v>
      </c>
      <c r="B56">
        <f t="shared" si="1"/>
        <v>91.747408696433851</v>
      </c>
      <c r="C56">
        <f t="shared" si="2"/>
        <v>85.462678463287375</v>
      </c>
      <c r="D56">
        <f t="shared" si="3"/>
        <v>552.25</v>
      </c>
      <c r="E56">
        <f t="shared" si="4"/>
        <v>855.49485695970975</v>
      </c>
      <c r="F56">
        <f t="shared" si="5"/>
        <v>842.06429144686786</v>
      </c>
      <c r="H56">
        <v>1998</v>
      </c>
      <c r="I56" s="17">
        <f t="shared" si="6"/>
        <v>849.2</v>
      </c>
      <c r="J56" s="17">
        <v>-0.75430989454616793</v>
      </c>
      <c r="K56">
        <f t="shared" si="7"/>
        <v>848.44569010545388</v>
      </c>
      <c r="L56">
        <f t="shared" si="9"/>
        <v>848.7795742032888</v>
      </c>
      <c r="N56" s="1">
        <v>49</v>
      </c>
      <c r="O56" s="1">
        <v>837.98785729379165</v>
      </c>
    </row>
    <row r="57" spans="1:15">
      <c r="A57">
        <f t="shared" si="0"/>
        <v>4.3523287400392912</v>
      </c>
      <c r="B57">
        <f t="shared" si="1"/>
        <v>99.721832630213413</v>
      </c>
      <c r="C57">
        <f t="shared" si="2"/>
        <v>145.74056021468684</v>
      </c>
      <c r="D57">
        <f t="shared" si="3"/>
        <v>600.25</v>
      </c>
      <c r="E57">
        <f t="shared" si="4"/>
        <v>855.9024521411751</v>
      </c>
      <c r="F57">
        <f t="shared" si="5"/>
        <v>842.47188662833321</v>
      </c>
      <c r="H57">
        <v>1999</v>
      </c>
      <c r="I57" s="17">
        <f t="shared" si="6"/>
        <v>849.6</v>
      </c>
      <c r="J57" s="17">
        <v>1.6733929442125373</v>
      </c>
      <c r="K57">
        <f t="shared" si="7"/>
        <v>851.27339294421256</v>
      </c>
      <c r="L57">
        <f t="shared" si="9"/>
        <v>849.18716938475416</v>
      </c>
      <c r="N57" s="1">
        <v>51</v>
      </c>
      <c r="O57" s="1">
        <v>838.03935838321922</v>
      </c>
    </row>
    <row r="58" spans="1:15">
      <c r="N58" s="1">
        <v>53</v>
      </c>
      <c r="O58" s="1">
        <v>838.45835640574228</v>
      </c>
    </row>
    <row r="59" spans="1:15">
      <c r="A59" s="16" t="s">
        <v>61</v>
      </c>
      <c r="B59" s="16" t="s">
        <v>62</v>
      </c>
      <c r="C59" s="16" t="s">
        <v>63</v>
      </c>
      <c r="D59" s="18"/>
      <c r="E59" s="18"/>
      <c r="H59">
        <f>AVERAGE(H8:H57)</f>
        <v>1974.5</v>
      </c>
      <c r="K59">
        <f>AVERAGE(K8:K57)</f>
        <v>839.20108743885498</v>
      </c>
      <c r="N59" s="1">
        <v>55</v>
      </c>
      <c r="O59" s="1">
        <v>839.0000553104212</v>
      </c>
    </row>
    <row r="60" spans="1:15">
      <c r="A60" s="16">
        <f>SUM(A8:A57)</f>
        <v>541.14026998421866</v>
      </c>
      <c r="B60" s="16">
        <f>SUM(B8:B57)</f>
        <v>1729.8685252179785</v>
      </c>
      <c r="C60" s="16">
        <f>SUM(C8:C57)</f>
        <v>2271.0087952021991</v>
      </c>
      <c r="D60" s="18"/>
      <c r="E60" s="18"/>
      <c r="N60" s="1">
        <v>57</v>
      </c>
      <c r="O60" s="1">
        <v>839.3839106152999</v>
      </c>
    </row>
    <row r="61" spans="1:15">
      <c r="H61" t="s">
        <v>65</v>
      </c>
      <c r="N61" s="1">
        <v>59</v>
      </c>
      <c r="O61" s="1">
        <v>839.57191120807556</v>
      </c>
    </row>
    <row r="62" spans="1:15">
      <c r="H62">
        <f>SQRT(SUM(D8:D57)/49)</f>
        <v>14.577379737113251</v>
      </c>
      <c r="N62" s="1">
        <v>61</v>
      </c>
      <c r="O62" s="1">
        <v>840.60372295289426</v>
      </c>
    </row>
    <row r="63" spans="1:15">
      <c r="N63" s="1">
        <v>63</v>
      </c>
      <c r="O63" s="1">
        <v>843.04906612856439</v>
      </c>
    </row>
    <row r="64" spans="1:15">
      <c r="N64" s="1">
        <v>65</v>
      </c>
      <c r="O64" s="1">
        <v>843.17026021042261</v>
      </c>
    </row>
    <row r="65" spans="14:15">
      <c r="N65" s="1">
        <v>67</v>
      </c>
      <c r="O65" s="1">
        <v>843.32191781731672</v>
      </c>
    </row>
    <row r="66" spans="14:15">
      <c r="N66" s="1">
        <v>69</v>
      </c>
      <c r="O66" s="1">
        <v>843.51245671986544</v>
      </c>
    </row>
    <row r="67" spans="14:15">
      <c r="N67" s="1">
        <v>71</v>
      </c>
      <c r="O67" s="1">
        <v>843.78312807999907</v>
      </c>
    </row>
    <row r="68" spans="14:15">
      <c r="N68" s="1">
        <v>73</v>
      </c>
      <c r="O68" s="1">
        <v>843.80426822731397</v>
      </c>
    </row>
    <row r="69" spans="14:15">
      <c r="N69" s="1">
        <v>75</v>
      </c>
      <c r="O69" s="1">
        <v>844.26258275385487</v>
      </c>
    </row>
    <row r="70" spans="14:15">
      <c r="N70" s="1">
        <v>77</v>
      </c>
      <c r="O70" s="1">
        <v>844.27492192606735</v>
      </c>
    </row>
    <row r="71" spans="14:15">
      <c r="N71" s="1">
        <v>79</v>
      </c>
      <c r="O71" s="1">
        <v>845.06573142956188</v>
      </c>
    </row>
    <row r="72" spans="14:15">
      <c r="N72" s="1">
        <v>81</v>
      </c>
      <c r="O72" s="1">
        <v>845.27363713344096</v>
      </c>
    </row>
    <row r="73" spans="14:15">
      <c r="N73" s="1">
        <v>83</v>
      </c>
      <c r="O73" s="1">
        <v>846.22894955994275</v>
      </c>
    </row>
    <row r="74" spans="14:15">
      <c r="N74" s="1">
        <v>85</v>
      </c>
      <c r="O74" s="1">
        <v>847.93274831367307</v>
      </c>
    </row>
    <row r="75" spans="14:15">
      <c r="N75" s="1">
        <v>87</v>
      </c>
      <c r="O75" s="1">
        <v>848.20383140508784</v>
      </c>
    </row>
    <row r="76" spans="14:15">
      <c r="N76" s="1">
        <v>89</v>
      </c>
      <c r="O76" s="1">
        <v>848.44569010545388</v>
      </c>
    </row>
    <row r="77" spans="14:15">
      <c r="N77" s="1">
        <v>91</v>
      </c>
      <c r="O77" s="1">
        <v>849.97507038036713</v>
      </c>
    </row>
    <row r="78" spans="14:15">
      <c r="N78" s="1">
        <v>93</v>
      </c>
      <c r="O78" s="1">
        <v>850.25321723216337</v>
      </c>
    </row>
    <row r="79" spans="14:15">
      <c r="N79" s="1">
        <v>95</v>
      </c>
      <c r="O79" s="1">
        <v>850.60612264456586</v>
      </c>
    </row>
    <row r="80" spans="14:15">
      <c r="N80" s="1">
        <v>97</v>
      </c>
      <c r="O80" s="1">
        <v>851.27339294421256</v>
      </c>
    </row>
    <row r="81" spans="14:15" ht="15.75" thickBot="1">
      <c r="N81" s="2">
        <v>99</v>
      </c>
      <c r="O81" s="2">
        <v>853.32137101092383</v>
      </c>
    </row>
    <row r="82" spans="14:15">
      <c r="N82" s="1">
        <v>2.5</v>
      </c>
      <c r="O82" s="1">
        <v>837.51413523778319</v>
      </c>
    </row>
    <row r="83" spans="14:15">
      <c r="N83" s="1">
        <v>7.5</v>
      </c>
      <c r="O83" s="1">
        <v>843.02926880773157</v>
      </c>
    </row>
    <row r="84" spans="14:15">
      <c r="N84" s="1">
        <v>12.5</v>
      </c>
      <c r="O84" s="1">
        <v>843.75292941799853</v>
      </c>
    </row>
    <row r="85" spans="14:15">
      <c r="N85" s="1">
        <v>17.5</v>
      </c>
      <c r="O85" s="1">
        <v>846.73380517681369</v>
      </c>
    </row>
    <row r="86" spans="14:15">
      <c r="N86" s="1">
        <v>22.5</v>
      </c>
      <c r="O86" s="1">
        <v>849.36517401995957</v>
      </c>
    </row>
    <row r="87" spans="14:15">
      <c r="N87" s="1">
        <v>27.5</v>
      </c>
      <c r="O87" s="1">
        <v>850.90687963973619</v>
      </c>
    </row>
    <row r="88" spans="14:15">
      <c r="N88" s="1">
        <v>32.5</v>
      </c>
      <c r="O88" s="1">
        <v>851.70065700432178</v>
      </c>
    </row>
    <row r="89" spans="14:15">
      <c r="N89" s="1">
        <v>37.5</v>
      </c>
      <c r="O89" s="1">
        <v>852.47386339549564</v>
      </c>
    </row>
    <row r="90" spans="14:15">
      <c r="N90" s="1">
        <v>42.5</v>
      </c>
      <c r="O90" s="1">
        <v>853.09679654289801</v>
      </c>
    </row>
    <row r="91" spans="14:15">
      <c r="N91" s="1">
        <v>47.5</v>
      </c>
      <c r="O91" s="1">
        <v>853.53555529424057</v>
      </c>
    </row>
    <row r="92" spans="14:15">
      <c r="N92" s="1">
        <v>52.5</v>
      </c>
      <c r="O92" s="1">
        <v>855.16691713022306</v>
      </c>
    </row>
    <row r="93" spans="14:15">
      <c r="N93" s="1">
        <v>57.5</v>
      </c>
      <c r="O93" s="1">
        <v>856.39598685462852</v>
      </c>
    </row>
    <row r="94" spans="14:15">
      <c r="N94" s="1">
        <v>62.5</v>
      </c>
      <c r="O94" s="1">
        <v>856.53507424026031</v>
      </c>
    </row>
    <row r="95" spans="14:15">
      <c r="N95" s="1">
        <v>67.5</v>
      </c>
      <c r="O95" s="1">
        <v>856.70712776808364</v>
      </c>
    </row>
    <row r="96" spans="14:15">
      <c r="N96" s="1">
        <v>72.5</v>
      </c>
      <c r="O96" s="1">
        <v>856.81297642788275</v>
      </c>
    </row>
    <row r="97" spans="14:15">
      <c r="N97" s="1">
        <v>77.5</v>
      </c>
      <c r="O97" s="1">
        <v>858.10600901078442</v>
      </c>
    </row>
    <row r="98" spans="14:15">
      <c r="N98" s="1">
        <v>82.5</v>
      </c>
      <c r="O98" s="1">
        <v>858.28908183393071</v>
      </c>
    </row>
    <row r="99" spans="14:15">
      <c r="N99" s="1">
        <v>87.5</v>
      </c>
      <c r="O99" s="1">
        <v>858.37304115015434</v>
      </c>
    </row>
    <row r="100" spans="14:15">
      <c r="N100" s="1">
        <v>92.5</v>
      </c>
      <c r="O100" s="1">
        <v>859.58377292286605</v>
      </c>
    </row>
    <row r="101" spans="14:15" ht="15.75" thickBot="1">
      <c r="N101" s="2">
        <v>97.5</v>
      </c>
      <c r="O101" s="2">
        <v>865.32306520957502</v>
      </c>
    </row>
    <row r="106" spans="14:15">
      <c r="N106" t="s">
        <v>35</v>
      </c>
    </row>
    <row r="107" spans="14:15" ht="15.75" thickBot="1"/>
    <row r="108" spans="14:15">
      <c r="N108" s="15" t="s">
        <v>36</v>
      </c>
      <c r="O108" s="15"/>
    </row>
    <row r="109" spans="14:15">
      <c r="N109" s="1" t="s">
        <v>37</v>
      </c>
      <c r="O109" s="1">
        <v>1</v>
      </c>
    </row>
    <row r="110" spans="14:15">
      <c r="N110" s="1" t="s">
        <v>38</v>
      </c>
      <c r="O110" s="1">
        <v>1</v>
      </c>
    </row>
    <row r="111" spans="14:15">
      <c r="N111" s="1" t="s">
        <v>39</v>
      </c>
      <c r="O111" s="1">
        <v>1</v>
      </c>
    </row>
    <row r="112" spans="14:15">
      <c r="N112" s="1" t="s">
        <v>40</v>
      </c>
      <c r="O112" s="1">
        <v>3.3087959798994722E-14</v>
      </c>
    </row>
    <row r="113" spans="14:22" ht="15.75" thickBot="1">
      <c r="N113" s="2" t="s">
        <v>9</v>
      </c>
      <c r="O113" s="2">
        <v>50</v>
      </c>
    </row>
    <row r="115" spans="14:22" ht="15.75" thickBot="1">
      <c r="N115" t="s">
        <v>41</v>
      </c>
    </row>
    <row r="116" spans="14:22">
      <c r="N116" s="3"/>
      <c r="O116" s="3" t="s">
        <v>12</v>
      </c>
      <c r="P116" s="3" t="s">
        <v>46</v>
      </c>
      <c r="Q116" s="3" t="s">
        <v>47</v>
      </c>
      <c r="R116" s="3" t="s">
        <v>25</v>
      </c>
      <c r="S116" s="3" t="s">
        <v>48</v>
      </c>
    </row>
    <row r="117" spans="14:22">
      <c r="N117" s="1" t="s">
        <v>42</v>
      </c>
      <c r="O117" s="1">
        <v>1</v>
      </c>
      <c r="P117" s="1">
        <v>1665.9999999999993</v>
      </c>
      <c r="Q117" s="1">
        <v>1665.9999999999993</v>
      </c>
      <c r="R117" s="1">
        <v>1.5217209447576811E+30</v>
      </c>
      <c r="S117" s="1">
        <v>0</v>
      </c>
    </row>
    <row r="118" spans="14:22">
      <c r="N118" s="1" t="s">
        <v>43</v>
      </c>
      <c r="O118" s="1">
        <v>48</v>
      </c>
      <c r="P118" s="1">
        <v>5.255102801567476E-26</v>
      </c>
      <c r="Q118" s="1">
        <v>1.0948130836598908E-27</v>
      </c>
      <c r="R118" s="1"/>
      <c r="S118" s="1"/>
    </row>
    <row r="119" spans="14:22" ht="15.75" thickBot="1">
      <c r="N119" s="2" t="s">
        <v>44</v>
      </c>
      <c r="O119" s="2">
        <v>49</v>
      </c>
      <c r="P119" s="2">
        <v>1665.9999999999993</v>
      </c>
      <c r="Q119" s="2"/>
      <c r="R119" s="2"/>
      <c r="S119" s="2"/>
    </row>
    <row r="120" spans="14:22" ht="15.75" thickBot="1"/>
    <row r="121" spans="14:22">
      <c r="N121" s="3"/>
      <c r="O121" s="3" t="s">
        <v>49</v>
      </c>
      <c r="P121" s="3" t="s">
        <v>40</v>
      </c>
      <c r="Q121" s="3" t="s">
        <v>13</v>
      </c>
      <c r="R121" s="3" t="s">
        <v>50</v>
      </c>
      <c r="S121" s="3" t="s">
        <v>51</v>
      </c>
      <c r="T121" s="3" t="s">
        <v>52</v>
      </c>
      <c r="U121" s="3" t="s">
        <v>53</v>
      </c>
      <c r="V121" s="3" t="s">
        <v>54</v>
      </c>
    </row>
    <row r="122" spans="14:22">
      <c r="N122" s="1" t="s">
        <v>45</v>
      </c>
      <c r="O122" s="1">
        <v>49.999999999999773</v>
      </c>
      <c r="P122" s="1">
        <v>6.4026714841059651E-13</v>
      </c>
      <c r="Q122" s="1">
        <v>78092402716772.375</v>
      </c>
      <c r="R122" s="1">
        <v>0</v>
      </c>
      <c r="S122" s="1">
        <v>49.999999999998487</v>
      </c>
      <c r="T122" s="1">
        <v>50.000000000001059</v>
      </c>
      <c r="U122" s="1">
        <v>49.999999999998487</v>
      </c>
      <c r="V122" s="1">
        <v>50.000000000001059</v>
      </c>
    </row>
    <row r="123" spans="14:22" ht="15.75" thickBot="1">
      <c r="N123" s="2" t="s">
        <v>55</v>
      </c>
      <c r="O123" s="2">
        <v>0.40000000000000008</v>
      </c>
      <c r="P123" s="2">
        <v>3.2425933090170316E-16</v>
      </c>
      <c r="Q123" s="2">
        <v>1233580538415584.2</v>
      </c>
      <c r="R123" s="2">
        <v>0</v>
      </c>
      <c r="S123" s="2">
        <v>0.39999999999999941</v>
      </c>
      <c r="T123" s="2">
        <v>0.40000000000000074</v>
      </c>
      <c r="U123" s="2">
        <v>0.39999999999999941</v>
      </c>
      <c r="V123" s="2">
        <v>0.40000000000000074</v>
      </c>
    </row>
    <row r="127" spans="14:22">
      <c r="N127" t="s">
        <v>56</v>
      </c>
    </row>
    <row r="128" spans="14:22" ht="15.75" thickBot="1"/>
    <row r="129" spans="14:15">
      <c r="N129" s="3" t="s">
        <v>57</v>
      </c>
      <c r="O129" s="3" t="s">
        <v>30</v>
      </c>
    </row>
    <row r="130" spans="14:15">
      <c r="N130" s="1">
        <v>1</v>
      </c>
      <c r="O130" s="1">
        <v>830</v>
      </c>
    </row>
    <row r="131" spans="14:15">
      <c r="N131" s="1">
        <v>3</v>
      </c>
      <c r="O131" s="1">
        <v>830.40000000000009</v>
      </c>
    </row>
    <row r="132" spans="14:15">
      <c r="N132" s="1">
        <v>5</v>
      </c>
      <c r="O132" s="1">
        <v>830.80000000000007</v>
      </c>
    </row>
    <row r="133" spans="14:15">
      <c r="N133" s="1">
        <v>7</v>
      </c>
      <c r="O133" s="1">
        <v>831.2</v>
      </c>
    </row>
    <row r="134" spans="14:15">
      <c r="N134" s="1">
        <v>9</v>
      </c>
      <c r="O134" s="1">
        <v>831.6</v>
      </c>
    </row>
    <row r="135" spans="14:15">
      <c r="N135" s="1">
        <v>11</v>
      </c>
      <c r="O135" s="1">
        <v>832</v>
      </c>
    </row>
    <row r="136" spans="14:15">
      <c r="N136" s="1">
        <v>13</v>
      </c>
      <c r="O136" s="1">
        <v>832.40000000000009</v>
      </c>
    </row>
    <row r="137" spans="14:15">
      <c r="N137" s="1">
        <v>15</v>
      </c>
      <c r="O137" s="1">
        <v>832.80000000000007</v>
      </c>
    </row>
    <row r="138" spans="14:15">
      <c r="N138" s="1">
        <v>17</v>
      </c>
      <c r="O138" s="1">
        <v>833.2</v>
      </c>
    </row>
    <row r="139" spans="14:15">
      <c r="N139" s="1">
        <v>19</v>
      </c>
      <c r="O139" s="1">
        <v>833.6</v>
      </c>
    </row>
    <row r="140" spans="14:15">
      <c r="N140" s="1">
        <v>21</v>
      </c>
      <c r="O140" s="1">
        <v>834</v>
      </c>
    </row>
    <row r="141" spans="14:15">
      <c r="N141" s="1">
        <v>23</v>
      </c>
      <c r="O141" s="1">
        <v>834.40000000000009</v>
      </c>
    </row>
    <row r="142" spans="14:15">
      <c r="N142" s="1">
        <v>25</v>
      </c>
      <c r="O142" s="1">
        <v>834.80000000000007</v>
      </c>
    </row>
    <row r="143" spans="14:15">
      <c r="N143" s="1">
        <v>27</v>
      </c>
      <c r="O143" s="1">
        <v>835.2</v>
      </c>
    </row>
    <row r="144" spans="14:15">
      <c r="N144" s="1">
        <v>29</v>
      </c>
      <c r="O144" s="1">
        <v>835.6</v>
      </c>
    </row>
    <row r="145" spans="14:15">
      <c r="N145" s="1">
        <v>31</v>
      </c>
      <c r="O145" s="1">
        <v>836</v>
      </c>
    </row>
    <row r="146" spans="14:15">
      <c r="N146" s="1">
        <v>33</v>
      </c>
      <c r="O146" s="1">
        <v>836.40000000000009</v>
      </c>
    </row>
    <row r="147" spans="14:15">
      <c r="N147" s="1">
        <v>35</v>
      </c>
      <c r="O147" s="1">
        <v>836.80000000000007</v>
      </c>
    </row>
    <row r="148" spans="14:15">
      <c r="N148" s="1">
        <v>37</v>
      </c>
      <c r="O148" s="1">
        <v>837.2</v>
      </c>
    </row>
    <row r="149" spans="14:15">
      <c r="N149" s="1">
        <v>39</v>
      </c>
      <c r="O149" s="1">
        <v>837.6</v>
      </c>
    </row>
    <row r="150" spans="14:15">
      <c r="N150" s="1">
        <v>41</v>
      </c>
      <c r="O150" s="1">
        <v>838</v>
      </c>
    </row>
    <row r="151" spans="14:15">
      <c r="N151" s="1">
        <v>43</v>
      </c>
      <c r="O151" s="1">
        <v>838.40000000000009</v>
      </c>
    </row>
    <row r="152" spans="14:15">
      <c r="N152" s="1">
        <v>45</v>
      </c>
      <c r="O152" s="1">
        <v>838.80000000000007</v>
      </c>
    </row>
    <row r="153" spans="14:15">
      <c r="N153" s="1">
        <v>47</v>
      </c>
      <c r="O153" s="1">
        <v>839.2</v>
      </c>
    </row>
    <row r="154" spans="14:15">
      <c r="N154" s="1">
        <v>49</v>
      </c>
      <c r="O154" s="1">
        <v>839.6</v>
      </c>
    </row>
    <row r="155" spans="14:15">
      <c r="N155" s="1">
        <v>51</v>
      </c>
      <c r="O155" s="1">
        <v>840</v>
      </c>
    </row>
    <row r="156" spans="14:15">
      <c r="N156" s="1">
        <v>53</v>
      </c>
      <c r="O156" s="1">
        <v>840.40000000000009</v>
      </c>
    </row>
    <row r="157" spans="14:15">
      <c r="N157" s="1">
        <v>55</v>
      </c>
      <c r="O157" s="1">
        <v>840.80000000000007</v>
      </c>
    </row>
    <row r="158" spans="14:15">
      <c r="N158" s="1">
        <v>57</v>
      </c>
      <c r="O158" s="1">
        <v>841.2</v>
      </c>
    </row>
    <row r="159" spans="14:15">
      <c r="N159" s="1">
        <v>59</v>
      </c>
      <c r="O159" s="1">
        <v>841.6</v>
      </c>
    </row>
    <row r="160" spans="14:15">
      <c r="N160" s="1">
        <v>61</v>
      </c>
      <c r="O160" s="1">
        <v>842</v>
      </c>
    </row>
    <row r="161" spans="14:15">
      <c r="N161" s="1">
        <v>63</v>
      </c>
      <c r="O161" s="1">
        <v>842.40000000000009</v>
      </c>
    </row>
    <row r="162" spans="14:15">
      <c r="N162" s="1">
        <v>65</v>
      </c>
      <c r="O162" s="1">
        <v>842.80000000000007</v>
      </c>
    </row>
    <row r="163" spans="14:15">
      <c r="N163" s="1">
        <v>67</v>
      </c>
      <c r="O163" s="1">
        <v>843.2</v>
      </c>
    </row>
    <row r="164" spans="14:15">
      <c r="N164" s="1">
        <v>69</v>
      </c>
      <c r="O164" s="1">
        <v>843.6</v>
      </c>
    </row>
    <row r="165" spans="14:15">
      <c r="N165" s="1">
        <v>71</v>
      </c>
      <c r="O165" s="1">
        <v>844</v>
      </c>
    </row>
    <row r="166" spans="14:15">
      <c r="N166" s="1">
        <v>73</v>
      </c>
      <c r="O166" s="1">
        <v>844.40000000000009</v>
      </c>
    </row>
    <row r="167" spans="14:15">
      <c r="N167" s="1">
        <v>75</v>
      </c>
      <c r="O167" s="1">
        <v>844.80000000000007</v>
      </c>
    </row>
    <row r="168" spans="14:15">
      <c r="N168" s="1">
        <v>77</v>
      </c>
      <c r="O168" s="1">
        <v>845.2</v>
      </c>
    </row>
    <row r="169" spans="14:15">
      <c r="N169" s="1">
        <v>79</v>
      </c>
      <c r="O169" s="1">
        <v>845.6</v>
      </c>
    </row>
    <row r="170" spans="14:15">
      <c r="N170" s="1">
        <v>81</v>
      </c>
      <c r="O170" s="1">
        <v>846</v>
      </c>
    </row>
    <row r="171" spans="14:15">
      <c r="N171" s="1">
        <v>83</v>
      </c>
      <c r="O171" s="1">
        <v>846.40000000000009</v>
      </c>
    </row>
    <row r="172" spans="14:15">
      <c r="N172" s="1">
        <v>85</v>
      </c>
      <c r="O172" s="1">
        <v>846.80000000000007</v>
      </c>
    </row>
    <row r="173" spans="14:15">
      <c r="N173" s="1">
        <v>87</v>
      </c>
      <c r="O173" s="1">
        <v>847.2</v>
      </c>
    </row>
    <row r="174" spans="14:15">
      <c r="N174" s="1">
        <v>89</v>
      </c>
      <c r="O174" s="1">
        <v>847.6</v>
      </c>
    </row>
    <row r="175" spans="14:15">
      <c r="N175" s="1">
        <v>91</v>
      </c>
      <c r="O175" s="1">
        <v>848</v>
      </c>
    </row>
    <row r="176" spans="14:15">
      <c r="N176" s="1">
        <v>93</v>
      </c>
      <c r="O176" s="1">
        <v>848.40000000000009</v>
      </c>
    </row>
    <row r="177" spans="14:15">
      <c r="N177" s="1">
        <v>95</v>
      </c>
      <c r="O177" s="1">
        <v>848.80000000000007</v>
      </c>
    </row>
    <row r="178" spans="14:15">
      <c r="N178" s="1">
        <v>97</v>
      </c>
      <c r="O178" s="1">
        <v>849.2</v>
      </c>
    </row>
    <row r="179" spans="14:15" ht="15.75" thickBot="1">
      <c r="N179" s="2">
        <v>99</v>
      </c>
      <c r="O179" s="2">
        <v>849.6</v>
      </c>
    </row>
  </sheetData>
  <sortState ref="O130:O179">
    <sortCondition ref="O130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8:W47"/>
  <sheetViews>
    <sheetView tabSelected="1" topLeftCell="D14" workbookViewId="0">
      <selection activeCell="J22" sqref="J22"/>
    </sheetView>
  </sheetViews>
  <sheetFormatPr defaultRowHeight="15"/>
  <cols>
    <col min="4" max="4" width="14.28515625" customWidth="1"/>
    <col min="6" max="6" width="25.5703125" customWidth="1"/>
    <col min="7" max="7" width="14" customWidth="1"/>
    <col min="8" max="8" width="12.5703125" customWidth="1"/>
    <col min="9" max="9" width="13" customWidth="1"/>
    <col min="10" max="10" width="12.7109375" customWidth="1"/>
    <col min="11" max="11" width="14.140625" customWidth="1"/>
    <col min="12" max="12" width="15.28515625" customWidth="1"/>
  </cols>
  <sheetData>
    <row r="8" spans="4:23">
      <c r="G8" s="20"/>
      <c r="H8" s="20"/>
      <c r="I8" s="20"/>
    </row>
    <row r="11" spans="4:23">
      <c r="U11">
        <v>10</v>
      </c>
      <c r="V11">
        <v>12</v>
      </c>
      <c r="W11">
        <v>14</v>
      </c>
    </row>
    <row r="12" spans="4:23">
      <c r="G12" s="21"/>
      <c r="H12" s="21"/>
      <c r="I12" s="21"/>
      <c r="U12">
        <v>10</v>
      </c>
      <c r="V12">
        <v>12</v>
      </c>
      <c r="W12">
        <v>14</v>
      </c>
    </row>
    <row r="13" spans="4:23">
      <c r="G13" s="21"/>
      <c r="H13" s="21"/>
      <c r="I13" s="21"/>
      <c r="U13">
        <v>10</v>
      </c>
      <c r="V13">
        <v>12</v>
      </c>
      <c r="W13">
        <v>14</v>
      </c>
    </row>
    <row r="14" spans="4:23">
      <c r="E14">
        <v>1</v>
      </c>
      <c r="F14">
        <v>2</v>
      </c>
      <c r="G14" s="21">
        <v>3</v>
      </c>
      <c r="H14" s="21">
        <v>4</v>
      </c>
      <c r="I14" s="21">
        <v>5</v>
      </c>
      <c r="U14">
        <v>10</v>
      </c>
      <c r="V14">
        <v>12</v>
      </c>
      <c r="W14">
        <v>14</v>
      </c>
    </row>
    <row r="15" spans="4:23">
      <c r="G15" s="21"/>
      <c r="H15" s="21"/>
      <c r="I15" s="21"/>
      <c r="U15">
        <v>10</v>
      </c>
      <c r="V15">
        <v>12</v>
      </c>
      <c r="W15">
        <v>14</v>
      </c>
    </row>
    <row r="16" spans="4:23">
      <c r="D16" t="s">
        <v>71</v>
      </c>
      <c r="E16" s="27" t="s">
        <v>72</v>
      </c>
      <c r="F16" s="27"/>
      <c r="G16" s="27"/>
      <c r="H16" s="27"/>
      <c r="I16" s="27"/>
      <c r="U16">
        <v>10</v>
      </c>
      <c r="V16">
        <v>12</v>
      </c>
      <c r="W16">
        <v>14</v>
      </c>
    </row>
    <row r="17" spans="4:23">
      <c r="D17" s="20">
        <v>0.1</v>
      </c>
      <c r="E17">
        <v>10</v>
      </c>
      <c r="F17">
        <v>9</v>
      </c>
      <c r="G17">
        <v>11</v>
      </c>
      <c r="H17">
        <v>12</v>
      </c>
      <c r="I17">
        <v>8</v>
      </c>
      <c r="K17">
        <f>VAR(F17:I17)</f>
        <v>3.3333333333333335</v>
      </c>
      <c r="U17">
        <v>10</v>
      </c>
      <c r="V17">
        <v>12</v>
      </c>
      <c r="W17">
        <v>14</v>
      </c>
    </row>
    <row r="18" spans="4:23">
      <c r="D18" s="20">
        <v>0.12</v>
      </c>
      <c r="E18">
        <v>12</v>
      </c>
      <c r="F18">
        <v>11</v>
      </c>
      <c r="G18">
        <v>10</v>
      </c>
      <c r="H18">
        <v>14</v>
      </c>
      <c r="I18">
        <v>13</v>
      </c>
      <c r="K18">
        <f t="shared" ref="K18:K19" si="0">VAR(F18:I18)</f>
        <v>3.3333333333333335</v>
      </c>
      <c r="U18">
        <v>10</v>
      </c>
      <c r="V18">
        <v>12</v>
      </c>
      <c r="W18">
        <v>14</v>
      </c>
    </row>
    <row r="19" spans="4:23">
      <c r="D19" s="20">
        <v>0.14000000000000001</v>
      </c>
      <c r="E19">
        <v>14</v>
      </c>
      <c r="F19">
        <v>12</v>
      </c>
      <c r="G19">
        <v>13</v>
      </c>
      <c r="H19">
        <v>15</v>
      </c>
      <c r="I19">
        <v>15</v>
      </c>
      <c r="K19">
        <f t="shared" si="0"/>
        <v>2.25</v>
      </c>
    </row>
    <row r="22" spans="4:23">
      <c r="F22" t="s">
        <v>73</v>
      </c>
    </row>
    <row r="24" spans="4:23" ht="15.75" thickBot="1">
      <c r="F24" t="s">
        <v>74</v>
      </c>
    </row>
    <row r="25" spans="4:23">
      <c r="F25" s="3" t="s">
        <v>75</v>
      </c>
      <c r="G25" s="3" t="s">
        <v>76</v>
      </c>
      <c r="H25" s="3" t="s">
        <v>77</v>
      </c>
      <c r="I25" s="3" t="s">
        <v>7</v>
      </c>
      <c r="J25" s="3" t="s">
        <v>8</v>
      </c>
    </row>
    <row r="26" spans="4:23">
      <c r="F26" s="1">
        <v>10</v>
      </c>
      <c r="G26" s="1">
        <v>4</v>
      </c>
      <c r="H26" s="1">
        <v>40</v>
      </c>
      <c r="I26" s="1">
        <v>10</v>
      </c>
      <c r="J26" s="1">
        <v>3.3333333333333335</v>
      </c>
    </row>
    <row r="27" spans="4:23">
      <c r="F27" s="1">
        <v>12</v>
      </c>
      <c r="G27" s="1">
        <v>4</v>
      </c>
      <c r="H27" s="1">
        <v>48</v>
      </c>
      <c r="I27" s="1">
        <v>12</v>
      </c>
      <c r="J27" s="1">
        <v>3.3333333333333335</v>
      </c>
    </row>
    <row r="28" spans="4:23" ht="15.75" thickBot="1">
      <c r="F28" s="2">
        <v>14</v>
      </c>
      <c r="G28" s="2">
        <v>4</v>
      </c>
      <c r="H28" s="2">
        <v>55</v>
      </c>
      <c r="I28" s="2">
        <v>13.75</v>
      </c>
      <c r="J28" s="2">
        <v>2.25</v>
      </c>
    </row>
    <row r="31" spans="4:23" ht="15.75" thickBot="1">
      <c r="F31" t="s">
        <v>41</v>
      </c>
    </row>
    <row r="32" spans="4:23">
      <c r="F32" s="3" t="s">
        <v>78</v>
      </c>
      <c r="G32" s="3" t="s">
        <v>46</v>
      </c>
      <c r="H32" s="3" t="s">
        <v>12</v>
      </c>
      <c r="I32" s="3" t="s">
        <v>47</v>
      </c>
      <c r="J32" s="3" t="s">
        <v>25</v>
      </c>
      <c r="K32" s="3" t="s">
        <v>50</v>
      </c>
      <c r="L32" s="3" t="s">
        <v>79</v>
      </c>
    </row>
    <row r="33" spans="6:12">
      <c r="F33" s="1" t="s">
        <v>80</v>
      </c>
      <c r="G33" s="1">
        <v>28.166666666666671</v>
      </c>
      <c r="H33" s="1">
        <v>2</v>
      </c>
      <c r="I33" s="1">
        <v>14.083333333333336</v>
      </c>
      <c r="J33" s="1">
        <v>4.7383177570093462</v>
      </c>
      <c r="K33" s="1">
        <v>3.9290565554571021E-2</v>
      </c>
      <c r="L33" s="1">
        <v>4.2564947291425614</v>
      </c>
    </row>
    <row r="34" spans="6:12">
      <c r="F34" s="1" t="s">
        <v>81</v>
      </c>
      <c r="G34" s="1">
        <v>26.75</v>
      </c>
      <c r="H34" s="1">
        <v>9</v>
      </c>
      <c r="I34" s="1">
        <v>2.9722222222222223</v>
      </c>
      <c r="J34" s="1"/>
      <c r="K34" s="1"/>
      <c r="L34" s="1"/>
    </row>
    <row r="35" spans="6:12">
      <c r="F35" s="1"/>
      <c r="G35" s="1"/>
      <c r="H35" s="1"/>
      <c r="I35" s="1"/>
      <c r="J35" s="1"/>
      <c r="K35" s="1"/>
      <c r="L35" s="1"/>
    </row>
    <row r="36" spans="6:12" ht="15.75" thickBot="1">
      <c r="F36" s="2" t="s">
        <v>44</v>
      </c>
      <c r="G36" s="2">
        <v>54.916666666666671</v>
      </c>
      <c r="H36" s="2">
        <v>11</v>
      </c>
      <c r="I36" s="2"/>
      <c r="J36" s="2"/>
      <c r="K36" s="2"/>
      <c r="L36" s="2"/>
    </row>
    <row r="37" spans="6:12">
      <c r="F37" s="1"/>
      <c r="G37" s="1"/>
      <c r="H37" s="1"/>
      <c r="I37" s="1"/>
      <c r="J37" s="1"/>
      <c r="K37" s="1"/>
      <c r="L37" s="1"/>
    </row>
    <row r="38" spans="6:12">
      <c r="F38" s="1"/>
      <c r="G38" s="1"/>
      <c r="H38" s="1"/>
      <c r="I38" s="1"/>
      <c r="J38" s="1"/>
      <c r="K38" s="1"/>
      <c r="L38" s="1"/>
    </row>
    <row r="45" spans="6:12">
      <c r="F45">
        <v>10</v>
      </c>
      <c r="G45">
        <v>9</v>
      </c>
      <c r="H45">
        <v>11</v>
      </c>
      <c r="I45">
        <v>12</v>
      </c>
      <c r="J45">
        <v>8</v>
      </c>
    </row>
    <row r="46" spans="6:12">
      <c r="F46">
        <v>12</v>
      </c>
      <c r="G46">
        <v>11</v>
      </c>
      <c r="H46">
        <v>10</v>
      </c>
      <c r="I46">
        <v>14</v>
      </c>
      <c r="J46">
        <v>13</v>
      </c>
    </row>
    <row r="47" spans="6:12">
      <c r="F47">
        <v>14</v>
      </c>
      <c r="G47">
        <v>12</v>
      </c>
      <c r="H47">
        <v>13</v>
      </c>
      <c r="I47">
        <v>15</v>
      </c>
      <c r="J47">
        <v>15</v>
      </c>
    </row>
  </sheetData>
  <mergeCells count="1">
    <mergeCell ref="E16:I1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G5:Y69"/>
  <sheetViews>
    <sheetView workbookViewId="0">
      <selection activeCell="K25" sqref="K25"/>
    </sheetView>
  </sheetViews>
  <sheetFormatPr defaultRowHeight="15"/>
  <cols>
    <col min="9" max="9" width="10" customWidth="1"/>
  </cols>
  <sheetData>
    <row r="5" spans="7:25">
      <c r="I5">
        <v>0.7</v>
      </c>
    </row>
    <row r="8" spans="7:25">
      <c r="G8" t="s">
        <v>86</v>
      </c>
      <c r="H8" t="s">
        <v>87</v>
      </c>
      <c r="I8" t="s">
        <v>102</v>
      </c>
      <c r="J8">
        <f>I9</f>
        <v>50</v>
      </c>
      <c r="M8" t="s">
        <v>88</v>
      </c>
      <c r="N8" t="s">
        <v>88</v>
      </c>
      <c r="X8" t="s">
        <v>88</v>
      </c>
      <c r="Y8" t="s">
        <v>88</v>
      </c>
    </row>
    <row r="9" spans="7:25">
      <c r="G9">
        <v>2010</v>
      </c>
      <c r="H9">
        <v>1</v>
      </c>
      <c r="I9">
        <v>50</v>
      </c>
      <c r="J9" s="25">
        <f>I9</f>
        <v>50</v>
      </c>
      <c r="M9">
        <f>I9</f>
        <v>50</v>
      </c>
      <c r="N9" t="s">
        <v>88</v>
      </c>
      <c r="X9">
        <f>I9</f>
        <v>50</v>
      </c>
      <c r="Y9" t="s">
        <v>88</v>
      </c>
    </row>
    <row r="10" spans="7:25">
      <c r="H10">
        <v>2</v>
      </c>
      <c r="I10">
        <v>45</v>
      </c>
      <c r="J10">
        <f>$I$5*I9+(1-$I$5)*J9</f>
        <v>50</v>
      </c>
      <c r="M10">
        <f t="shared" ref="M10:M23" si="0">0.7*I10+0.3*M9</f>
        <v>46.5</v>
      </c>
      <c r="N10" t="s">
        <v>88</v>
      </c>
      <c r="X10">
        <f t="shared" ref="X10:X23" si="1">0.1*I10+0.9*X9</f>
        <v>49.5</v>
      </c>
      <c r="Y10" t="s">
        <v>88</v>
      </c>
    </row>
    <row r="11" spans="7:25">
      <c r="H11">
        <v>3</v>
      </c>
      <c r="I11">
        <v>38</v>
      </c>
      <c r="J11">
        <f t="shared" ref="J11:J23" si="2">$I$5*I10+(1-$I$5)*J10</f>
        <v>46.5</v>
      </c>
      <c r="M11">
        <f t="shared" si="0"/>
        <v>40.549999999999997</v>
      </c>
      <c r="N11" t="s">
        <v>88</v>
      </c>
      <c r="X11">
        <f t="shared" si="1"/>
        <v>48.35</v>
      </c>
      <c r="Y11" t="s">
        <v>88</v>
      </c>
    </row>
    <row r="12" spans="7:25">
      <c r="H12">
        <v>4</v>
      </c>
      <c r="I12">
        <v>65</v>
      </c>
      <c r="J12">
        <f t="shared" si="2"/>
        <v>40.549999999999997</v>
      </c>
      <c r="M12">
        <f t="shared" si="0"/>
        <v>57.664999999999999</v>
      </c>
      <c r="N12">
        <f t="shared" ref="N12:N21" si="3">SQRT(SUMXMY2(I10:I12,M9:M11)/3)</f>
        <v>15.221174943698227</v>
      </c>
      <c r="X12">
        <f t="shared" si="1"/>
        <v>50.015000000000001</v>
      </c>
      <c r="Y12">
        <f t="shared" ref="Y12:Y23" si="4">SQRT(SUMXMY2(I10:I12,X9:X11)/3)</f>
        <v>12.034291282276104</v>
      </c>
    </row>
    <row r="13" spans="7:25">
      <c r="G13">
        <v>2011</v>
      </c>
      <c r="H13">
        <v>1</v>
      </c>
      <c r="I13">
        <v>78</v>
      </c>
      <c r="J13">
        <f t="shared" si="2"/>
        <v>57.664999999999999</v>
      </c>
      <c r="M13">
        <f t="shared" si="0"/>
        <v>71.899499999999989</v>
      </c>
      <c r="N13">
        <f t="shared" si="3"/>
        <v>19.004953082464233</v>
      </c>
      <c r="X13">
        <f t="shared" si="1"/>
        <v>52.813500000000005</v>
      </c>
      <c r="Y13">
        <f t="shared" si="4"/>
        <v>19.938511520839931</v>
      </c>
    </row>
    <row r="14" spans="7:25">
      <c r="H14">
        <v>2</v>
      </c>
      <c r="I14">
        <v>77</v>
      </c>
      <c r="J14">
        <f t="shared" si="2"/>
        <v>71.899499999999989</v>
      </c>
      <c r="M14">
        <f t="shared" si="0"/>
        <v>75.469849999999994</v>
      </c>
      <c r="N14">
        <f t="shared" si="3"/>
        <v>18.595069465228324</v>
      </c>
      <c r="X14">
        <f t="shared" si="1"/>
        <v>55.232150000000011</v>
      </c>
      <c r="Y14">
        <f t="shared" si="4"/>
        <v>23.419148200066257</v>
      </c>
    </row>
    <row r="15" spans="7:25">
      <c r="H15">
        <v>3</v>
      </c>
      <c r="I15">
        <v>95</v>
      </c>
      <c r="J15">
        <f t="shared" si="2"/>
        <v>75.469849999999994</v>
      </c>
      <c r="M15">
        <f t="shared" si="0"/>
        <v>89.140954999999991</v>
      </c>
      <c r="N15">
        <f t="shared" si="3"/>
        <v>16.542410991876814</v>
      </c>
      <c r="X15">
        <f t="shared" si="1"/>
        <v>59.208935000000011</v>
      </c>
      <c r="Y15">
        <f t="shared" si="4"/>
        <v>31.356173772068654</v>
      </c>
    </row>
    <row r="16" spans="7:25">
      <c r="H16">
        <v>4</v>
      </c>
      <c r="I16">
        <v>110</v>
      </c>
      <c r="J16">
        <f t="shared" si="2"/>
        <v>89.140955000000005</v>
      </c>
      <c r="M16">
        <f t="shared" si="0"/>
        <v>103.74228649999999</v>
      </c>
      <c r="N16">
        <f t="shared" si="3"/>
        <v>16.758496527478489</v>
      </c>
      <c r="X16">
        <f t="shared" si="1"/>
        <v>64.28804150000002</v>
      </c>
      <c r="Y16">
        <f t="shared" si="4"/>
        <v>39.775205676010117</v>
      </c>
    </row>
    <row r="17" spans="7:25">
      <c r="G17">
        <v>2012</v>
      </c>
      <c r="H17">
        <v>1</v>
      </c>
      <c r="I17">
        <v>92</v>
      </c>
      <c r="J17">
        <f t="shared" si="2"/>
        <v>103.74228650000001</v>
      </c>
      <c r="M17">
        <f t="shared" si="0"/>
        <v>95.522685949999982</v>
      </c>
      <c r="N17">
        <f t="shared" si="3"/>
        <v>17.836365563856777</v>
      </c>
      <c r="X17">
        <f t="shared" si="1"/>
        <v>67.059237350000018</v>
      </c>
      <c r="Y17">
        <f t="shared" si="4"/>
        <v>40.534622326115418</v>
      </c>
    </row>
    <row r="18" spans="7:25">
      <c r="H18">
        <v>2</v>
      </c>
      <c r="I18">
        <v>115</v>
      </c>
      <c r="J18">
        <f t="shared" si="2"/>
        <v>95.522685949999996</v>
      </c>
      <c r="M18">
        <f t="shared" si="0"/>
        <v>109.15680578499999</v>
      </c>
      <c r="N18">
        <f t="shared" si="3"/>
        <v>17.817096781485244</v>
      </c>
      <c r="X18">
        <f t="shared" si="1"/>
        <v>71.853313615000019</v>
      </c>
      <c r="Y18">
        <f t="shared" si="4"/>
        <v>43.382030270622337</v>
      </c>
    </row>
    <row r="19" spans="7:25">
      <c r="H19">
        <v>3</v>
      </c>
      <c r="I19">
        <v>135</v>
      </c>
      <c r="J19">
        <f t="shared" si="2"/>
        <v>109.156805785</v>
      </c>
      <c r="M19">
        <f t="shared" si="0"/>
        <v>127.24704173550001</v>
      </c>
      <c r="N19">
        <f t="shared" si="3"/>
        <v>19.875594264362011</v>
      </c>
      <c r="X19">
        <f t="shared" si="1"/>
        <v>78.167982253500014</v>
      </c>
      <c r="Y19">
        <f t="shared" si="4"/>
        <v>48.489769947810977</v>
      </c>
    </row>
    <row r="20" spans="7:25">
      <c r="H20">
        <v>4</v>
      </c>
      <c r="I20">
        <v>110</v>
      </c>
      <c r="J20">
        <f t="shared" si="2"/>
        <v>127.24704173550001</v>
      </c>
      <c r="M20">
        <f t="shared" si="0"/>
        <v>115.17411252065</v>
      </c>
      <c r="N20">
        <f t="shared" si="3"/>
        <v>21.171497336927757</v>
      </c>
      <c r="X20">
        <f t="shared" si="1"/>
        <v>81.351184028150016</v>
      </c>
      <c r="Y20">
        <f t="shared" si="4"/>
        <v>49.325781219299728</v>
      </c>
    </row>
    <row r="21" spans="7:25">
      <c r="G21">
        <v>2013</v>
      </c>
      <c r="H21">
        <v>1</v>
      </c>
      <c r="I21">
        <v>120</v>
      </c>
      <c r="J21">
        <f t="shared" si="2"/>
        <v>115.17411252065</v>
      </c>
      <c r="M21">
        <f t="shared" si="0"/>
        <v>118.55223375619499</v>
      </c>
      <c r="N21">
        <f t="shared" si="3"/>
        <v>18.153239617431339</v>
      </c>
      <c r="X21">
        <f t="shared" si="1"/>
        <v>85.21606562533502</v>
      </c>
      <c r="Y21">
        <f t="shared" si="4"/>
        <v>46.527813657513711</v>
      </c>
    </row>
    <row r="22" spans="7:25">
      <c r="H22">
        <v>2</v>
      </c>
      <c r="I22">
        <v>115</v>
      </c>
      <c r="J22">
        <f t="shared" si="2"/>
        <v>118.55223375619501</v>
      </c>
      <c r="M22">
        <f t="shared" si="0"/>
        <v>116.06567012685849</v>
      </c>
      <c r="N22">
        <f>SQRT(SUMXMY2(I20:I22,M19:M21)/3)</f>
        <v>10.541473699125712</v>
      </c>
      <c r="X22">
        <f t="shared" si="1"/>
        <v>88.194459062801513</v>
      </c>
      <c r="Y22">
        <f t="shared" si="4"/>
        <v>33.63575021052138</v>
      </c>
    </row>
    <row r="23" spans="7:25">
      <c r="H23">
        <v>3</v>
      </c>
      <c r="I23">
        <v>150</v>
      </c>
      <c r="J23">
        <f t="shared" si="2"/>
        <v>116.06567012685851</v>
      </c>
      <c r="M23">
        <f t="shared" si="0"/>
        <v>139.81970103805753</v>
      </c>
      <c r="N23">
        <f>SQRT(SUMXMY2(I21:I23,M20:M22)/3)</f>
        <v>19.895110777618893</v>
      </c>
      <c r="X23">
        <f t="shared" si="1"/>
        <v>94.375013156521362</v>
      </c>
      <c r="Y23">
        <f t="shared" si="4"/>
        <v>45.463313464081473</v>
      </c>
    </row>
    <row r="24" spans="7:25">
      <c r="H24">
        <v>4</v>
      </c>
      <c r="I24">
        <v>140</v>
      </c>
      <c r="J24">
        <f>$I$5*I23+(1-$I$5)*J23</f>
        <v>139.81970103805756</v>
      </c>
    </row>
    <row r="25" spans="7:25">
      <c r="J25">
        <f>$I$5*I24+(1-$I$5)*J24</f>
        <v>139.94591031141726</v>
      </c>
      <c r="K25">
        <f>SQRT(SUMXMY2(I22:I24,M21:M23)/3)</f>
        <v>19.699319923231808</v>
      </c>
    </row>
    <row r="27" spans="7:25">
      <c r="K27" s="25"/>
      <c r="L27" s="25"/>
      <c r="M27" s="25"/>
    </row>
    <row r="30" spans="7:25">
      <c r="H30" t="s">
        <v>88</v>
      </c>
      <c r="I30" t="s">
        <v>88</v>
      </c>
      <c r="P30" t="s">
        <v>88</v>
      </c>
      <c r="Q30" t="s">
        <v>88</v>
      </c>
    </row>
    <row r="31" spans="7:25">
      <c r="H31">
        <f>I9</f>
        <v>50</v>
      </c>
      <c r="I31" t="s">
        <v>88</v>
      </c>
      <c r="P31">
        <f>I9</f>
        <v>50</v>
      </c>
      <c r="Q31" t="s">
        <v>88</v>
      </c>
    </row>
    <row r="32" spans="7:25">
      <c r="H32">
        <f t="shared" ref="H32:H45" si="5">0.4*I10+0.6*H31</f>
        <v>48</v>
      </c>
      <c r="I32" t="s">
        <v>88</v>
      </c>
      <c r="P32">
        <f t="shared" ref="P32:P45" si="6">0.7*I10+0.3*P31</f>
        <v>46.5</v>
      </c>
      <c r="Q32" t="s">
        <v>88</v>
      </c>
    </row>
    <row r="33" spans="8:17">
      <c r="H33">
        <f t="shared" si="5"/>
        <v>44</v>
      </c>
      <c r="I33" t="s">
        <v>88</v>
      </c>
      <c r="P33">
        <f t="shared" si="6"/>
        <v>40.549999999999997</v>
      </c>
      <c r="Q33" t="s">
        <v>88</v>
      </c>
    </row>
    <row r="34" spans="8:17">
      <c r="H34">
        <f t="shared" si="5"/>
        <v>52.4</v>
      </c>
      <c r="I34">
        <f t="shared" ref="I34:I45" si="7">SQRT(SUMXMY2(I10:I12,H31:H33)/3)</f>
        <v>13.73559851869101</v>
      </c>
      <c r="P34">
        <f t="shared" si="6"/>
        <v>57.664999999999999</v>
      </c>
      <c r="Q34">
        <f t="shared" ref="Q34:Q45" si="8">SQRT(SUMXMY2(I10:I12,P31:P33)/3)</f>
        <v>15.221174943698227</v>
      </c>
    </row>
    <row r="35" spans="8:17">
      <c r="H35">
        <f t="shared" si="5"/>
        <v>62.64</v>
      </c>
      <c r="I35">
        <f t="shared" si="7"/>
        <v>19.96964362893506</v>
      </c>
      <c r="P35">
        <f t="shared" si="6"/>
        <v>71.899499999999989</v>
      </c>
      <c r="Q35">
        <f t="shared" si="8"/>
        <v>19.004953082464233</v>
      </c>
    </row>
    <row r="36" spans="8:17">
      <c r="H36">
        <f t="shared" si="5"/>
        <v>68.384</v>
      </c>
      <c r="I36">
        <f t="shared" si="7"/>
        <v>20.837223103539174</v>
      </c>
      <c r="P36">
        <f t="shared" si="6"/>
        <v>75.469849999999994</v>
      </c>
      <c r="Q36">
        <f t="shared" si="8"/>
        <v>18.595069465228324</v>
      </c>
    </row>
    <row r="37" spans="8:17">
      <c r="H37">
        <f t="shared" si="5"/>
        <v>79.0304</v>
      </c>
      <c r="I37">
        <f t="shared" si="7"/>
        <v>22.876341898709828</v>
      </c>
      <c r="P37">
        <f t="shared" si="6"/>
        <v>89.140954999999991</v>
      </c>
      <c r="Q37">
        <f t="shared" si="8"/>
        <v>16.542410991876814</v>
      </c>
    </row>
    <row r="38" spans="8:17">
      <c r="H38">
        <f t="shared" si="5"/>
        <v>91.418239999999997</v>
      </c>
      <c r="I38">
        <f t="shared" si="7"/>
        <v>24.991579783065603</v>
      </c>
      <c r="P38">
        <f t="shared" si="6"/>
        <v>103.74228649999999</v>
      </c>
      <c r="Q38">
        <f t="shared" si="8"/>
        <v>16.758496527478489</v>
      </c>
    </row>
    <row r="39" spans="8:17">
      <c r="H39">
        <f t="shared" si="5"/>
        <v>91.65094400000001</v>
      </c>
      <c r="I39">
        <f t="shared" si="7"/>
        <v>23.578705257481804</v>
      </c>
      <c r="P39">
        <f t="shared" si="6"/>
        <v>95.522685949999982</v>
      </c>
      <c r="Q39">
        <f t="shared" si="8"/>
        <v>17.836365563856777</v>
      </c>
    </row>
    <row r="40" spans="8:17">
      <c r="H40">
        <f t="shared" si="5"/>
        <v>100.99056640000001</v>
      </c>
      <c r="I40">
        <f t="shared" si="7"/>
        <v>22.395185382493381</v>
      </c>
      <c r="P40">
        <f t="shared" si="6"/>
        <v>109.15680578499999</v>
      </c>
      <c r="Q40">
        <f t="shared" si="8"/>
        <v>17.817096781485244</v>
      </c>
    </row>
    <row r="41" spans="8:17">
      <c r="H41">
        <f t="shared" si="5"/>
        <v>114.59433984</v>
      </c>
      <c r="I41">
        <f t="shared" si="7"/>
        <v>23.819868699481002</v>
      </c>
      <c r="P41">
        <f t="shared" si="6"/>
        <v>127.24704173550001</v>
      </c>
      <c r="Q41">
        <f t="shared" si="8"/>
        <v>19.875594264362011</v>
      </c>
    </row>
    <row r="42" spans="8:17">
      <c r="H42">
        <f t="shared" si="5"/>
        <v>112.756603904</v>
      </c>
      <c r="I42">
        <f t="shared" si="7"/>
        <v>23.964751535323398</v>
      </c>
      <c r="P42">
        <f t="shared" si="6"/>
        <v>115.17411252065</v>
      </c>
      <c r="Q42">
        <f t="shared" si="8"/>
        <v>21.171497336927757</v>
      </c>
    </row>
    <row r="43" spans="8:17">
      <c r="H43">
        <f t="shared" si="5"/>
        <v>115.65396234239999</v>
      </c>
      <c r="I43">
        <f t="shared" si="7"/>
        <v>20.250237195003979</v>
      </c>
      <c r="P43">
        <f t="shared" si="6"/>
        <v>118.55223375619499</v>
      </c>
      <c r="Q43">
        <f t="shared" si="8"/>
        <v>18.153239617431339</v>
      </c>
    </row>
    <row r="44" spans="8:17">
      <c r="H44">
        <f t="shared" si="5"/>
        <v>115.39237740543999</v>
      </c>
      <c r="I44">
        <f t="shared" si="7"/>
        <v>4.9666357598894022</v>
      </c>
      <c r="P44">
        <f t="shared" si="6"/>
        <v>116.06567012685849</v>
      </c>
      <c r="Q44">
        <f t="shared" si="8"/>
        <v>10.541473699125712</v>
      </c>
    </row>
    <row r="45" spans="8:17">
      <c r="H45">
        <f t="shared" si="5"/>
        <v>129.23542644326398</v>
      </c>
      <c r="I45">
        <f t="shared" si="7"/>
        <v>20.417165942708813</v>
      </c>
      <c r="P45">
        <f t="shared" si="6"/>
        <v>139.81970103805753</v>
      </c>
      <c r="Q45">
        <f t="shared" si="8"/>
        <v>19.895110777618893</v>
      </c>
    </row>
    <row r="54" spans="15:16">
      <c r="O54" t="s">
        <v>88</v>
      </c>
      <c r="P54" t="s">
        <v>88</v>
      </c>
    </row>
    <row r="55" spans="15:16">
      <c r="O55">
        <f>I9</f>
        <v>50</v>
      </c>
      <c r="P55" t="s">
        <v>88</v>
      </c>
    </row>
    <row r="56" spans="15:16">
      <c r="O56">
        <f t="shared" ref="O56:O69" si="9">0.1*I10+0.9*O55</f>
        <v>49.5</v>
      </c>
      <c r="P56" t="s">
        <v>88</v>
      </c>
    </row>
    <row r="57" spans="15:16">
      <c r="O57">
        <f t="shared" si="9"/>
        <v>48.35</v>
      </c>
      <c r="P57" t="s">
        <v>88</v>
      </c>
    </row>
    <row r="58" spans="15:16">
      <c r="O58">
        <f t="shared" si="9"/>
        <v>50.015000000000001</v>
      </c>
      <c r="P58">
        <f t="shared" ref="P58:P69" si="10">SQRT(SUMXMY2(I10:I12,O55:O57)/3)</f>
        <v>12.034291282276104</v>
      </c>
    </row>
    <row r="59" spans="15:16">
      <c r="O59">
        <f t="shared" si="9"/>
        <v>52.813500000000005</v>
      </c>
      <c r="P59">
        <f t="shared" si="10"/>
        <v>19.938511520839931</v>
      </c>
    </row>
    <row r="60" spans="15:16">
      <c r="O60">
        <f t="shared" si="9"/>
        <v>55.232150000000011</v>
      </c>
      <c r="P60">
        <f t="shared" si="10"/>
        <v>23.419148200066257</v>
      </c>
    </row>
    <row r="61" spans="15:16">
      <c r="O61">
        <f t="shared" si="9"/>
        <v>59.208935000000011</v>
      </c>
      <c r="P61">
        <f t="shared" si="10"/>
        <v>31.356173772068654</v>
      </c>
    </row>
    <row r="62" spans="15:16">
      <c r="O62">
        <f t="shared" si="9"/>
        <v>64.28804150000002</v>
      </c>
      <c r="P62">
        <f t="shared" si="10"/>
        <v>39.775205676010117</v>
      </c>
    </row>
    <row r="63" spans="15:16">
      <c r="O63">
        <f t="shared" si="9"/>
        <v>67.059237350000018</v>
      </c>
      <c r="P63">
        <f t="shared" si="10"/>
        <v>40.534622326115418</v>
      </c>
    </row>
    <row r="64" spans="15:16">
      <c r="O64">
        <f t="shared" si="9"/>
        <v>71.853313615000019</v>
      </c>
      <c r="P64">
        <f t="shared" si="10"/>
        <v>43.382030270622337</v>
      </c>
    </row>
    <row r="65" spans="15:16">
      <c r="O65">
        <f t="shared" si="9"/>
        <v>78.167982253500014</v>
      </c>
      <c r="P65">
        <f t="shared" si="10"/>
        <v>48.489769947810977</v>
      </c>
    </row>
    <row r="66" spans="15:16">
      <c r="O66">
        <f t="shared" si="9"/>
        <v>81.351184028150016</v>
      </c>
      <c r="P66">
        <f t="shared" si="10"/>
        <v>49.325781219299728</v>
      </c>
    </row>
    <row r="67" spans="15:16">
      <c r="O67">
        <f t="shared" si="9"/>
        <v>85.21606562533502</v>
      </c>
      <c r="P67">
        <f t="shared" si="10"/>
        <v>46.527813657513711</v>
      </c>
    </row>
    <row r="68" spans="15:16">
      <c r="O68">
        <f t="shared" si="9"/>
        <v>88.194459062801513</v>
      </c>
      <c r="P68">
        <f t="shared" si="10"/>
        <v>33.63575021052138</v>
      </c>
    </row>
    <row r="69" spans="15:16">
      <c r="O69">
        <f t="shared" si="9"/>
        <v>94.375013156521362</v>
      </c>
      <c r="P69">
        <f t="shared" si="10"/>
        <v>45.463313464081473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H5:T36"/>
  <sheetViews>
    <sheetView topLeftCell="F7" workbookViewId="0">
      <selection activeCell="L20" sqref="L20"/>
    </sheetView>
  </sheetViews>
  <sheetFormatPr defaultRowHeight="15"/>
  <cols>
    <col min="8" max="8" width="13.140625" customWidth="1"/>
    <col min="9" max="9" width="10.85546875" customWidth="1"/>
    <col min="11" max="11" width="13.7109375" customWidth="1"/>
    <col min="14" max="14" width="20" customWidth="1"/>
    <col min="18" max="18" width="13.85546875" customWidth="1"/>
    <col min="19" max="19" width="19.140625" customWidth="1"/>
    <col min="20" max="20" width="16.5703125" customWidth="1"/>
  </cols>
  <sheetData>
    <row r="5" spans="8:18">
      <c r="I5" s="27" t="s">
        <v>89</v>
      </c>
      <c r="J5" s="27"/>
      <c r="K5" s="27"/>
      <c r="L5" s="26"/>
    </row>
    <row r="6" spans="8:18">
      <c r="H6" s="19" t="s">
        <v>90</v>
      </c>
      <c r="I6" t="s">
        <v>91</v>
      </c>
      <c r="J6" t="s">
        <v>92</v>
      </c>
      <c r="K6" t="s">
        <v>93</v>
      </c>
    </row>
    <row r="7" spans="8:18">
      <c r="H7" t="s">
        <v>98</v>
      </c>
      <c r="I7">
        <v>7.7</v>
      </c>
      <c r="J7">
        <v>7.8</v>
      </c>
      <c r="K7">
        <v>5.8</v>
      </c>
      <c r="N7" t="s">
        <v>94</v>
      </c>
    </row>
    <row r="8" spans="8:18" ht="15.75" thickBot="1">
      <c r="I8">
        <v>7.9</v>
      </c>
      <c r="J8">
        <v>7.8</v>
      </c>
      <c r="K8">
        <v>8.1</v>
      </c>
    </row>
    <row r="9" spans="8:18">
      <c r="I9">
        <v>6.5</v>
      </c>
      <c r="J9">
        <v>6.7</v>
      </c>
      <c r="K9">
        <v>7.8</v>
      </c>
      <c r="N9" s="3" t="s">
        <v>74</v>
      </c>
      <c r="O9" s="3" t="s">
        <v>76</v>
      </c>
      <c r="P9" s="3" t="s">
        <v>77</v>
      </c>
      <c r="Q9" s="3" t="s">
        <v>7</v>
      </c>
      <c r="R9" s="3" t="s">
        <v>8</v>
      </c>
    </row>
    <row r="10" spans="8:18">
      <c r="H10" t="s">
        <v>99</v>
      </c>
      <c r="I10">
        <v>8.5</v>
      </c>
      <c r="J10">
        <v>7.8</v>
      </c>
      <c r="K10">
        <v>6.1</v>
      </c>
      <c r="N10" s="1" t="s">
        <v>98</v>
      </c>
      <c r="O10" s="1">
        <v>3</v>
      </c>
      <c r="P10" s="1">
        <v>21.3</v>
      </c>
      <c r="Q10" s="1">
        <v>7.1000000000000005</v>
      </c>
      <c r="R10" s="1">
        <v>1.2699999999999818</v>
      </c>
    </row>
    <row r="11" spans="8:18">
      <c r="I11">
        <v>7.7</v>
      </c>
      <c r="J11">
        <v>7.3</v>
      </c>
      <c r="K11">
        <v>8.8000000000000007</v>
      </c>
      <c r="N11" s="1"/>
      <c r="O11" s="1">
        <v>3</v>
      </c>
      <c r="P11" s="1">
        <v>23.799999999999997</v>
      </c>
      <c r="Q11" s="1">
        <v>7.9333333333333327</v>
      </c>
      <c r="R11" s="1">
        <v>2.3333333333368955E-2</v>
      </c>
    </row>
    <row r="12" spans="8:18">
      <c r="I12">
        <v>7.8</v>
      </c>
      <c r="J12">
        <v>6.1</v>
      </c>
      <c r="K12">
        <v>6.5</v>
      </c>
      <c r="N12" s="1"/>
      <c r="O12" s="1">
        <v>3</v>
      </c>
      <c r="P12" s="1">
        <v>21</v>
      </c>
      <c r="Q12" s="1">
        <v>7</v>
      </c>
      <c r="R12" s="1">
        <v>0.48999999999999488</v>
      </c>
    </row>
    <row r="13" spans="8:18">
      <c r="H13" t="s">
        <v>100</v>
      </c>
      <c r="I13">
        <v>9.1</v>
      </c>
      <c r="J13">
        <v>8.6999999999999993</v>
      </c>
      <c r="K13">
        <v>8.6</v>
      </c>
      <c r="N13" s="1" t="s">
        <v>99</v>
      </c>
      <c r="O13" s="1">
        <v>3</v>
      </c>
      <c r="P13" s="1">
        <v>22.4</v>
      </c>
      <c r="Q13" s="1">
        <v>7.4666666666666659</v>
      </c>
      <c r="R13" s="1">
        <v>1.5233333333333547</v>
      </c>
    </row>
    <row r="14" spans="8:18">
      <c r="I14">
        <v>7.5</v>
      </c>
      <c r="J14">
        <v>8.8000000000000007</v>
      </c>
      <c r="K14">
        <v>8.8000000000000007</v>
      </c>
      <c r="N14" s="1"/>
      <c r="O14" s="1">
        <v>3</v>
      </c>
      <c r="P14" s="1">
        <v>23.8</v>
      </c>
      <c r="Q14" s="1">
        <v>7.9333333333333336</v>
      </c>
      <c r="R14" s="1">
        <v>0.60333333333333883</v>
      </c>
    </row>
    <row r="15" spans="8:18">
      <c r="I15">
        <v>6.8</v>
      </c>
      <c r="J15">
        <v>7.3</v>
      </c>
      <c r="K15">
        <v>9</v>
      </c>
      <c r="N15" s="1"/>
      <c r="O15" s="1">
        <v>3</v>
      </c>
      <c r="P15" s="1">
        <v>20.399999999999999</v>
      </c>
      <c r="Q15" s="1">
        <v>6.8</v>
      </c>
      <c r="R15" s="1">
        <v>0.78999999999999204</v>
      </c>
    </row>
    <row r="16" spans="8:18">
      <c r="H16" t="s">
        <v>101</v>
      </c>
      <c r="I16">
        <v>6.5</v>
      </c>
      <c r="J16">
        <v>5.5</v>
      </c>
      <c r="K16">
        <v>5.5</v>
      </c>
      <c r="N16" s="1" t="s">
        <v>100</v>
      </c>
      <c r="O16" s="1">
        <v>3</v>
      </c>
      <c r="P16" s="1">
        <v>26.4</v>
      </c>
      <c r="Q16" s="1">
        <v>8.7999999999999989</v>
      </c>
      <c r="R16" s="1">
        <v>7.000000000000739E-2</v>
      </c>
    </row>
    <row r="17" spans="8:20">
      <c r="I17">
        <v>6.9</v>
      </c>
      <c r="J17">
        <v>7</v>
      </c>
      <c r="K17">
        <v>6.5</v>
      </c>
      <c r="N17" s="1"/>
      <c r="O17" s="1">
        <v>3</v>
      </c>
      <c r="P17" s="1">
        <v>25.1</v>
      </c>
      <c r="Q17" s="1">
        <v>8.3666666666666671</v>
      </c>
      <c r="R17" s="1">
        <v>0.56333333333331836</v>
      </c>
    </row>
    <row r="18" spans="8:20">
      <c r="I18">
        <v>7</v>
      </c>
      <c r="J18">
        <v>7.3</v>
      </c>
      <c r="K18">
        <v>6.5</v>
      </c>
      <c r="N18" s="1"/>
      <c r="O18" s="1">
        <v>3</v>
      </c>
      <c r="P18" s="1">
        <v>23.1</v>
      </c>
      <c r="Q18" s="1">
        <v>7.7</v>
      </c>
      <c r="R18" s="1">
        <v>1.3299999999999983</v>
      </c>
    </row>
    <row r="19" spans="8:20">
      <c r="N19" s="1" t="s">
        <v>101</v>
      </c>
      <c r="O19" s="1">
        <v>3</v>
      </c>
      <c r="P19" s="1">
        <v>17.5</v>
      </c>
      <c r="Q19" s="1">
        <v>5.833333333333333</v>
      </c>
      <c r="R19" s="1">
        <v>0.3333333333333357</v>
      </c>
    </row>
    <row r="20" spans="8:20">
      <c r="N20" s="1"/>
      <c r="O20" s="1">
        <v>3</v>
      </c>
      <c r="P20" s="1">
        <v>20.399999999999999</v>
      </c>
      <c r="Q20" s="1">
        <v>6.8</v>
      </c>
      <c r="R20" s="1">
        <v>7.000000000000739E-2</v>
      </c>
    </row>
    <row r="21" spans="8:20">
      <c r="N21" s="1"/>
      <c r="O21" s="1">
        <v>3</v>
      </c>
      <c r="P21" s="1">
        <v>20.8</v>
      </c>
      <c r="Q21" s="1">
        <v>6.9333333333333336</v>
      </c>
      <c r="R21" s="1">
        <v>0.16333333333332689</v>
      </c>
    </row>
    <row r="22" spans="8:20">
      <c r="H22" s="24"/>
      <c r="I22" s="24"/>
      <c r="J22" s="24"/>
      <c r="K22" s="24"/>
      <c r="L22" s="24"/>
      <c r="N22" s="1"/>
      <c r="O22" s="1"/>
      <c r="P22" s="1"/>
      <c r="Q22" s="1"/>
      <c r="R22" s="1"/>
    </row>
    <row r="23" spans="8:20">
      <c r="H23" s="1"/>
      <c r="I23" s="1"/>
      <c r="J23" s="1"/>
      <c r="K23" s="1"/>
      <c r="L23" s="1"/>
      <c r="N23" s="1" t="s">
        <v>91</v>
      </c>
      <c r="O23" s="1">
        <v>12</v>
      </c>
      <c r="P23" s="1">
        <v>89.9</v>
      </c>
      <c r="Q23" s="1">
        <v>7.4916666666666671</v>
      </c>
      <c r="R23" s="1">
        <v>0.63537878787878366</v>
      </c>
    </row>
    <row r="24" spans="8:20">
      <c r="H24" s="1"/>
      <c r="I24" s="1"/>
      <c r="J24" s="1"/>
      <c r="K24" s="1"/>
      <c r="L24" s="1"/>
      <c r="N24" s="1" t="s">
        <v>92</v>
      </c>
      <c r="O24" s="1">
        <v>12</v>
      </c>
      <c r="P24" s="1">
        <v>88.1</v>
      </c>
      <c r="Q24" s="1">
        <v>7.3416666666666659</v>
      </c>
      <c r="R24" s="1">
        <v>0.91537878787878735</v>
      </c>
    </row>
    <row r="25" spans="8:20" ht="15.75" thickBot="1">
      <c r="H25" s="1"/>
      <c r="I25" s="1"/>
      <c r="J25" s="1"/>
      <c r="K25" s="1"/>
      <c r="L25" s="1"/>
      <c r="N25" s="2" t="s">
        <v>93</v>
      </c>
      <c r="O25" s="2">
        <v>12</v>
      </c>
      <c r="P25" s="2">
        <v>88</v>
      </c>
      <c r="Q25" s="2">
        <v>7.333333333333333</v>
      </c>
      <c r="R25" s="2">
        <v>1.7096969696969651</v>
      </c>
    </row>
    <row r="26" spans="8:20">
      <c r="H26" s="1"/>
      <c r="I26" s="1"/>
      <c r="J26" s="1"/>
      <c r="K26" s="1"/>
      <c r="L26" s="1"/>
    </row>
    <row r="27" spans="8:20">
      <c r="H27" s="1"/>
      <c r="I27" s="1"/>
      <c r="J27" s="1"/>
      <c r="K27" s="1"/>
      <c r="L27" s="1"/>
    </row>
    <row r="28" spans="8:20" ht="15.75" thickBot="1">
      <c r="H28" s="1"/>
      <c r="I28" s="1"/>
      <c r="J28" s="1"/>
      <c r="K28" s="1"/>
      <c r="L28" s="1"/>
      <c r="N28" t="s">
        <v>41</v>
      </c>
    </row>
    <row r="29" spans="8:20">
      <c r="H29" s="1"/>
      <c r="I29" s="1"/>
      <c r="J29" s="1"/>
      <c r="K29" s="1"/>
      <c r="L29" s="1"/>
      <c r="N29" s="3" t="s">
        <v>78</v>
      </c>
      <c r="O29" s="3" t="s">
        <v>46</v>
      </c>
      <c r="P29" s="3" t="s">
        <v>12</v>
      </c>
      <c r="Q29" s="3" t="s">
        <v>47</v>
      </c>
      <c r="R29" s="3" t="s">
        <v>25</v>
      </c>
      <c r="S29" s="3" t="s">
        <v>50</v>
      </c>
      <c r="T29" s="3" t="s">
        <v>79</v>
      </c>
    </row>
    <row r="30" spans="8:20">
      <c r="H30" s="1"/>
      <c r="I30" s="1"/>
      <c r="J30" s="1"/>
      <c r="K30" s="1"/>
      <c r="L30" s="1"/>
      <c r="N30" s="1" t="s">
        <v>95</v>
      </c>
      <c r="O30" s="1">
        <v>21.59555555555556</v>
      </c>
      <c r="P30" s="1">
        <v>11</v>
      </c>
      <c r="Q30" s="1">
        <v>1.9632323232323237</v>
      </c>
      <c r="R30" s="1">
        <v>3.0268249951333472</v>
      </c>
      <c r="S30" s="1">
        <v>1.3000304185955252E-2</v>
      </c>
      <c r="T30" s="1">
        <v>2.2585183570790983</v>
      </c>
    </row>
    <row r="31" spans="8:20">
      <c r="H31" s="1"/>
      <c r="I31" s="1"/>
      <c r="J31" s="1"/>
      <c r="K31" s="1"/>
      <c r="L31" s="1"/>
      <c r="N31" s="1" t="s">
        <v>96</v>
      </c>
      <c r="O31" s="1">
        <v>0.19055555555556225</v>
      </c>
      <c r="P31" s="1">
        <v>2</v>
      </c>
      <c r="Q31" s="1">
        <v>9.5277777777781125E-2</v>
      </c>
      <c r="R31" s="1">
        <v>0.146895074946472</v>
      </c>
      <c r="S31" s="1">
        <v>0.86422433675870647</v>
      </c>
      <c r="T31" s="1">
        <v>3.443356779418532</v>
      </c>
    </row>
    <row r="32" spans="8:20">
      <c r="H32" s="1"/>
      <c r="I32" s="1"/>
      <c r="J32" s="1"/>
      <c r="K32" s="1"/>
      <c r="L32" s="1"/>
      <c r="N32" s="1" t="s">
        <v>97</v>
      </c>
      <c r="O32" s="1">
        <v>14.269444444444442</v>
      </c>
      <c r="P32" s="1">
        <v>22</v>
      </c>
      <c r="Q32" s="1">
        <v>0.64861111111111103</v>
      </c>
      <c r="R32" s="1"/>
      <c r="S32" s="1"/>
      <c r="T32" s="1"/>
    </row>
    <row r="33" spans="8:20">
      <c r="H33" s="1"/>
      <c r="I33" s="1"/>
      <c r="J33" s="1"/>
      <c r="K33" s="1"/>
      <c r="L33" s="1"/>
      <c r="N33" s="1"/>
      <c r="O33" s="1"/>
      <c r="P33" s="1"/>
      <c r="Q33" s="1"/>
      <c r="R33" s="1"/>
      <c r="S33" s="1"/>
      <c r="T33" s="1"/>
    </row>
    <row r="34" spans="8:20" ht="15.75" thickBot="1">
      <c r="H34" s="1"/>
      <c r="I34" s="1"/>
      <c r="J34" s="1"/>
      <c r="K34" s="1"/>
      <c r="L34" s="1"/>
      <c r="N34" s="2" t="s">
        <v>44</v>
      </c>
      <c r="O34" s="2">
        <v>36.055555555555564</v>
      </c>
      <c r="P34" s="2">
        <v>35</v>
      </c>
      <c r="Q34" s="2"/>
      <c r="R34" s="2"/>
      <c r="S34" s="2"/>
      <c r="T34" s="2"/>
    </row>
    <row r="35" spans="8:20">
      <c r="H35" s="1"/>
      <c r="I35" s="1"/>
      <c r="J35" s="1"/>
      <c r="K35" s="1"/>
      <c r="L35" s="1"/>
    </row>
    <row r="36" spans="8:20">
      <c r="H36" s="14"/>
      <c r="I36" s="14"/>
      <c r="J36" s="14"/>
      <c r="K36" s="14"/>
      <c r="L36" s="14"/>
    </row>
  </sheetData>
  <mergeCells count="1">
    <mergeCell ref="I5:K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9</vt:lpstr>
      <vt:lpstr>10</vt:lpstr>
      <vt:lpstr>11</vt:lpstr>
      <vt:lpstr>12</vt:lpstr>
      <vt:lpstr>14</vt:lpstr>
      <vt:lpstr>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Richer</dc:creator>
  <cp:lastModifiedBy>Richer</cp:lastModifiedBy>
  <dcterms:created xsi:type="dcterms:W3CDTF">2019-04-16T10:36:56Z</dcterms:created>
  <dcterms:modified xsi:type="dcterms:W3CDTF">2019-05-30T08:50:30Z</dcterms:modified>
</cp:coreProperties>
</file>