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6 семестр\Москаленко\Лаба_3\"/>
    </mc:Choice>
  </mc:AlternateContent>
  <bookViews>
    <workbookView xWindow="360" yWindow="30" windowWidth="7575" windowHeight="7425" activeTab="9"/>
  </bookViews>
  <sheets>
    <sheet name="Лист1(1)" sheetId="1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definedNames>
    <definedName name="_xlnm._FilterDatabase" localSheetId="0" hidden="1">'Лист1(1)'!$A$1:$F$26</definedName>
    <definedName name="_xlnm._FilterDatabase" localSheetId="1" hidden="1">Лист2!$A$1:$B$32</definedName>
    <definedName name="solver_adj" localSheetId="9" hidden="1">Лист10!$C$78:$G$78</definedName>
    <definedName name="solver_cvg" localSheetId="9" hidden="1">0.0001</definedName>
    <definedName name="solver_drv" localSheetId="9" hidden="1">1</definedName>
    <definedName name="solver_est" localSheetId="9" hidden="1">1</definedName>
    <definedName name="solver_itr" localSheetId="9" hidden="1">100</definedName>
    <definedName name="solver_lin" localSheetId="9" hidden="1">2</definedName>
    <definedName name="solver_neg" localSheetId="9" hidden="1">2</definedName>
    <definedName name="solver_num" localSheetId="9" hidden="1">0</definedName>
    <definedName name="solver_nwt" localSheetId="9" hidden="1">1</definedName>
    <definedName name="solver_opt" localSheetId="9" hidden="1">Лист10!$H$103</definedName>
    <definedName name="solver_pre" localSheetId="9" hidden="1">0.000001</definedName>
    <definedName name="solver_scl" localSheetId="9" hidden="1">2</definedName>
    <definedName name="solver_sho" localSheetId="9" hidden="1">2</definedName>
    <definedName name="solver_tim" localSheetId="9" hidden="1">100</definedName>
    <definedName name="solver_tol" localSheetId="9" hidden="1">0.05</definedName>
    <definedName name="solver_typ" localSheetId="9" hidden="1">3</definedName>
    <definedName name="solver_val" localSheetId="9" hidden="1">590721.01</definedName>
    <definedName name="_xlnm.Extract" localSheetId="0">'Лист1(1)'!$I$4:$N$20</definedName>
    <definedName name="_xlnm.Extract" localSheetId="1">Лист2!$K$5:$L$21</definedName>
    <definedName name="_xlnm.Criteria" localSheetId="0">'Лист1(1)'!$I$1:$N$2</definedName>
    <definedName name="_xlnm.Criteria" localSheetId="1">Лист2!$K$1:$L$2</definedName>
  </definedNames>
  <calcPr calcId="162913"/>
</workbook>
</file>

<file path=xl/calcChain.xml><?xml version="1.0" encoding="utf-8"?>
<calcChain xmlns="http://schemas.openxmlformats.org/spreadsheetml/2006/main">
  <c r="D16" i="10" l="1"/>
  <c r="F13" i="10"/>
  <c r="F9" i="9"/>
  <c r="D20" i="8"/>
  <c r="D19" i="8"/>
  <c r="C16" i="8"/>
  <c r="C14" i="8"/>
  <c r="C12" i="8"/>
  <c r="C10" i="8"/>
  <c r="L41" i="7"/>
  <c r="K41" i="7"/>
  <c r="H41" i="7"/>
  <c r="G41" i="7"/>
  <c r="G21" i="6"/>
  <c r="E5" i="6"/>
  <c r="D5" i="6"/>
  <c r="H5" i="5"/>
  <c r="D9" i="4"/>
  <c r="D7" i="4"/>
  <c r="D6" i="4"/>
  <c r="D5" i="4"/>
  <c r="C7" i="4"/>
  <c r="C6" i="4"/>
  <c r="C5" i="4"/>
  <c r="E3" i="3"/>
  <c r="D3" i="3"/>
  <c r="F2" i="2"/>
  <c r="F1" i="2"/>
  <c r="E29" i="11"/>
  <c r="E27" i="11"/>
  <c r="E23" i="11"/>
  <c r="E18" i="11"/>
  <c r="E14" i="11"/>
  <c r="E9" i="11"/>
  <c r="E5" i="11"/>
  <c r="F16" i="11"/>
  <c r="F19" i="11" s="1"/>
  <c r="F2" i="11"/>
  <c r="F6" i="11" s="1"/>
  <c r="F4" i="11"/>
  <c r="F20" i="11"/>
  <c r="F24" i="11" s="1"/>
  <c r="F17" i="11"/>
  <c r="F13" i="11"/>
  <c r="F11" i="11"/>
  <c r="F26" i="11"/>
  <c r="F25" i="11"/>
  <c r="F28" i="11" s="1"/>
  <c r="F12" i="11"/>
  <c r="F15" i="11" s="1"/>
  <c r="F7" i="11"/>
  <c r="F10" i="11" s="1"/>
  <c r="F8" i="11"/>
  <c r="F21" i="11"/>
  <c r="F22" i="11"/>
  <c r="F3" i="11"/>
  <c r="D79" i="10"/>
  <c r="E79" i="10"/>
  <c r="F79" i="10"/>
  <c r="G79" i="10"/>
  <c r="C79" i="10"/>
  <c r="F30" i="11" l="1"/>
  <c r="C99" i="10"/>
  <c r="C109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C112" i="10"/>
  <c r="C97" i="10"/>
  <c r="H97" i="10" s="1"/>
  <c r="C96" i="10"/>
  <c r="C95" i="10"/>
  <c r="C94" i="10"/>
  <c r="C93" i="10"/>
  <c r="H93" i="10" s="1"/>
  <c r="C92" i="10"/>
  <c r="C83" i="10"/>
  <c r="G83" i="10"/>
  <c r="F83" i="10"/>
  <c r="E83" i="10"/>
  <c r="D83" i="10"/>
  <c r="G82" i="10"/>
  <c r="F82" i="10"/>
  <c r="E82" i="10"/>
  <c r="D82" i="10"/>
  <c r="C82" i="10"/>
  <c r="E108" i="10"/>
  <c r="Q111" i="10" s="1"/>
  <c r="Q114" i="10" s="1"/>
  <c r="H96" i="10"/>
  <c r="H95" i="10"/>
  <c r="H94" i="10"/>
  <c r="H81" i="10"/>
  <c r="H77" i="10"/>
  <c r="G86" i="10" s="1"/>
  <c r="S43" i="10"/>
  <c r="R43" i="10"/>
  <c r="Q43" i="10"/>
  <c r="P43" i="10"/>
  <c r="O43" i="10"/>
  <c r="N43" i="10"/>
  <c r="M43" i="10"/>
  <c r="L43" i="10"/>
  <c r="K43" i="10"/>
  <c r="J43" i="10"/>
  <c r="I43" i="10"/>
  <c r="H43" i="10"/>
  <c r="P39" i="10"/>
  <c r="P42" i="10" s="1"/>
  <c r="P44" i="10" s="1"/>
  <c r="L39" i="10"/>
  <c r="L42" i="10" s="1"/>
  <c r="L44" i="10" s="1"/>
  <c r="H39" i="10"/>
  <c r="H42" i="10" s="1"/>
  <c r="H44" i="10" s="1"/>
  <c r="G43" i="10"/>
  <c r="F43" i="10"/>
  <c r="E43" i="10"/>
  <c r="D43" i="10"/>
  <c r="C43" i="10"/>
  <c r="G39" i="10"/>
  <c r="G42" i="10" s="1"/>
  <c r="G44" i="10" s="1"/>
  <c r="C40" i="10"/>
  <c r="D39" i="10"/>
  <c r="D42" i="10" s="1"/>
  <c r="D44" i="10" s="1"/>
  <c r="C39" i="10"/>
  <c r="C41" i="10" s="1"/>
  <c r="E36" i="10"/>
  <c r="S39" i="10" s="1"/>
  <c r="C37" i="10"/>
  <c r="H21" i="10"/>
  <c r="H22" i="10"/>
  <c r="H23" i="10"/>
  <c r="H24" i="10"/>
  <c r="H25" i="10"/>
  <c r="H20" i="10"/>
  <c r="C26" i="10"/>
  <c r="H26" i="10" s="1"/>
  <c r="F14" i="10"/>
  <c r="E13" i="10"/>
  <c r="E12" i="10"/>
  <c r="D12" i="10"/>
  <c r="C12" i="10"/>
  <c r="H11" i="10"/>
  <c r="H10" i="10"/>
  <c r="H9" i="10"/>
  <c r="H15" i="10" s="1"/>
  <c r="D7" i="10"/>
  <c r="E7" i="10"/>
  <c r="F7" i="10"/>
  <c r="H7" i="10" s="1"/>
  <c r="G7" i="10"/>
  <c r="C7" i="10"/>
  <c r="H5" i="10"/>
  <c r="G14" i="10" s="1"/>
  <c r="M16" i="9"/>
  <c r="M14" i="9"/>
  <c r="M13" i="9"/>
  <c r="M12" i="9"/>
  <c r="M15" i="9" s="1"/>
  <c r="L12" i="9"/>
  <c r="K12" i="9"/>
  <c r="J12" i="9"/>
  <c r="I12" i="9"/>
  <c r="H12" i="9"/>
  <c r="G12" i="9"/>
  <c r="F12" i="9"/>
  <c r="E12" i="9"/>
  <c r="D12" i="9"/>
  <c r="C12" i="9"/>
  <c r="D11" i="9"/>
  <c r="F7" i="9"/>
  <c r="F5" i="9"/>
  <c r="F3" i="9"/>
  <c r="M20" i="8"/>
  <c r="M21" i="8"/>
  <c r="M19" i="8"/>
  <c r="L19" i="8"/>
  <c r="K19" i="8"/>
  <c r="J19" i="8"/>
  <c r="I19" i="8"/>
  <c r="H19" i="8"/>
  <c r="G19" i="8"/>
  <c r="F19" i="8"/>
  <c r="E19" i="8"/>
  <c r="C19" i="8"/>
  <c r="C20" i="8" s="1"/>
  <c r="D18" i="8"/>
  <c r="E18" i="8" s="1"/>
  <c r="F18" i="8" s="1"/>
  <c r="G18" i="8" s="1"/>
  <c r="H18" i="8" s="1"/>
  <c r="I18" i="8" s="1"/>
  <c r="J18" i="8" s="1"/>
  <c r="K18" i="8" s="1"/>
  <c r="L18" i="8" s="1"/>
  <c r="M18" i="8" s="1"/>
  <c r="K43" i="7"/>
  <c r="L43" i="7" s="1"/>
  <c r="M43" i="7" s="1"/>
  <c r="K44" i="7"/>
  <c r="L44" i="7" s="1"/>
  <c r="M44" i="7" s="1"/>
  <c r="K45" i="7"/>
  <c r="L45" i="7" s="1"/>
  <c r="M45" i="7" s="1"/>
  <c r="K46" i="7"/>
  <c r="L46" i="7" s="1"/>
  <c r="M46" i="7" s="1"/>
  <c r="K47" i="7"/>
  <c r="L47" i="7" s="1"/>
  <c r="M47" i="7" s="1"/>
  <c r="K48" i="7"/>
  <c r="L48" i="7" s="1"/>
  <c r="M48" i="7" s="1"/>
  <c r="K49" i="7"/>
  <c r="L49" i="7" s="1"/>
  <c r="M49" i="7" s="1"/>
  <c r="K50" i="7"/>
  <c r="L50" i="7" s="1"/>
  <c r="M50" i="7" s="1"/>
  <c r="K42" i="7"/>
  <c r="L42" i="7" s="1"/>
  <c r="M42" i="7" s="1"/>
  <c r="M41" i="7"/>
  <c r="E5" i="7"/>
  <c r="C5" i="7"/>
  <c r="D5" i="7" s="1"/>
  <c r="G49" i="7"/>
  <c r="H49" i="7" s="1"/>
  <c r="G47" i="7"/>
  <c r="G43" i="7"/>
  <c r="H43" i="7" s="1"/>
  <c r="G50" i="7"/>
  <c r="H50" i="7" s="1"/>
  <c r="G48" i="7"/>
  <c r="H48" i="7" s="1"/>
  <c r="G45" i="7"/>
  <c r="G44" i="7"/>
  <c r="H44" i="7" s="1"/>
  <c r="G42" i="7"/>
  <c r="H42" i="7" s="1"/>
  <c r="G46" i="7"/>
  <c r="H45" i="7" s="1"/>
  <c r="C13" i="7"/>
  <c r="C12" i="7"/>
  <c r="C8" i="7"/>
  <c r="C14" i="7"/>
  <c r="C11" i="7"/>
  <c r="C9" i="7"/>
  <c r="C7" i="7"/>
  <c r="C6" i="7"/>
  <c r="C10" i="7"/>
  <c r="H23" i="6"/>
  <c r="H21" i="6"/>
  <c r="G26" i="6"/>
  <c r="H26" i="6" s="1"/>
  <c r="G28" i="6"/>
  <c r="H28" i="6" s="1"/>
  <c r="G22" i="6"/>
  <c r="H22" i="6" s="1"/>
  <c r="G25" i="6"/>
  <c r="H25" i="6" s="1"/>
  <c r="G23" i="6"/>
  <c r="G27" i="6"/>
  <c r="H27" i="6" s="1"/>
  <c r="G29" i="6"/>
  <c r="H29" i="6" s="1"/>
  <c r="G24" i="6"/>
  <c r="H24" i="6" s="1"/>
  <c r="G30" i="6"/>
  <c r="H30" i="6" s="1"/>
  <c r="I5" i="5"/>
  <c r="D4" i="3"/>
  <c r="D8" i="6"/>
  <c r="D12" i="6"/>
  <c r="D6" i="6"/>
  <c r="D9" i="6"/>
  <c r="D11" i="6"/>
  <c r="D7" i="6"/>
  <c r="D10" i="6"/>
  <c r="D14" i="6"/>
  <c r="D13" i="6"/>
  <c r="H10" i="5"/>
  <c r="I10" i="5" s="1"/>
  <c r="H6" i="5"/>
  <c r="I6" i="5" s="1"/>
  <c r="H12" i="5"/>
  <c r="I12" i="5" s="1"/>
  <c r="H7" i="5"/>
  <c r="I7" i="5" s="1"/>
  <c r="H8" i="5"/>
  <c r="I8" i="5" s="1"/>
  <c r="H9" i="5"/>
  <c r="I9" i="5" s="1"/>
  <c r="H11" i="5"/>
  <c r="I11" i="5" s="1"/>
  <c r="E6" i="4"/>
  <c r="E5" i="4"/>
  <c r="C8" i="4"/>
  <c r="C9" i="4"/>
  <c r="C10" i="4"/>
  <c r="C11" i="4"/>
  <c r="C12" i="4"/>
  <c r="C13" i="4"/>
  <c r="C14" i="4"/>
  <c r="C15" i="4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25" i="3" s="1"/>
  <c r="F5" i="3"/>
  <c r="F4" i="3"/>
  <c r="F3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26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L12" i="2"/>
  <c r="F4" i="2"/>
  <c r="J20" i="8" l="1"/>
  <c r="F20" i="8"/>
  <c r="I20" i="8"/>
  <c r="E20" i="8"/>
  <c r="L20" i="8"/>
  <c r="H20" i="8"/>
  <c r="K20" i="8"/>
  <c r="G20" i="8"/>
  <c r="H18" i="10"/>
  <c r="S42" i="10"/>
  <c r="S44" i="10" s="1"/>
  <c r="S41" i="10"/>
  <c r="S40" i="10" s="1"/>
  <c r="H16" i="10"/>
  <c r="H17" i="10" s="1"/>
  <c r="D8" i="4"/>
  <c r="E7" i="4"/>
  <c r="I21" i="8"/>
  <c r="I41" i="7"/>
  <c r="H47" i="7"/>
  <c r="F21" i="8"/>
  <c r="J21" i="8"/>
  <c r="G41" i="10"/>
  <c r="G40" i="10" s="1"/>
  <c r="G84" i="10"/>
  <c r="E86" i="10"/>
  <c r="F111" i="10"/>
  <c r="J111" i="10"/>
  <c r="N111" i="10"/>
  <c r="R111" i="10"/>
  <c r="H46" i="7"/>
  <c r="G21" i="8"/>
  <c r="K21" i="8"/>
  <c r="D13" i="10"/>
  <c r="D15" i="10" s="1"/>
  <c r="E14" i="10"/>
  <c r="E15" i="10" s="1"/>
  <c r="G12" i="10"/>
  <c r="C28" i="10"/>
  <c r="H28" i="10" s="1"/>
  <c r="E39" i="10"/>
  <c r="D41" i="10"/>
  <c r="D40" i="10" s="1"/>
  <c r="C42" i="10"/>
  <c r="C44" i="10" s="1"/>
  <c r="I39" i="10"/>
  <c r="M39" i="10"/>
  <c r="Q39" i="10"/>
  <c r="H41" i="10"/>
  <c r="H40" i="10" s="1"/>
  <c r="L41" i="10"/>
  <c r="L40" i="10" s="1"/>
  <c r="P41" i="10"/>
  <c r="P40" i="10" s="1"/>
  <c r="E85" i="10"/>
  <c r="C111" i="10"/>
  <c r="G111" i="10"/>
  <c r="K111" i="10"/>
  <c r="O111" i="10"/>
  <c r="S111" i="10"/>
  <c r="D21" i="8"/>
  <c r="H21" i="8"/>
  <c r="L21" i="8"/>
  <c r="D14" i="9"/>
  <c r="D14" i="10"/>
  <c r="F12" i="10"/>
  <c r="G13" i="10"/>
  <c r="F39" i="10"/>
  <c r="J39" i="10"/>
  <c r="N39" i="10"/>
  <c r="R39" i="10"/>
  <c r="C84" i="10"/>
  <c r="F85" i="10"/>
  <c r="D111" i="10"/>
  <c r="D113" i="10" s="1"/>
  <c r="D112" i="10" s="1"/>
  <c r="H111" i="10"/>
  <c r="H113" i="10" s="1"/>
  <c r="H112" i="10" s="1"/>
  <c r="L111" i="10"/>
  <c r="L113" i="10" s="1"/>
  <c r="L112" i="10" s="1"/>
  <c r="P111" i="10"/>
  <c r="P113" i="10" s="1"/>
  <c r="P112" i="10" s="1"/>
  <c r="E21" i="8"/>
  <c r="K39" i="10"/>
  <c r="O39" i="10"/>
  <c r="F84" i="10"/>
  <c r="D86" i="10"/>
  <c r="E111" i="10"/>
  <c r="E113" i="10" s="1"/>
  <c r="E112" i="10" s="1"/>
  <c r="I111" i="10"/>
  <c r="I114" i="10" s="1"/>
  <c r="I116" i="10" s="1"/>
  <c r="M111" i="10"/>
  <c r="M113" i="10" s="1"/>
  <c r="M112" i="10" s="1"/>
  <c r="D13" i="9"/>
  <c r="D15" i="9" s="1"/>
  <c r="D16" i="9"/>
  <c r="E11" i="9"/>
  <c r="E16" i="9" s="1"/>
  <c r="Q116" i="10"/>
  <c r="E114" i="10"/>
  <c r="E116" i="10" s="1"/>
  <c r="M114" i="10"/>
  <c r="M116" i="10" s="1"/>
  <c r="Q113" i="10"/>
  <c r="Q112" i="10" s="1"/>
  <c r="D114" i="10"/>
  <c r="D116" i="10" s="1"/>
  <c r="H114" i="10"/>
  <c r="H116" i="10" s="1"/>
  <c r="L114" i="10"/>
  <c r="L116" i="10" s="1"/>
  <c r="P114" i="10"/>
  <c r="P116" i="10" s="1"/>
  <c r="C98" i="10"/>
  <c r="H92" i="10"/>
  <c r="H83" i="10"/>
  <c r="H82" i="10"/>
  <c r="G87" i="10"/>
  <c r="G90" i="10" s="1"/>
  <c r="D84" i="10"/>
  <c r="D87" i="10" s="1"/>
  <c r="D90" i="10" s="1"/>
  <c r="C85" i="10"/>
  <c r="G85" i="10"/>
  <c r="F86" i="10"/>
  <c r="F87" i="10" s="1"/>
  <c r="H79" i="10"/>
  <c r="E84" i="10"/>
  <c r="E87" i="10" s="1"/>
  <c r="D85" i="10"/>
  <c r="C86" i="10"/>
  <c r="D6" i="7"/>
  <c r="D15" i="6"/>
  <c r="E11" i="6" s="1"/>
  <c r="F5" i="6"/>
  <c r="G5" i="6" s="1"/>
  <c r="E7" i="6"/>
  <c r="E10" i="6"/>
  <c r="E6" i="6"/>
  <c r="F3" i="2"/>
  <c r="E15" i="6" l="1"/>
  <c r="E18" i="10"/>
  <c r="E16" i="10"/>
  <c r="E17" i="10" s="1"/>
  <c r="D18" i="10"/>
  <c r="D17" i="10"/>
  <c r="R42" i="10"/>
  <c r="R44" i="10" s="1"/>
  <c r="R41" i="10"/>
  <c r="R40" i="10" s="1"/>
  <c r="O114" i="10"/>
  <c r="O116" i="10" s="1"/>
  <c r="O113" i="10"/>
  <c r="O112" i="10" s="1"/>
  <c r="Q42" i="10"/>
  <c r="Q44" i="10" s="1"/>
  <c r="Q41" i="10"/>
  <c r="Q40" i="10" s="1"/>
  <c r="G15" i="10"/>
  <c r="N114" i="10"/>
  <c r="N116" i="10" s="1"/>
  <c r="N113" i="10"/>
  <c r="N112" i="10" s="1"/>
  <c r="C100" i="10"/>
  <c r="H100" i="10" s="1"/>
  <c r="H98" i="10"/>
  <c r="N42" i="10"/>
  <c r="N44" i="10" s="1"/>
  <c r="N41" i="10"/>
  <c r="N40" i="10" s="1"/>
  <c r="F15" i="10"/>
  <c r="K114" i="10"/>
  <c r="K116" i="10" s="1"/>
  <c r="K113" i="10"/>
  <c r="K112" i="10" s="1"/>
  <c r="M42" i="10"/>
  <c r="M44" i="10" s="1"/>
  <c r="M41" i="10"/>
  <c r="M40" i="10" s="1"/>
  <c r="E42" i="10"/>
  <c r="E44" i="10" s="1"/>
  <c r="E41" i="10"/>
  <c r="E40" i="10" s="1"/>
  <c r="J113" i="10"/>
  <c r="J112" i="10" s="1"/>
  <c r="J114" i="10"/>
  <c r="J116" i="10" s="1"/>
  <c r="J41" i="7"/>
  <c r="I42" i="7"/>
  <c r="E8" i="4"/>
  <c r="H29" i="10"/>
  <c r="O42" i="10"/>
  <c r="O44" i="10" s="1"/>
  <c r="O41" i="10"/>
  <c r="O40" i="10" s="1"/>
  <c r="J42" i="10"/>
  <c r="J44" i="10" s="1"/>
  <c r="J41" i="10"/>
  <c r="J40" i="10" s="1"/>
  <c r="G114" i="10"/>
  <c r="G116" i="10" s="1"/>
  <c r="G113" i="10"/>
  <c r="G112" i="10" s="1"/>
  <c r="I42" i="10"/>
  <c r="I44" i="10" s="1"/>
  <c r="I41" i="10"/>
  <c r="I40" i="10" s="1"/>
  <c r="F114" i="10"/>
  <c r="F116" i="10" s="1"/>
  <c r="F113" i="10"/>
  <c r="F112" i="10" s="1"/>
  <c r="C87" i="10"/>
  <c r="I113" i="10"/>
  <c r="I112" i="10" s="1"/>
  <c r="K42" i="10"/>
  <c r="K44" i="10" s="1"/>
  <c r="K41" i="10"/>
  <c r="K40" i="10" s="1"/>
  <c r="F42" i="10"/>
  <c r="F44" i="10" s="1"/>
  <c r="F41" i="10"/>
  <c r="F40" i="10" s="1"/>
  <c r="S114" i="10"/>
  <c r="S116" i="10" s="1"/>
  <c r="S113" i="10"/>
  <c r="S112" i="10" s="1"/>
  <c r="C114" i="10"/>
  <c r="C116" i="10" s="1"/>
  <c r="C113" i="10"/>
  <c r="R114" i="10"/>
  <c r="R116" i="10" s="1"/>
  <c r="R113" i="10"/>
  <c r="R112" i="10" s="1"/>
  <c r="H31" i="10"/>
  <c r="F11" i="9"/>
  <c r="E14" i="9"/>
  <c r="E13" i="9"/>
  <c r="E15" i="9" s="1"/>
  <c r="H87" i="10"/>
  <c r="H90" i="10" s="1"/>
  <c r="G88" i="10"/>
  <c r="G89" i="10" s="1"/>
  <c r="F90" i="10"/>
  <c r="F88" i="10"/>
  <c r="F89" i="10" s="1"/>
  <c r="C90" i="10"/>
  <c r="C88" i="10"/>
  <c r="C89" i="10" s="1"/>
  <c r="H78" i="10"/>
  <c r="E90" i="10"/>
  <c r="E88" i="10"/>
  <c r="E89" i="10" s="1"/>
  <c r="D88" i="10"/>
  <c r="D89" i="10" s="1"/>
  <c r="E6" i="7"/>
  <c r="D7" i="7"/>
  <c r="E14" i="6"/>
  <c r="E12" i="6"/>
  <c r="E13" i="6"/>
  <c r="E9" i="6"/>
  <c r="E8" i="6"/>
  <c r="F6" i="6"/>
  <c r="G6" i="6" s="1"/>
  <c r="I43" i="7" l="1"/>
  <c r="J42" i="7"/>
  <c r="G18" i="10"/>
  <c r="G16" i="10"/>
  <c r="G17" i="10" s="1"/>
  <c r="F18" i="10"/>
  <c r="F16" i="10"/>
  <c r="F17" i="10" s="1"/>
  <c r="F7" i="6"/>
  <c r="D10" i="4"/>
  <c r="E9" i="4"/>
  <c r="G11" i="9"/>
  <c r="F14" i="9"/>
  <c r="F16" i="9"/>
  <c r="F13" i="9"/>
  <c r="F15" i="9" s="1"/>
  <c r="H102" i="10"/>
  <c r="H88" i="10"/>
  <c r="H89" i="10" s="1"/>
  <c r="H103" i="10"/>
  <c r="H101" i="10"/>
  <c r="D8" i="7"/>
  <c r="E7" i="7"/>
  <c r="F8" i="6"/>
  <c r="D11" i="4" l="1"/>
  <c r="E10" i="4"/>
  <c r="J43" i="7"/>
  <c r="I44" i="7"/>
  <c r="G14" i="9"/>
  <c r="G16" i="9"/>
  <c r="H11" i="9"/>
  <c r="G13" i="9"/>
  <c r="G15" i="9" s="1"/>
  <c r="D9" i="7"/>
  <c r="E8" i="7"/>
  <c r="F9" i="6"/>
  <c r="G8" i="6"/>
  <c r="I45" i="7" l="1"/>
  <c r="J44" i="7"/>
  <c r="D12" i="4"/>
  <c r="E11" i="4"/>
  <c r="I11" i="9"/>
  <c r="H14" i="9"/>
  <c r="H13" i="9"/>
  <c r="H15" i="9" s="1"/>
  <c r="H16" i="9"/>
  <c r="D10" i="7"/>
  <c r="E9" i="7"/>
  <c r="F10" i="6"/>
  <c r="G9" i="6"/>
  <c r="D13" i="4" l="1"/>
  <c r="E12" i="4"/>
  <c r="I46" i="7"/>
  <c r="J45" i="7"/>
  <c r="I14" i="9"/>
  <c r="I13" i="9"/>
  <c r="I15" i="9" s="1"/>
  <c r="J11" i="9"/>
  <c r="D11" i="7"/>
  <c r="E10" i="7"/>
  <c r="F11" i="6"/>
  <c r="G10" i="6"/>
  <c r="I47" i="7" l="1"/>
  <c r="J46" i="7"/>
  <c r="D14" i="4"/>
  <c r="E13" i="4"/>
  <c r="J14" i="9"/>
  <c r="I16" i="9"/>
  <c r="J13" i="9"/>
  <c r="J15" i="9" s="1"/>
  <c r="K11" i="9"/>
  <c r="D12" i="7"/>
  <c r="E11" i="7"/>
  <c r="F12" i="6"/>
  <c r="G11" i="6"/>
  <c r="D15" i="4" l="1"/>
  <c r="E15" i="4" s="1"/>
  <c r="E14" i="4"/>
  <c r="I48" i="7"/>
  <c r="J47" i="7"/>
  <c r="K14" i="9"/>
  <c r="K13" i="9"/>
  <c r="K15" i="9" s="1"/>
  <c r="J16" i="9"/>
  <c r="L11" i="9"/>
  <c r="D13" i="7"/>
  <c r="E12" i="7"/>
  <c r="F13" i="6"/>
  <c r="G12" i="6"/>
  <c r="I49" i="7" l="1"/>
  <c r="J48" i="7"/>
  <c r="L13" i="9"/>
  <c r="L15" i="9" s="1"/>
  <c r="L14" i="9"/>
  <c r="L16" i="9"/>
  <c r="K16" i="9"/>
  <c r="M11" i="9"/>
  <c r="D14" i="7"/>
  <c r="E14" i="7" s="1"/>
  <c r="E13" i="7"/>
  <c r="F14" i="6"/>
  <c r="G14" i="6" s="1"/>
  <c r="G13" i="6"/>
  <c r="H6" i="10"/>
  <c r="H30" i="10" s="1"/>
  <c r="C13" i="10"/>
  <c r="C14" i="10"/>
  <c r="C15" i="10" l="1"/>
  <c r="I50" i="7"/>
  <c r="J50" i="7" s="1"/>
  <c r="J49" i="7"/>
  <c r="C18" i="10" l="1"/>
  <c r="C16" i="10"/>
  <c r="C17" i="10" s="1"/>
</calcChain>
</file>

<file path=xl/sharedStrings.xml><?xml version="1.0" encoding="utf-8"?>
<sst xmlns="http://schemas.openxmlformats.org/spreadsheetml/2006/main" count="405" uniqueCount="260">
  <si>
    <t>С009</t>
  </si>
  <si>
    <t>С010</t>
  </si>
  <si>
    <t>С006</t>
  </si>
  <si>
    <t>С007</t>
  </si>
  <si>
    <t>&gt;20.01.2016</t>
  </si>
  <si>
    <t>Общий итог</t>
  </si>
  <si>
    <t>Общее среднее</t>
  </si>
  <si>
    <t>Дата</t>
  </si>
  <si>
    <t xml:space="preserve">01 мая </t>
  </si>
  <si>
    <t xml:space="preserve">02 мая </t>
  </si>
  <si>
    <t xml:space="preserve">22 мая </t>
  </si>
  <si>
    <t xml:space="preserve">03 мая </t>
  </si>
  <si>
    <t>09 мая.</t>
  </si>
  <si>
    <t xml:space="preserve">29 мая </t>
  </si>
  <si>
    <t>10 мая.</t>
  </si>
  <si>
    <t>&gt;400000</t>
  </si>
  <si>
    <t>&lt;300000</t>
  </si>
  <si>
    <t>Сумма продаж за месяц, грн.</t>
  </si>
  <si>
    <t>Alcatel</t>
  </si>
  <si>
    <t>HTC</t>
  </si>
  <si>
    <t>Fly</t>
  </si>
  <si>
    <t>LG</t>
  </si>
  <si>
    <t>Apple</t>
  </si>
  <si>
    <t>Asus</t>
  </si>
  <si>
    <t>Lenovo</t>
  </si>
  <si>
    <t>Nokia</t>
  </si>
  <si>
    <t>Phillips</t>
  </si>
  <si>
    <t>Samsung</t>
  </si>
  <si>
    <t>Sony</t>
  </si>
  <si>
    <t>Группа</t>
  </si>
  <si>
    <t>Товар</t>
  </si>
  <si>
    <t>6. Сливки</t>
  </si>
  <si>
    <t>7. Йогурт</t>
  </si>
  <si>
    <t>10. Айран</t>
  </si>
  <si>
    <t>Х</t>
  </si>
  <si>
    <t>У</t>
  </si>
  <si>
    <t>Z</t>
  </si>
  <si>
    <t>А</t>
  </si>
  <si>
    <t>-</t>
  </si>
  <si>
    <t>В</t>
  </si>
  <si>
    <t>С</t>
  </si>
  <si>
    <t>Номер позиции</t>
  </si>
  <si>
    <t>I квартал</t>
  </si>
  <si>
    <t>II квартал</t>
  </si>
  <si>
    <t>III квартал</t>
  </si>
  <si>
    <t>IV квартал</t>
  </si>
  <si>
    <t>AX</t>
  </si>
  <si>
    <t>AZ</t>
  </si>
  <si>
    <t>BY</t>
  </si>
  <si>
    <t>BZ</t>
  </si>
  <si>
    <t>CX</t>
  </si>
  <si>
    <t>CY</t>
  </si>
  <si>
    <t>CZ</t>
  </si>
  <si>
    <t>№</t>
  </si>
  <si>
    <t>Деталь 1</t>
  </si>
  <si>
    <t>Деталь 2</t>
  </si>
  <si>
    <t>Деталь 3</t>
  </si>
  <si>
    <t>Деталь 4</t>
  </si>
  <si>
    <t>Деталь 5</t>
  </si>
  <si>
    <t>Переменные затраты</t>
  </si>
  <si>
    <t>Постоянные затраты</t>
  </si>
  <si>
    <t>С008</t>
  </si>
  <si>
    <t>Клієнт</t>
  </si>
  <si>
    <t>С005</t>
  </si>
  <si>
    <t>Код товару</t>
  </si>
  <si>
    <t>Кількість</t>
  </si>
  <si>
    <t>Дата замовлення</t>
  </si>
  <si>
    <t>Ціна, грн</t>
  </si>
  <si>
    <t>Сума продажів, грн</t>
  </si>
  <si>
    <t>ТОВ «Прима»</t>
  </si>
  <si>
    <t>ТОВ «Посмішка»</t>
  </si>
  <si>
    <t>АТ «Світанок»</t>
  </si>
  <si>
    <t>АТ «Шолом»</t>
  </si>
  <si>
    <t>АТ «Весна»</t>
  </si>
  <si>
    <t>МП «Віст»</t>
  </si>
  <si>
    <t>АТ «Весна» Итог</t>
  </si>
  <si>
    <t>АТ «Світанок» Итог</t>
  </si>
  <si>
    <t>АТ «Шолом» Итог</t>
  </si>
  <si>
    <t>МП «Віст» Итог</t>
  </si>
  <si>
    <t>ТОВ «Посмішка» Итог</t>
  </si>
  <si>
    <t>ТОВ «Прима» Итог</t>
  </si>
  <si>
    <t>АТ «Весна» Среднее</t>
  </si>
  <si>
    <t>АТ «Світанок» Среднее</t>
  </si>
  <si>
    <t>АТ «Шолом» Среднее</t>
  </si>
  <si>
    <t>МП «Віст» Среднее</t>
  </si>
  <si>
    <t>ТОВ «Посмішка» Среднее</t>
  </si>
  <si>
    <t>ТОВ «Прима» Среднее</t>
  </si>
  <si>
    <t>Виручка, грн</t>
  </si>
  <si>
    <t>Виручка за місяць:</t>
  </si>
  <si>
    <t>Максимальна денна виручка:</t>
  </si>
  <si>
    <t>Мінімальна денна виручка:</t>
  </si>
  <si>
    <t>Середньоденна виручка:</t>
  </si>
  <si>
    <t>3 травня</t>
  </si>
  <si>
    <t>4 травня</t>
  </si>
  <si>
    <t>5 травня</t>
  </si>
  <si>
    <t>6 травня</t>
  </si>
  <si>
    <t>7 травня</t>
  </si>
  <si>
    <t>8 травня</t>
  </si>
  <si>
    <t>9 травня</t>
  </si>
  <si>
    <t>10 травня</t>
  </si>
  <si>
    <t>11 травня</t>
  </si>
  <si>
    <t>12 травня</t>
  </si>
  <si>
    <t>13 травня</t>
  </si>
  <si>
    <t>14 травня</t>
  </si>
  <si>
    <t>15 травня</t>
  </si>
  <si>
    <t>16 травня</t>
  </si>
  <si>
    <t>17 травня</t>
  </si>
  <si>
    <t>18 травня</t>
  </si>
  <si>
    <t>19 травня</t>
  </si>
  <si>
    <t>20 травня</t>
  </si>
  <si>
    <t>21 травня</t>
  </si>
  <si>
    <t>22 травня</t>
  </si>
  <si>
    <t>23 травня</t>
  </si>
  <si>
    <t>24 травня</t>
  </si>
  <si>
    <t>25 травня</t>
  </si>
  <si>
    <t>26 травня</t>
  </si>
  <si>
    <t>27 травня</t>
  </si>
  <si>
    <t>28 травня</t>
  </si>
  <si>
    <t>29 травня</t>
  </si>
  <si>
    <t>30 травня</t>
  </si>
  <si>
    <t>31 травня</t>
  </si>
  <si>
    <t>1 травня</t>
  </si>
  <si>
    <t>2 травня</t>
  </si>
  <si>
    <t>Сума:</t>
  </si>
  <si>
    <t>Алкогольні напої</t>
  </si>
  <si>
    <t>Бакалія</t>
  </si>
  <si>
    <t>Безалкогольні напої</t>
  </si>
  <si>
    <t>Замороження штучна</t>
  </si>
  <si>
    <t>кондитерська продукція</t>
  </si>
  <si>
    <t>консервована продукція</t>
  </si>
  <si>
    <t>Товари для тварин</t>
  </si>
  <si>
    <t>кулінарія</t>
  </si>
  <si>
    <t>молочний гастроном</t>
  </si>
  <si>
    <t>м'ясний гастроном</t>
  </si>
  <si>
    <t>М'ясо та птиця глибокої заморозки</t>
  </si>
  <si>
    <t>м'ясо свіже</t>
  </si>
  <si>
    <t>Овочі фрукти</t>
  </si>
  <si>
    <t>Друковані видання</t>
  </si>
  <si>
    <t>Рослинна олія</t>
  </si>
  <si>
    <t>Риба та морепродукти</t>
  </si>
  <si>
    <t>Супутні товари</t>
  </si>
  <si>
    <t>Соуси і приправи</t>
  </si>
  <si>
    <t>Тара, ящики</t>
  </si>
  <si>
    <t>Товари для дітей</t>
  </si>
  <si>
    <t>Хліб і хлібобулочні вироби</t>
  </si>
  <si>
    <t>яйця</t>
  </si>
  <si>
    <t>Назва</t>
  </si>
  <si>
    <t>квітень</t>
  </si>
  <si>
    <t>травень</t>
  </si>
  <si>
    <t>приріст %</t>
  </si>
  <si>
    <t>% за місяць</t>
  </si>
  <si>
    <t>ЧЕКІВ</t>
  </si>
  <si>
    <t>Всього</t>
  </si>
  <si>
    <t>Назва товару</t>
  </si>
  <si>
    <t>Прибуток</t>
  </si>
  <si>
    <t>Частка продажів</t>
  </si>
  <si>
    <t>Частка накопичувальним підсумком</t>
  </si>
  <si>
    <t>Група</t>
  </si>
  <si>
    <t>Вересень</t>
  </si>
  <si>
    <t>Жовтень</t>
  </si>
  <si>
    <t>Листопад</t>
  </si>
  <si>
    <t>Грудень</t>
  </si>
  <si>
    <t>Січень</t>
  </si>
  <si>
    <t>Лютий</t>
  </si>
  <si>
    <t>Коефіцієнт варіації, V</t>
  </si>
  <si>
    <t>1. Молоко свіже</t>
  </si>
  <si>
    <t>4. Кефір</t>
  </si>
  <si>
    <t>2.Молоко топлене</t>
  </si>
  <si>
    <t>5. Ряжанка</t>
  </si>
  <si>
    <t>8. Сироватка</t>
  </si>
  <si>
    <t>3.Фруктовий молочний коктейль</t>
  </si>
  <si>
    <t>9. Закваска молочна</t>
  </si>
  <si>
    <t>Разом</t>
  </si>
  <si>
    <t>1.Молоко свіже</t>
  </si>
  <si>
    <t>9.Закваска молочна</t>
  </si>
  <si>
    <t>Продано в 1-му кв., грн.</t>
  </si>
  <si>
    <t>Вартість 1 літра, грн.</t>
  </si>
  <si>
    <t>Річний обсяг продаж, шт.</t>
  </si>
  <si>
    <t>Річний обсяг продаж (прибуток), грн.</t>
  </si>
  <si>
    <t>Річний обсяг продаж, %</t>
  </si>
  <si>
    <t>Річний обсяг продажів наростаючим підсумком, %</t>
  </si>
  <si>
    <t>ABC-аналіз</t>
  </si>
  <si>
    <t>XYZ-аналіз</t>
  </si>
  <si>
    <t>Продано во 2-му кв., грн..</t>
  </si>
  <si>
    <t>Продано в 3-му кв., грн..</t>
  </si>
  <si>
    <t>Продано в 4-му кв., грн.</t>
  </si>
  <si>
    <t>Продано за рік, грн..</t>
  </si>
  <si>
    <t>Коефіцієнт варіації</t>
  </si>
  <si>
    <t>Категорія</t>
  </si>
  <si>
    <t>Молоко свіже Кефір</t>
  </si>
  <si>
    <t>Ряжанка</t>
  </si>
  <si>
    <t>Закваска молочна Вершки</t>
  </si>
  <si>
    <t>Фруктовий молочний коктейль  Айран</t>
  </si>
  <si>
    <t>Молоко пряжане Сироватка</t>
  </si>
  <si>
    <t>Йогурт</t>
  </si>
  <si>
    <t>Номер позиції</t>
  </si>
  <si>
    <t>Середній запас за рік за позицією, грн.</t>
  </si>
  <si>
    <t>Реалізація за рік</t>
  </si>
  <si>
    <t>Частка позиції, %</t>
  </si>
  <si>
    <t>Частка з наростанням, %</t>
  </si>
  <si>
    <t>Група ABC</t>
  </si>
  <si>
    <t>Стандартне відхилення реалізації</t>
  </si>
  <si>
    <t>Коеф. варіації, %</t>
  </si>
  <si>
    <t>Група XYZ</t>
  </si>
  <si>
    <t>ABCXYZ аналіз</t>
  </si>
  <si>
    <t>Частка позиції</t>
  </si>
  <si>
    <t>Частка з наростанням</t>
  </si>
  <si>
    <t>Розрахунок точки беззбитковості</t>
  </si>
  <si>
    <t>1. Вихідні дані</t>
  </si>
  <si>
    <t> Значення</t>
  </si>
  <si>
    <t>Постійні витрати, тис. Грн.</t>
  </si>
  <si>
    <t>Змінні витрати, тис. Грн.</t>
  </si>
  <si>
    <t>Виручка від продажів, тис. Грн.</t>
  </si>
  <si>
    <t>Випуск (Обсяг реалізації), од.</t>
  </si>
  <si>
    <t>Середні змінні витрати на одиницю продукції</t>
  </si>
  <si>
    <t>Ціна за одиницю</t>
  </si>
  <si>
    <t>Точка беззбитковості в грошовому вираженні</t>
  </si>
  <si>
    <t>Точка беззбитковості в натуральному вираженні</t>
  </si>
  <si>
    <t>Обсяг випуску продукції</t>
  </si>
  <si>
    <t>Реалізація</t>
  </si>
  <si>
    <t>валов витрати</t>
  </si>
  <si>
    <t>Розрахунок точки беззбитковості по виробничому підприємству, що спеціалізується на випуску деталей в машинобудівній галузі</t>
  </si>
  <si>
    <t>Таблиця 1. Вихідні дані</t>
  </si>
  <si>
    <t>показник</t>
  </si>
  <si>
    <t>Реалізація продукції, шт.</t>
  </si>
  <si>
    <t>Ціна 1 одиниці продукції, грн.</t>
  </si>
  <si>
    <t>Виручка, грн.</t>
  </si>
  <si>
    <t>заробітна плата робітників цеху</t>
  </si>
  <si>
    <t>придбання сировини, матеріалів і комплектуючих</t>
  </si>
  <si>
    <t>паливо і електроенергія на виробничі потреби</t>
  </si>
  <si>
    <t>закупівля інструментів для виробництва продукції</t>
  </si>
  <si>
    <t>покупка допоміжних матеріалів для ехових потреб</t>
  </si>
  <si>
    <t>загальновиробничі витрати</t>
  </si>
  <si>
    <t>Всього змінних витрат</t>
  </si>
  <si>
    <t>маржинальний прибуток</t>
  </si>
  <si>
    <t>прибуток на од. продукції</t>
  </si>
  <si>
    <t>змінні витрати на од. продукції</t>
  </si>
  <si>
    <t>оренда виробничих площ і офісу</t>
  </si>
  <si>
    <t>послуги зв'язку</t>
  </si>
  <si>
    <t>комунальні послуги</t>
  </si>
  <si>
    <t>послуги охорони</t>
  </si>
  <si>
    <t>консультаційні послуги аудитора</t>
  </si>
  <si>
    <t>заробітна плата АУР + страхові внески</t>
  </si>
  <si>
    <t>Підсумки постійних витрат</t>
  </si>
  <si>
    <t>податок на прибуток</t>
  </si>
  <si>
    <t>Всього постійних витрат</t>
  </si>
  <si>
    <t>Всього загальних витрат</t>
  </si>
  <si>
    <t>Точка беззбитковості, шт.</t>
  </si>
  <si>
    <t>Точка беззбитковості, грн.</t>
  </si>
  <si>
    <t>Постійні витрати</t>
  </si>
  <si>
    <t>Змінні витрати</t>
  </si>
  <si>
    <t>Обсяг виробництва (в одиницях)</t>
  </si>
  <si>
    <t>Виручка (в грн.)</t>
  </si>
  <si>
    <t>Змінні витрати (в грн.)</t>
  </si>
  <si>
    <t>Постійні витрати (в грн.)</t>
  </si>
  <si>
    <t>Загальні витрати (в грн.)</t>
  </si>
  <si>
    <t>Ціна 1ої одиниці (в грн.)</t>
  </si>
  <si>
    <t>відсоток для визначення обсягу по частках -100,200 и т.д.</t>
  </si>
  <si>
    <t>Після змін у вихідних даних</t>
  </si>
  <si>
    <t>відсоток для визначення обсягу по частках -100,200 і т.д.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</si>
</sst>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р_._-;\-* #,##0.00_р_._-;_-* &quot;-&quot;??_р_._-;_-@_-"/>
    <numFmt numFmtId="165" formatCode="0.0%"/>
    <numFmt numFmtId="166" formatCode="0.0"/>
    <numFmt numFmtId="167" formatCode="_-* #,##0.0_р_._-;\-* #,##0.0_р_._-;_-* &quot;-&quot;??_р_._-;_-@_-"/>
    <numFmt numFmtId="168" formatCode="_-* #,##0_р_._-;\-* #,##0_р_._-;_-* &quot;-&quot;?_р_._-;_-@_-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0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2" fillId="17" borderId="0" applyNumberFormat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 wrapText="1"/>
    </xf>
    <xf numFmtId="3" fontId="0" fillId="0" borderId="1" xfId="0" applyNumberFormat="1" applyBorder="1"/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3" fontId="3" fillId="0" borderId="6" xfId="0" applyNumberFormat="1" applyFont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3" fontId="3" fillId="0" borderId="4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9" fontId="0" fillId="9" borderId="1" xfId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9" fontId="0" fillId="10" borderId="1" xfId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9" fontId="0" fillId="13" borderId="1" xfId="1" applyFont="1" applyFill="1" applyBorder="1" applyAlignment="1">
      <alignment horizontal="center"/>
    </xf>
    <xf numFmtId="0" fontId="6" fillId="0" borderId="14" xfId="0" applyFont="1" applyBorder="1" applyAlignment="1">
      <alignment horizontal="center" wrapText="1"/>
    </xf>
    <xf numFmtId="0" fontId="6" fillId="0" borderId="12" xfId="0" applyFont="1" applyBorder="1" applyAlignment="1">
      <alignment horizontal="justify" wrapText="1"/>
    </xf>
    <xf numFmtId="0" fontId="6" fillId="0" borderId="12" xfId="0" applyFont="1" applyBorder="1" applyAlignment="1">
      <alignment horizontal="justify" vertical="top" wrapText="1"/>
    </xf>
    <xf numFmtId="0" fontId="6" fillId="0" borderId="14" xfId="0" applyFont="1" applyBorder="1" applyAlignment="1">
      <alignment horizontal="justify" wrapText="1"/>
    </xf>
    <xf numFmtId="0" fontId="0" fillId="0" borderId="0" xfId="0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wrapText="1"/>
    </xf>
    <xf numFmtId="0" fontId="8" fillId="0" borderId="0" xfId="0" applyFont="1" applyAlignment="1">
      <alignment horizontal="center"/>
    </xf>
    <xf numFmtId="0" fontId="9" fillId="0" borderId="12" xfId="0" applyFont="1" applyBorder="1" applyAlignment="1">
      <alignment horizontal="center" wrapText="1"/>
    </xf>
    <xf numFmtId="0" fontId="9" fillId="0" borderId="12" xfId="0" applyFont="1" applyBorder="1" applyAlignment="1">
      <alignment wrapText="1"/>
    </xf>
    <xf numFmtId="0" fontId="4" fillId="0" borderId="9" xfId="0" applyNumberFormat="1" applyFont="1" applyBorder="1" applyAlignment="1">
      <alignment horizontal="right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9" fontId="3" fillId="0" borderId="1" xfId="1" applyFont="1" applyBorder="1" applyAlignment="1">
      <alignment horizontal="center"/>
    </xf>
    <xf numFmtId="9" fontId="3" fillId="13" borderId="1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/>
    </xf>
    <xf numFmtId="9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9" fillId="0" borderId="16" xfId="0" applyFont="1" applyBorder="1" applyAlignment="1">
      <alignment horizont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Border="1" applyAlignment="1">
      <alignment wrapText="1"/>
    </xf>
    <xf numFmtId="0" fontId="7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wrapText="1"/>
    </xf>
    <xf numFmtId="10" fontId="3" fillId="0" borderId="1" xfId="0" applyNumberFormat="1" applyFont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10" fillId="0" borderId="0" xfId="0" applyFont="1"/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0" fontId="3" fillId="0" borderId="0" xfId="1" applyNumberFormat="1" applyFont="1" applyFill="1" applyBorder="1" applyAlignment="1">
      <alignment horizontal="center" wrapText="1"/>
    </xf>
    <xf numFmtId="10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0" fontId="3" fillId="0" borderId="1" xfId="1" applyNumberFormat="1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/>
    <xf numFmtId="9" fontId="3" fillId="0" borderId="1" xfId="1" applyFont="1" applyBorder="1"/>
    <xf numFmtId="0" fontId="3" fillId="14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3" fontId="3" fillId="0" borderId="0" xfId="0" applyNumberFormat="1" applyFont="1" applyBorder="1" applyAlignment="1">
      <alignment horizontal="center"/>
    </xf>
    <xf numFmtId="2" fontId="3" fillId="0" borderId="0" xfId="0" applyNumberFormat="1" applyFont="1"/>
    <xf numFmtId="3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7" fontId="3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166" fontId="1" fillId="0" borderId="1" xfId="0" applyNumberFormat="1" applyFont="1" applyBorder="1"/>
    <xf numFmtId="2" fontId="1" fillId="0" borderId="1" xfId="0" applyNumberFormat="1" applyFont="1" applyBorder="1"/>
    <xf numFmtId="0" fontId="0" fillId="1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8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horizontal="center" vertical="center" wrapText="1"/>
    </xf>
    <xf numFmtId="14" fontId="14" fillId="0" borderId="4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14" fontId="14" fillId="0" borderId="0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vertical="center" wrapText="1"/>
    </xf>
    <xf numFmtId="0" fontId="14" fillId="0" borderId="22" xfId="0" applyFont="1" applyBorder="1" applyAlignment="1">
      <alignment horizontal="center" vertical="center" wrapText="1"/>
    </xf>
    <xf numFmtId="14" fontId="14" fillId="0" borderId="2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9" fontId="16" fillId="17" borderId="1" xfId="3" applyNumberFormat="1" applyFont="1" applyBorder="1" applyAlignment="1">
      <alignment horizontal="center"/>
    </xf>
    <xf numFmtId="0" fontId="16" fillId="17" borderId="1" xfId="3" applyFon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</cellXfs>
  <cellStyles count="4">
    <cellStyle name="60% — акцент2" xfId="3" builtinId="36"/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Виручка, грн</c:v>
                </c:pt>
              </c:strCache>
            </c:strRef>
          </c:tx>
          <c:marker>
            <c:symbol val="none"/>
          </c:marker>
          <c:cat>
            <c:strRef>
              <c:f>Лист2!$A$2:$A$32</c:f>
              <c:strCache>
                <c:ptCount val="31"/>
                <c:pt idx="0">
                  <c:v>1 травня</c:v>
                </c:pt>
                <c:pt idx="1">
                  <c:v>2 травня</c:v>
                </c:pt>
                <c:pt idx="2">
                  <c:v>3 травня</c:v>
                </c:pt>
                <c:pt idx="3">
                  <c:v>4 травня</c:v>
                </c:pt>
                <c:pt idx="4">
                  <c:v>5 травня</c:v>
                </c:pt>
                <c:pt idx="5">
                  <c:v>6 травня</c:v>
                </c:pt>
                <c:pt idx="6">
                  <c:v>7 травня</c:v>
                </c:pt>
                <c:pt idx="7">
                  <c:v>8 травня</c:v>
                </c:pt>
                <c:pt idx="8">
                  <c:v>9 травня</c:v>
                </c:pt>
                <c:pt idx="9">
                  <c:v>10 травня</c:v>
                </c:pt>
                <c:pt idx="10">
                  <c:v>11 травня</c:v>
                </c:pt>
                <c:pt idx="11">
                  <c:v>12 травня</c:v>
                </c:pt>
                <c:pt idx="12">
                  <c:v>13 травня</c:v>
                </c:pt>
                <c:pt idx="13">
                  <c:v>14 травня</c:v>
                </c:pt>
                <c:pt idx="14">
                  <c:v>15 травня</c:v>
                </c:pt>
                <c:pt idx="15">
                  <c:v>16 травня</c:v>
                </c:pt>
                <c:pt idx="16">
                  <c:v>17 травня</c:v>
                </c:pt>
                <c:pt idx="17">
                  <c:v>18 травня</c:v>
                </c:pt>
                <c:pt idx="18">
                  <c:v>19 травня</c:v>
                </c:pt>
                <c:pt idx="19">
                  <c:v>20 травня</c:v>
                </c:pt>
                <c:pt idx="20">
                  <c:v>21 травня</c:v>
                </c:pt>
                <c:pt idx="21">
                  <c:v>22 травня</c:v>
                </c:pt>
                <c:pt idx="22">
                  <c:v>23 травня</c:v>
                </c:pt>
                <c:pt idx="23">
                  <c:v>24 травня</c:v>
                </c:pt>
                <c:pt idx="24">
                  <c:v>25 травня</c:v>
                </c:pt>
                <c:pt idx="25">
                  <c:v>26 травня</c:v>
                </c:pt>
                <c:pt idx="26">
                  <c:v>27 травня</c:v>
                </c:pt>
                <c:pt idx="27">
                  <c:v>28 травня</c:v>
                </c:pt>
                <c:pt idx="28">
                  <c:v>29 травня</c:v>
                </c:pt>
                <c:pt idx="29">
                  <c:v>30 травня</c:v>
                </c:pt>
                <c:pt idx="30">
                  <c:v>31 травня</c:v>
                </c:pt>
              </c:strCache>
            </c:strRef>
          </c:cat>
          <c:val>
            <c:numRef>
              <c:f>Лист2!$B$2:$B$32</c:f>
              <c:numCache>
                <c:formatCode>#,##0</c:formatCode>
                <c:ptCount val="31"/>
                <c:pt idx="0">
                  <c:v>281488</c:v>
                </c:pt>
                <c:pt idx="1">
                  <c:v>271285</c:v>
                </c:pt>
                <c:pt idx="2">
                  <c:v>247689</c:v>
                </c:pt>
                <c:pt idx="3">
                  <c:v>312502</c:v>
                </c:pt>
                <c:pt idx="4">
                  <c:v>330647</c:v>
                </c:pt>
                <c:pt idx="5">
                  <c:v>358665</c:v>
                </c:pt>
                <c:pt idx="6">
                  <c:v>339868</c:v>
                </c:pt>
                <c:pt idx="7">
                  <c:v>338943</c:v>
                </c:pt>
                <c:pt idx="8">
                  <c:v>470534</c:v>
                </c:pt>
                <c:pt idx="9">
                  <c:v>295677</c:v>
                </c:pt>
                <c:pt idx="10">
                  <c:v>360022</c:v>
                </c:pt>
                <c:pt idx="11">
                  <c:v>338545</c:v>
                </c:pt>
                <c:pt idx="12">
                  <c:v>328580</c:v>
                </c:pt>
                <c:pt idx="13">
                  <c:v>351078</c:v>
                </c:pt>
                <c:pt idx="14">
                  <c:v>305675</c:v>
                </c:pt>
                <c:pt idx="15">
                  <c:v>340379</c:v>
                </c:pt>
                <c:pt idx="16">
                  <c:v>326507</c:v>
                </c:pt>
                <c:pt idx="17">
                  <c:v>341764</c:v>
                </c:pt>
                <c:pt idx="18">
                  <c:v>332301</c:v>
                </c:pt>
                <c:pt idx="19">
                  <c:v>357530</c:v>
                </c:pt>
                <c:pt idx="20">
                  <c:v>319431</c:v>
                </c:pt>
                <c:pt idx="21">
                  <c:v>289173</c:v>
                </c:pt>
                <c:pt idx="22">
                  <c:v>346041</c:v>
                </c:pt>
                <c:pt idx="23">
                  <c:v>340932</c:v>
                </c:pt>
                <c:pt idx="24">
                  <c:v>363283</c:v>
                </c:pt>
                <c:pt idx="25">
                  <c:v>350168</c:v>
                </c:pt>
                <c:pt idx="26">
                  <c:v>360549</c:v>
                </c:pt>
                <c:pt idx="27">
                  <c:v>322612</c:v>
                </c:pt>
                <c:pt idx="28">
                  <c:v>282518</c:v>
                </c:pt>
                <c:pt idx="29">
                  <c:v>329667</c:v>
                </c:pt>
                <c:pt idx="30">
                  <c:v>340487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4-4074-AAD8-ED8D18113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58976"/>
        <c:axId val="115760512"/>
      </c:lineChart>
      <c:catAx>
        <c:axId val="11575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760512"/>
        <c:crosses val="autoZero"/>
        <c:auto val="1"/>
        <c:lblAlgn val="ctr"/>
        <c:lblOffset val="100"/>
        <c:noMultiLvlLbl val="0"/>
      </c:catAx>
      <c:valAx>
        <c:axId val="1157605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575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5209146818191"/>
          <c:y val="0.15594317526452697"/>
          <c:w val="0.3652372935881078"/>
          <c:h val="0.70181255369984585"/>
        </c:manualLayout>
      </c:layout>
      <c:pieChart>
        <c:varyColors val="1"/>
        <c:ser>
          <c:idx val="0"/>
          <c:order val="0"/>
          <c:spPr>
            <a:effectLst>
              <a:outerShdw sx="1000" sy="1000" algn="ctr" rotWithShape="0">
                <a:srgbClr val="000000"/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Лист3!$A$3:$A$24</c:f>
              <c:strCache>
                <c:ptCount val="22"/>
                <c:pt idx="0">
                  <c:v>Алкогольні напої</c:v>
                </c:pt>
                <c:pt idx="1">
                  <c:v>Бакалія</c:v>
                </c:pt>
                <c:pt idx="2">
                  <c:v>Безалкогольні напої</c:v>
                </c:pt>
                <c:pt idx="3">
                  <c:v>Замороження штучна</c:v>
                </c:pt>
                <c:pt idx="4">
                  <c:v>кондитерська продукція</c:v>
                </c:pt>
                <c:pt idx="5">
                  <c:v>консервована продукція</c:v>
                </c:pt>
                <c:pt idx="6">
                  <c:v>Товари для тварин</c:v>
                </c:pt>
                <c:pt idx="7">
                  <c:v>кулінарія</c:v>
                </c:pt>
                <c:pt idx="8">
                  <c:v>молочний гастроном</c:v>
                </c:pt>
                <c:pt idx="9">
                  <c:v>м'ясний гастроном</c:v>
                </c:pt>
                <c:pt idx="10">
                  <c:v>М'ясо та птиця глибокої заморозки</c:v>
                </c:pt>
                <c:pt idx="11">
                  <c:v>м'ясо свіже</c:v>
                </c:pt>
                <c:pt idx="12">
                  <c:v>Овочі фрукти</c:v>
                </c:pt>
                <c:pt idx="13">
                  <c:v>Друковані видання</c:v>
                </c:pt>
                <c:pt idx="14">
                  <c:v>Рослинна олія</c:v>
                </c:pt>
                <c:pt idx="15">
                  <c:v>Риба та морепродукти</c:v>
                </c:pt>
                <c:pt idx="16">
                  <c:v>Супутні товари</c:v>
                </c:pt>
                <c:pt idx="17">
                  <c:v>Соуси і приправи</c:v>
                </c:pt>
                <c:pt idx="18">
                  <c:v>Тара, ящики</c:v>
                </c:pt>
                <c:pt idx="19">
                  <c:v>Товари для дітей</c:v>
                </c:pt>
                <c:pt idx="20">
                  <c:v>Хліб і хлібобулочні вироби</c:v>
                </c:pt>
                <c:pt idx="21">
                  <c:v>яйця</c:v>
                </c:pt>
              </c:strCache>
            </c:strRef>
          </c:cat>
          <c:val>
            <c:numRef>
              <c:f>Лист3!$B$3:$B$24</c:f>
              <c:numCache>
                <c:formatCode>#,##0</c:formatCode>
                <c:ptCount val="22"/>
                <c:pt idx="0">
                  <c:v>1725318</c:v>
                </c:pt>
                <c:pt idx="1">
                  <c:v>739814</c:v>
                </c:pt>
                <c:pt idx="2">
                  <c:v>644928</c:v>
                </c:pt>
                <c:pt idx="3">
                  <c:v>351292</c:v>
                </c:pt>
                <c:pt idx="4">
                  <c:v>1033910</c:v>
                </c:pt>
                <c:pt idx="5">
                  <c:v>367324</c:v>
                </c:pt>
                <c:pt idx="6">
                  <c:v>86782</c:v>
                </c:pt>
                <c:pt idx="7">
                  <c:v>467968</c:v>
                </c:pt>
                <c:pt idx="8">
                  <c:v>1166818</c:v>
                </c:pt>
                <c:pt idx="9">
                  <c:v>878440</c:v>
                </c:pt>
                <c:pt idx="10">
                  <c:v>143582</c:v>
                </c:pt>
                <c:pt idx="11">
                  <c:v>272189</c:v>
                </c:pt>
                <c:pt idx="12">
                  <c:v>1322667</c:v>
                </c:pt>
                <c:pt idx="13">
                  <c:v>10268</c:v>
                </c:pt>
                <c:pt idx="14">
                  <c:v>52009</c:v>
                </c:pt>
                <c:pt idx="15">
                  <c:v>453138</c:v>
                </c:pt>
                <c:pt idx="16">
                  <c:v>695930</c:v>
                </c:pt>
                <c:pt idx="17">
                  <c:v>67616</c:v>
                </c:pt>
                <c:pt idx="18">
                  <c:v>14281</c:v>
                </c:pt>
                <c:pt idx="19">
                  <c:v>41070</c:v>
                </c:pt>
                <c:pt idx="20">
                  <c:v>210092</c:v>
                </c:pt>
                <c:pt idx="21">
                  <c:v>50119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238-9770-15642A42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3527460618900669"/>
          <c:y val="9.5421558393580574E-2"/>
          <c:w val="0.36749555245263771"/>
          <c:h val="0.8936797338835325"/>
        </c:manualLayout>
      </c:layout>
      <c:overlay val="0"/>
      <c:txPr>
        <a:bodyPr/>
        <a:lstStyle/>
        <a:p>
          <a:pPr rtl="0">
            <a:defRPr sz="800" spc="20" baseline="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5209146818191"/>
          <c:y val="0.15594317526452703"/>
          <c:w val="0.36523729358810775"/>
          <c:h val="0.70181255369984585"/>
        </c:manualLayout>
      </c:layout>
      <c:pieChart>
        <c:varyColors val="1"/>
        <c:ser>
          <c:idx val="0"/>
          <c:order val="0"/>
          <c:spPr>
            <a:effectLst>
              <a:outerShdw sx="1000" sy="1000" algn="ctr" rotWithShape="0">
                <a:srgbClr val="000000"/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Лист3!$A$3:$A$24</c:f>
              <c:strCache>
                <c:ptCount val="22"/>
                <c:pt idx="0">
                  <c:v>Алкогольні напої</c:v>
                </c:pt>
                <c:pt idx="1">
                  <c:v>Бакалія</c:v>
                </c:pt>
                <c:pt idx="2">
                  <c:v>Безалкогольні напої</c:v>
                </c:pt>
                <c:pt idx="3">
                  <c:v>Замороження штучна</c:v>
                </c:pt>
                <c:pt idx="4">
                  <c:v>кондитерська продукція</c:v>
                </c:pt>
                <c:pt idx="5">
                  <c:v>консервована продукція</c:v>
                </c:pt>
                <c:pt idx="6">
                  <c:v>Товари для тварин</c:v>
                </c:pt>
                <c:pt idx="7">
                  <c:v>кулінарія</c:v>
                </c:pt>
                <c:pt idx="8">
                  <c:v>молочний гастроном</c:v>
                </c:pt>
                <c:pt idx="9">
                  <c:v>м'ясний гастроном</c:v>
                </c:pt>
                <c:pt idx="10">
                  <c:v>М'ясо та птиця глибокої заморозки</c:v>
                </c:pt>
                <c:pt idx="11">
                  <c:v>м'ясо свіже</c:v>
                </c:pt>
                <c:pt idx="12">
                  <c:v>Овочі фрукти</c:v>
                </c:pt>
                <c:pt idx="13">
                  <c:v>Друковані видання</c:v>
                </c:pt>
                <c:pt idx="14">
                  <c:v>Рослинна олія</c:v>
                </c:pt>
                <c:pt idx="15">
                  <c:v>Риба та морепродукти</c:v>
                </c:pt>
                <c:pt idx="16">
                  <c:v>Супутні товари</c:v>
                </c:pt>
                <c:pt idx="17">
                  <c:v>Соуси і приправи</c:v>
                </c:pt>
                <c:pt idx="18">
                  <c:v>Тара, ящики</c:v>
                </c:pt>
                <c:pt idx="19">
                  <c:v>Товари для дітей</c:v>
                </c:pt>
                <c:pt idx="20">
                  <c:v>Хліб і хлібобулочні вироби</c:v>
                </c:pt>
                <c:pt idx="21">
                  <c:v>яйця</c:v>
                </c:pt>
              </c:strCache>
            </c:strRef>
          </c:cat>
          <c:val>
            <c:numRef>
              <c:f>Лист3!$C$3:$C$24</c:f>
              <c:numCache>
                <c:formatCode>#,##0</c:formatCode>
                <c:ptCount val="22"/>
                <c:pt idx="0">
                  <c:v>2011069</c:v>
                </c:pt>
                <c:pt idx="1">
                  <c:v>668870</c:v>
                </c:pt>
                <c:pt idx="2">
                  <c:v>755480</c:v>
                </c:pt>
                <c:pt idx="3">
                  <c:v>385912</c:v>
                </c:pt>
                <c:pt idx="4">
                  <c:v>893503</c:v>
                </c:pt>
                <c:pt idx="5">
                  <c:v>275392</c:v>
                </c:pt>
                <c:pt idx="6">
                  <c:v>80484</c:v>
                </c:pt>
                <c:pt idx="7">
                  <c:v>351358</c:v>
                </c:pt>
                <c:pt idx="8">
                  <c:v>1073958</c:v>
                </c:pt>
                <c:pt idx="9">
                  <c:v>814262</c:v>
                </c:pt>
                <c:pt idx="10">
                  <c:v>107220</c:v>
                </c:pt>
                <c:pt idx="11">
                  <c:v>260851</c:v>
                </c:pt>
                <c:pt idx="12">
                  <c:v>1112995</c:v>
                </c:pt>
                <c:pt idx="13">
                  <c:v>16230</c:v>
                </c:pt>
                <c:pt idx="14">
                  <c:v>39009</c:v>
                </c:pt>
                <c:pt idx="15">
                  <c:v>382602</c:v>
                </c:pt>
                <c:pt idx="16">
                  <c:v>667225</c:v>
                </c:pt>
                <c:pt idx="17">
                  <c:v>56855</c:v>
                </c:pt>
                <c:pt idx="18">
                  <c:v>11032</c:v>
                </c:pt>
                <c:pt idx="19">
                  <c:v>44360</c:v>
                </c:pt>
                <c:pt idx="20">
                  <c:v>188136</c:v>
                </c:pt>
                <c:pt idx="21">
                  <c:v>37739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C-4C97-814E-F5DD484AB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3527460618900691"/>
          <c:y val="9.5421558393580602E-2"/>
          <c:w val="0.36749555245263771"/>
          <c:h val="0.89367973388353283"/>
        </c:manualLayout>
      </c:layout>
      <c:overlay val="0"/>
      <c:txPr>
        <a:bodyPr/>
        <a:lstStyle/>
        <a:p>
          <a:pPr rtl="0">
            <a:defRPr sz="800" spc="20" baseline="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74616143869174E-2"/>
          <c:y val="1.6471038286206129E-2"/>
          <c:w val="0.83422727648443995"/>
          <c:h val="0.62583612271138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Лист3!$B$2</c:f>
              <c:strCache>
                <c:ptCount val="1"/>
                <c:pt idx="0">
                  <c:v>квітень</c:v>
                </c:pt>
              </c:strCache>
            </c:strRef>
          </c:tx>
          <c:invertIfNegative val="0"/>
          <c:cat>
            <c:strRef>
              <c:f>Лист3!$A$3:$A$24</c:f>
              <c:strCache>
                <c:ptCount val="22"/>
                <c:pt idx="0">
                  <c:v>Алкогольні напої</c:v>
                </c:pt>
                <c:pt idx="1">
                  <c:v>Бакалія</c:v>
                </c:pt>
                <c:pt idx="2">
                  <c:v>Безалкогольні напої</c:v>
                </c:pt>
                <c:pt idx="3">
                  <c:v>Замороження штучна</c:v>
                </c:pt>
                <c:pt idx="4">
                  <c:v>кондитерська продукція</c:v>
                </c:pt>
                <c:pt idx="5">
                  <c:v>консервована продукція</c:v>
                </c:pt>
                <c:pt idx="6">
                  <c:v>Товари для тварин</c:v>
                </c:pt>
                <c:pt idx="7">
                  <c:v>кулінарія</c:v>
                </c:pt>
                <c:pt idx="8">
                  <c:v>молочний гастроном</c:v>
                </c:pt>
                <c:pt idx="9">
                  <c:v>м'ясний гастроном</c:v>
                </c:pt>
                <c:pt idx="10">
                  <c:v>М'ясо та птиця глибокої заморозки</c:v>
                </c:pt>
                <c:pt idx="11">
                  <c:v>м'ясо свіже</c:v>
                </c:pt>
                <c:pt idx="12">
                  <c:v>Овочі фрукти</c:v>
                </c:pt>
                <c:pt idx="13">
                  <c:v>Друковані видання</c:v>
                </c:pt>
                <c:pt idx="14">
                  <c:v>Рослинна олія</c:v>
                </c:pt>
                <c:pt idx="15">
                  <c:v>Риба та морепродукти</c:v>
                </c:pt>
                <c:pt idx="16">
                  <c:v>Супутні товари</c:v>
                </c:pt>
                <c:pt idx="17">
                  <c:v>Соуси і приправи</c:v>
                </c:pt>
                <c:pt idx="18">
                  <c:v>Тара, ящики</c:v>
                </c:pt>
                <c:pt idx="19">
                  <c:v>Товари для дітей</c:v>
                </c:pt>
                <c:pt idx="20">
                  <c:v>Хліб і хлібобулочні вироби</c:v>
                </c:pt>
                <c:pt idx="21">
                  <c:v>яйця</c:v>
                </c:pt>
              </c:strCache>
            </c:strRef>
          </c:cat>
          <c:val>
            <c:numRef>
              <c:f>Лист3!$B$3:$B$24</c:f>
              <c:numCache>
                <c:formatCode>#,##0</c:formatCode>
                <c:ptCount val="22"/>
                <c:pt idx="0">
                  <c:v>1725318</c:v>
                </c:pt>
                <c:pt idx="1">
                  <c:v>739814</c:v>
                </c:pt>
                <c:pt idx="2">
                  <c:v>644928</c:v>
                </c:pt>
                <c:pt idx="3">
                  <c:v>351292</c:v>
                </c:pt>
                <c:pt idx="4">
                  <c:v>1033910</c:v>
                </c:pt>
                <c:pt idx="5">
                  <c:v>367324</c:v>
                </c:pt>
                <c:pt idx="6">
                  <c:v>86782</c:v>
                </c:pt>
                <c:pt idx="7">
                  <c:v>467968</c:v>
                </c:pt>
                <c:pt idx="8">
                  <c:v>1166818</c:v>
                </c:pt>
                <c:pt idx="9">
                  <c:v>878440</c:v>
                </c:pt>
                <c:pt idx="10">
                  <c:v>143582</c:v>
                </c:pt>
                <c:pt idx="11">
                  <c:v>272189</c:v>
                </c:pt>
                <c:pt idx="12">
                  <c:v>1322667</c:v>
                </c:pt>
                <c:pt idx="13">
                  <c:v>10268</c:v>
                </c:pt>
                <c:pt idx="14">
                  <c:v>52009</c:v>
                </c:pt>
                <c:pt idx="15">
                  <c:v>453138</c:v>
                </c:pt>
                <c:pt idx="16">
                  <c:v>695930</c:v>
                </c:pt>
                <c:pt idx="17">
                  <c:v>67616</c:v>
                </c:pt>
                <c:pt idx="18">
                  <c:v>14281</c:v>
                </c:pt>
                <c:pt idx="19">
                  <c:v>41070</c:v>
                </c:pt>
                <c:pt idx="20">
                  <c:v>210092</c:v>
                </c:pt>
                <c:pt idx="21">
                  <c:v>50119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8-4A09-A96F-4485E67D8F8B}"/>
            </c:ext>
          </c:extLst>
        </c:ser>
        <c:ser>
          <c:idx val="1"/>
          <c:order val="1"/>
          <c:tx>
            <c:strRef>
              <c:f>Лист3!$C$2</c:f>
              <c:strCache>
                <c:ptCount val="1"/>
                <c:pt idx="0">
                  <c:v>травень</c:v>
                </c:pt>
              </c:strCache>
            </c:strRef>
          </c:tx>
          <c:invertIfNegative val="0"/>
          <c:cat>
            <c:strRef>
              <c:f>Лист3!$A$3:$A$24</c:f>
              <c:strCache>
                <c:ptCount val="22"/>
                <c:pt idx="0">
                  <c:v>Алкогольні напої</c:v>
                </c:pt>
                <c:pt idx="1">
                  <c:v>Бакалія</c:v>
                </c:pt>
                <c:pt idx="2">
                  <c:v>Безалкогольні напої</c:v>
                </c:pt>
                <c:pt idx="3">
                  <c:v>Замороження штучна</c:v>
                </c:pt>
                <c:pt idx="4">
                  <c:v>кондитерська продукція</c:v>
                </c:pt>
                <c:pt idx="5">
                  <c:v>консервована продукція</c:v>
                </c:pt>
                <c:pt idx="6">
                  <c:v>Товари для тварин</c:v>
                </c:pt>
                <c:pt idx="7">
                  <c:v>кулінарія</c:v>
                </c:pt>
                <c:pt idx="8">
                  <c:v>молочний гастроном</c:v>
                </c:pt>
                <c:pt idx="9">
                  <c:v>м'ясний гастроном</c:v>
                </c:pt>
                <c:pt idx="10">
                  <c:v>М'ясо та птиця глибокої заморозки</c:v>
                </c:pt>
                <c:pt idx="11">
                  <c:v>м'ясо свіже</c:v>
                </c:pt>
                <c:pt idx="12">
                  <c:v>Овочі фрукти</c:v>
                </c:pt>
                <c:pt idx="13">
                  <c:v>Друковані видання</c:v>
                </c:pt>
                <c:pt idx="14">
                  <c:v>Рослинна олія</c:v>
                </c:pt>
                <c:pt idx="15">
                  <c:v>Риба та морепродукти</c:v>
                </c:pt>
                <c:pt idx="16">
                  <c:v>Супутні товари</c:v>
                </c:pt>
                <c:pt idx="17">
                  <c:v>Соуси і приправи</c:v>
                </c:pt>
                <c:pt idx="18">
                  <c:v>Тара, ящики</c:v>
                </c:pt>
                <c:pt idx="19">
                  <c:v>Товари для дітей</c:v>
                </c:pt>
                <c:pt idx="20">
                  <c:v>Хліб і хлібобулочні вироби</c:v>
                </c:pt>
                <c:pt idx="21">
                  <c:v>яйця</c:v>
                </c:pt>
              </c:strCache>
            </c:strRef>
          </c:cat>
          <c:val>
            <c:numRef>
              <c:f>Лист3!$C$3:$C$24</c:f>
              <c:numCache>
                <c:formatCode>#,##0</c:formatCode>
                <c:ptCount val="22"/>
                <c:pt idx="0">
                  <c:v>2011069</c:v>
                </c:pt>
                <c:pt idx="1">
                  <c:v>668870</c:v>
                </c:pt>
                <c:pt idx="2">
                  <c:v>755480</c:v>
                </c:pt>
                <c:pt idx="3">
                  <c:v>385912</c:v>
                </c:pt>
                <c:pt idx="4">
                  <c:v>893503</c:v>
                </c:pt>
                <c:pt idx="5">
                  <c:v>275392</c:v>
                </c:pt>
                <c:pt idx="6">
                  <c:v>80484</c:v>
                </c:pt>
                <c:pt idx="7">
                  <c:v>351358</c:v>
                </c:pt>
                <c:pt idx="8">
                  <c:v>1073958</c:v>
                </c:pt>
                <c:pt idx="9">
                  <c:v>814262</c:v>
                </c:pt>
                <c:pt idx="10">
                  <c:v>107220</c:v>
                </c:pt>
                <c:pt idx="11">
                  <c:v>260851</c:v>
                </c:pt>
                <c:pt idx="12">
                  <c:v>1112995</c:v>
                </c:pt>
                <c:pt idx="13">
                  <c:v>16230</c:v>
                </c:pt>
                <c:pt idx="14">
                  <c:v>39009</c:v>
                </c:pt>
                <c:pt idx="15">
                  <c:v>382602</c:v>
                </c:pt>
                <c:pt idx="16">
                  <c:v>667225</c:v>
                </c:pt>
                <c:pt idx="17">
                  <c:v>56855</c:v>
                </c:pt>
                <c:pt idx="18">
                  <c:v>11032</c:v>
                </c:pt>
                <c:pt idx="19">
                  <c:v>44360</c:v>
                </c:pt>
                <c:pt idx="20">
                  <c:v>188136</c:v>
                </c:pt>
                <c:pt idx="21">
                  <c:v>37739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8-4A09-A96F-4485E67D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61376"/>
        <c:axId val="157862912"/>
      </c:barChart>
      <c:catAx>
        <c:axId val="15786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862912"/>
        <c:crosses val="autoZero"/>
        <c:auto val="1"/>
        <c:lblAlgn val="ctr"/>
        <c:lblOffset val="100"/>
        <c:noMultiLvlLbl val="0"/>
      </c:catAx>
      <c:valAx>
        <c:axId val="1578629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786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Лист7!$A$5:$A$14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</c:numCache>
            </c:numRef>
          </c:cat>
          <c:val>
            <c:numRef>
              <c:f>Лист7!$B$5:$B$14</c:f>
              <c:numCache>
                <c:formatCode>General</c:formatCode>
                <c:ptCount val="10"/>
                <c:pt idx="0">
                  <c:v>4900</c:v>
                </c:pt>
                <c:pt idx="1">
                  <c:v>3800</c:v>
                </c:pt>
                <c:pt idx="2">
                  <c:v>2500</c:v>
                </c:pt>
                <c:pt idx="3">
                  <c:v>1900</c:v>
                </c:pt>
                <c:pt idx="4">
                  <c:v>900</c:v>
                </c:pt>
                <c:pt idx="5">
                  <c:v>690</c:v>
                </c:pt>
                <c:pt idx="6">
                  <c:v>450</c:v>
                </c:pt>
                <c:pt idx="7">
                  <c:v>200</c:v>
                </c:pt>
                <c:pt idx="8">
                  <c:v>150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C-4A4D-BF0C-D8140AE3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33888"/>
        <c:axId val="94703616"/>
      </c:barChart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val>
            <c:numRef>
              <c:f>Лист7!$D$5:$D$14</c:f>
              <c:numCache>
                <c:formatCode>0.00%</c:formatCode>
                <c:ptCount val="10"/>
                <c:pt idx="0">
                  <c:v>0.3132992327365729</c:v>
                </c:pt>
                <c:pt idx="1">
                  <c:v>0.55626598465473143</c:v>
                </c:pt>
                <c:pt idx="2">
                  <c:v>0.71611253196930946</c:v>
                </c:pt>
                <c:pt idx="3">
                  <c:v>0.83759590792838878</c:v>
                </c:pt>
                <c:pt idx="4">
                  <c:v>0.89514066496163691</c:v>
                </c:pt>
                <c:pt idx="5">
                  <c:v>0.9392583120204604</c:v>
                </c:pt>
                <c:pt idx="6">
                  <c:v>0.96803069053708446</c:v>
                </c:pt>
                <c:pt idx="7">
                  <c:v>0.9808184143222507</c:v>
                </c:pt>
                <c:pt idx="8">
                  <c:v>0.99040920716112535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C-4A4D-BF0C-D8140AE3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06688"/>
        <c:axId val="94705152"/>
      </c:lineChart>
      <c:catAx>
        <c:axId val="945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03616"/>
        <c:crosses val="autoZero"/>
        <c:auto val="1"/>
        <c:lblAlgn val="ctr"/>
        <c:lblOffset val="100"/>
        <c:noMultiLvlLbl val="0"/>
      </c:catAx>
      <c:valAx>
        <c:axId val="947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33888"/>
        <c:crosses val="autoZero"/>
        <c:crossBetween val="between"/>
      </c:valAx>
      <c:valAx>
        <c:axId val="94705152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94706688"/>
        <c:crosses val="max"/>
        <c:crossBetween val="between"/>
      </c:valAx>
      <c:catAx>
        <c:axId val="9470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947051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Лист8!$B$19</c:f>
              <c:strCache>
                <c:ptCount val="1"/>
                <c:pt idx="0">
                  <c:v>Постійні витрати, тис. Грн.</c:v>
                </c:pt>
              </c:strCache>
            </c:strRef>
          </c:tx>
          <c:marker>
            <c:symbol val="none"/>
          </c:marker>
          <c:cat>
            <c:numRef>
              <c:f>Лист8!$C$18:$M$18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Лист8!$C$19:$M$19</c:f>
              <c:numCache>
                <c:formatCode>#,##0</c:formatCode>
                <c:ptCount val="11"/>
                <c:pt idx="0">
                  <c:v>4879</c:v>
                </c:pt>
                <c:pt idx="1">
                  <c:v>4879</c:v>
                </c:pt>
                <c:pt idx="2">
                  <c:v>4879</c:v>
                </c:pt>
                <c:pt idx="3">
                  <c:v>4879</c:v>
                </c:pt>
                <c:pt idx="4">
                  <c:v>4879</c:v>
                </c:pt>
                <c:pt idx="5">
                  <c:v>4879</c:v>
                </c:pt>
                <c:pt idx="6">
                  <c:v>4879</c:v>
                </c:pt>
                <c:pt idx="7">
                  <c:v>4879</c:v>
                </c:pt>
                <c:pt idx="8">
                  <c:v>4879</c:v>
                </c:pt>
                <c:pt idx="9">
                  <c:v>4879</c:v>
                </c:pt>
                <c:pt idx="10">
                  <c:v>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2-4776-9A27-1B30FC26C745}"/>
            </c:ext>
          </c:extLst>
        </c:ser>
        <c:ser>
          <c:idx val="1"/>
          <c:order val="1"/>
          <c:tx>
            <c:strRef>
              <c:f>Лист8!$B$20</c:f>
              <c:strCache>
                <c:ptCount val="1"/>
                <c:pt idx="0">
                  <c:v>Змінні витрати, тис. Грн.</c:v>
                </c:pt>
              </c:strCache>
            </c:strRef>
          </c:tx>
          <c:marker>
            <c:symbol val="none"/>
          </c:marker>
          <c:cat>
            <c:numRef>
              <c:f>Лист8!$C$18:$M$18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Лист8!$C$20:$M$20</c:f>
              <c:numCache>
                <c:formatCode>General</c:formatCode>
                <c:ptCount val="11"/>
                <c:pt idx="0" formatCode="#,##0">
                  <c:v>4879</c:v>
                </c:pt>
                <c:pt idx="1">
                  <c:v>6953.2000000000007</c:v>
                </c:pt>
                <c:pt idx="2">
                  <c:v>9027.4000000000015</c:v>
                </c:pt>
                <c:pt idx="3">
                  <c:v>11101.600000000002</c:v>
                </c:pt>
                <c:pt idx="4">
                  <c:v>13175.800000000001</c:v>
                </c:pt>
                <c:pt idx="5">
                  <c:v>15250</c:v>
                </c:pt>
                <c:pt idx="6">
                  <c:v>17324.199999999997</c:v>
                </c:pt>
                <c:pt idx="7">
                  <c:v>19398.400000000001</c:v>
                </c:pt>
                <c:pt idx="8">
                  <c:v>21472.6</c:v>
                </c:pt>
                <c:pt idx="9">
                  <c:v>23546.799999999999</c:v>
                </c:pt>
                <c:pt idx="10" formatCode="#,##0">
                  <c:v>25621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2-4776-9A27-1B30FC26C745}"/>
            </c:ext>
          </c:extLst>
        </c:ser>
        <c:ser>
          <c:idx val="2"/>
          <c:order val="2"/>
          <c:tx>
            <c:strRef>
              <c:f>Лист8!$B$21</c:f>
              <c:strCache>
                <c:ptCount val="1"/>
                <c:pt idx="0">
                  <c:v>Виручка від продажів, тис. Грн.</c:v>
                </c:pt>
              </c:strCache>
            </c:strRef>
          </c:tx>
          <c:marker>
            <c:symbol val="none"/>
          </c:marker>
          <c:cat>
            <c:numRef>
              <c:f>Лист8!$C$18:$M$18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Лист8!$C$21:$M$21</c:f>
              <c:numCache>
                <c:formatCode>General</c:formatCode>
                <c:ptCount val="11"/>
                <c:pt idx="1">
                  <c:v>3279.3</c:v>
                </c:pt>
                <c:pt idx="2">
                  <c:v>6558.6</c:v>
                </c:pt>
                <c:pt idx="3">
                  <c:v>9837.9000000000015</c:v>
                </c:pt>
                <c:pt idx="4">
                  <c:v>13117.2</c:v>
                </c:pt>
                <c:pt idx="5">
                  <c:v>16396.5</c:v>
                </c:pt>
                <c:pt idx="6">
                  <c:v>19675.8</c:v>
                </c:pt>
                <c:pt idx="7">
                  <c:v>22955.1</c:v>
                </c:pt>
                <c:pt idx="8">
                  <c:v>26234.399999999998</c:v>
                </c:pt>
                <c:pt idx="9">
                  <c:v>29513.699999999997</c:v>
                </c:pt>
                <c:pt idx="10" formatCode="#,##0">
                  <c:v>32793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2-4776-9A27-1B30FC26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24096"/>
        <c:axId val="94725632"/>
      </c:lineChart>
      <c:catAx>
        <c:axId val="94724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94725632"/>
        <c:crosses val="autoZero"/>
        <c:auto val="1"/>
        <c:lblAlgn val="ctr"/>
        <c:lblOffset val="100"/>
        <c:noMultiLvlLbl val="0"/>
      </c:catAx>
      <c:valAx>
        <c:axId val="94725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472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Лист9!$B$12</c:f>
              <c:strCache>
                <c:ptCount val="1"/>
                <c:pt idx="0">
                  <c:v>Постійні витрати, тис. Грн.</c:v>
                </c:pt>
              </c:strCache>
            </c:strRef>
          </c:tx>
          <c:marker>
            <c:symbol val="square"/>
            <c:size val="5"/>
          </c:marker>
          <c:val>
            <c:numRef>
              <c:f>Лист9!$C$12:$M$12</c:f>
              <c:numCache>
                <c:formatCode>#,##0</c:formatCode>
                <c:ptCount val="11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5-471F-90E6-98E013FE2D40}"/>
            </c:ext>
          </c:extLst>
        </c:ser>
        <c:ser>
          <c:idx val="1"/>
          <c:order val="1"/>
          <c:tx>
            <c:strRef>
              <c:f>Лист9!$B$13</c:f>
              <c:strCache>
                <c:ptCount val="1"/>
                <c:pt idx="0">
                  <c:v>Змінні витрати, тис. Грн.</c:v>
                </c:pt>
              </c:strCache>
            </c:strRef>
          </c:tx>
          <c:marker>
            <c:symbol val="square"/>
            <c:size val="5"/>
          </c:marker>
          <c:val>
            <c:numRef>
              <c:f>Лист9!$C$13:$M$13</c:f>
              <c:numCache>
                <c:formatCode>_-* #\ ##0_р_._-;\-* #\ ##0_р_._-;_-* "-"?_р_._-;_-@_-</c:formatCode>
                <c:ptCount val="11"/>
                <c:pt idx="1">
                  <c:v>2500</c:v>
                </c:pt>
                <c:pt idx="2">
                  <c:v>5000</c:v>
                </c:pt>
                <c:pt idx="3">
                  <c:v>7500.0000000000009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22499.999999999996</c:v>
                </c:pt>
                <c:pt idx="10" formatCode="#,##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5-471F-90E6-98E013FE2D40}"/>
            </c:ext>
          </c:extLst>
        </c:ser>
        <c:ser>
          <c:idx val="2"/>
          <c:order val="2"/>
          <c:tx>
            <c:strRef>
              <c:f>Лист9!$B$14</c:f>
              <c:strCache>
                <c:ptCount val="1"/>
                <c:pt idx="0">
                  <c:v>Виручка від продажів, тис. Грн.</c:v>
                </c:pt>
              </c:strCache>
            </c:strRef>
          </c:tx>
          <c:marker>
            <c:symbol val="square"/>
            <c:size val="5"/>
          </c:marker>
          <c:val>
            <c:numRef>
              <c:f>Лист9!$C$14:$M$14</c:f>
              <c:numCache>
                <c:formatCode>_-* #\ ##0_р_._-;\-* #\ ##0_р_._-;_-* "-"?_р_._-;_-@_-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30000.000000000004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89999.999999999985</c:v>
                </c:pt>
                <c:pt idx="10" formatCode="#,##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5-471F-90E6-98E013FE2D40}"/>
            </c:ext>
          </c:extLst>
        </c:ser>
        <c:ser>
          <c:idx val="3"/>
          <c:order val="3"/>
          <c:tx>
            <c:strRef>
              <c:f>Лист9!$B$15</c:f>
              <c:strCache>
                <c:ptCount val="1"/>
                <c:pt idx="0">
                  <c:v>валов витрати</c:v>
                </c:pt>
              </c:strCache>
            </c:strRef>
          </c:tx>
          <c:marker>
            <c:symbol val="square"/>
            <c:size val="5"/>
          </c:marker>
          <c:val>
            <c:numRef>
              <c:f>Лист9!$C$15:$M$15</c:f>
              <c:numCache>
                <c:formatCode>_-* #\ ##0_р_._-;\-* #\ ##0_р_._-;_-* "-"?_р_._-;_-@_-</c:formatCode>
                <c:ptCount val="11"/>
                <c:pt idx="0" formatCode="General">
                  <c:v>15000</c:v>
                </c:pt>
                <c:pt idx="1">
                  <c:v>17500</c:v>
                </c:pt>
                <c:pt idx="2">
                  <c:v>20000</c:v>
                </c:pt>
                <c:pt idx="3">
                  <c:v>22500</c:v>
                </c:pt>
                <c:pt idx="4">
                  <c:v>25000</c:v>
                </c:pt>
                <c:pt idx="5">
                  <c:v>27500</c:v>
                </c:pt>
                <c:pt idx="6">
                  <c:v>30000</c:v>
                </c:pt>
                <c:pt idx="7">
                  <c:v>32500</c:v>
                </c:pt>
                <c:pt idx="8">
                  <c:v>35000</c:v>
                </c:pt>
                <c:pt idx="9">
                  <c:v>37500</c:v>
                </c:pt>
                <c:pt idx="1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5-471F-90E6-98E013FE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05376"/>
        <c:axId val="94815360"/>
      </c:lineChart>
      <c:catAx>
        <c:axId val="9480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4815360"/>
        <c:crosses val="autoZero"/>
        <c:auto val="1"/>
        <c:lblAlgn val="ctr"/>
        <c:lblOffset val="100"/>
        <c:noMultiLvlLbl val="0"/>
      </c:catAx>
      <c:valAx>
        <c:axId val="948153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480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Лист10!$B$41</c:f>
              <c:strCache>
                <c:ptCount val="1"/>
                <c:pt idx="0">
                  <c:v>Виручка (в грн.)</c:v>
                </c:pt>
              </c:strCache>
            </c:strRef>
          </c:tx>
          <c:marker>
            <c:symbol val="square"/>
            <c:size val="5"/>
          </c:marker>
          <c:cat>
            <c:numRef>
              <c:f>Лист10!$C$39:$S$39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Лист10!$C$41:$S$41</c:f>
              <c:numCache>
                <c:formatCode>0.00</c:formatCode>
                <c:ptCount val="17"/>
                <c:pt idx="0">
                  <c:v>63470.588235294119</c:v>
                </c:pt>
                <c:pt idx="1">
                  <c:v>126941.17647058824</c:v>
                </c:pt>
                <c:pt idx="2">
                  <c:v>190411.76470588238</c:v>
                </c:pt>
                <c:pt idx="3">
                  <c:v>253882.35294117648</c:v>
                </c:pt>
                <c:pt idx="4">
                  <c:v>317352.9411764706</c:v>
                </c:pt>
                <c:pt idx="5">
                  <c:v>380823.52941176476</c:v>
                </c:pt>
                <c:pt idx="6">
                  <c:v>444294.11764705885</c:v>
                </c:pt>
                <c:pt idx="7">
                  <c:v>507764.70588235295</c:v>
                </c:pt>
                <c:pt idx="8">
                  <c:v>571235.29411764711</c:v>
                </c:pt>
                <c:pt idx="9">
                  <c:v>634705.8823529412</c:v>
                </c:pt>
                <c:pt idx="10">
                  <c:v>698176.4705882353</c:v>
                </c:pt>
                <c:pt idx="11">
                  <c:v>761647.05882352951</c:v>
                </c:pt>
                <c:pt idx="12">
                  <c:v>825117.64705882361</c:v>
                </c:pt>
                <c:pt idx="13">
                  <c:v>888588.23529411771</c:v>
                </c:pt>
                <c:pt idx="14">
                  <c:v>952058.82352941181</c:v>
                </c:pt>
                <c:pt idx="15">
                  <c:v>1015529.4117647059</c:v>
                </c:pt>
                <c:pt idx="16">
                  <c:v>1079000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1-4FBF-89DD-F55548CDD677}"/>
            </c:ext>
          </c:extLst>
        </c:ser>
        <c:ser>
          <c:idx val="1"/>
          <c:order val="1"/>
          <c:tx>
            <c:strRef>
              <c:f>Лист10!$B$42</c:f>
              <c:strCache>
                <c:ptCount val="1"/>
                <c:pt idx="0">
                  <c:v>Змінні витрати (в грн.)</c:v>
                </c:pt>
              </c:strCache>
            </c:strRef>
          </c:tx>
          <c:marker>
            <c:symbol val="square"/>
            <c:size val="5"/>
          </c:marker>
          <c:cat>
            <c:numRef>
              <c:f>Лист10!$C$39:$S$39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Лист10!$C$42:$S$42</c:f>
              <c:numCache>
                <c:formatCode>0.00</c:formatCode>
                <c:ptCount val="17"/>
                <c:pt idx="0">
                  <c:v>33235.294117647063</c:v>
                </c:pt>
                <c:pt idx="1">
                  <c:v>66470.588235294126</c:v>
                </c:pt>
                <c:pt idx="2">
                  <c:v>99705.882352941189</c:v>
                </c:pt>
                <c:pt idx="3">
                  <c:v>132941.17647058825</c:v>
                </c:pt>
                <c:pt idx="4">
                  <c:v>166176.4705882353</c:v>
                </c:pt>
                <c:pt idx="5">
                  <c:v>199411.76470588238</c:v>
                </c:pt>
                <c:pt idx="6">
                  <c:v>232647.05882352943</c:v>
                </c:pt>
                <c:pt idx="7">
                  <c:v>265882.3529411765</c:v>
                </c:pt>
                <c:pt idx="8">
                  <c:v>299117.64705882355</c:v>
                </c:pt>
                <c:pt idx="9">
                  <c:v>332352.9411764706</c:v>
                </c:pt>
                <c:pt idx="10">
                  <c:v>365588.23529411765</c:v>
                </c:pt>
                <c:pt idx="11">
                  <c:v>398823.52941176476</c:v>
                </c:pt>
                <c:pt idx="12">
                  <c:v>432058.82352941181</c:v>
                </c:pt>
                <c:pt idx="13">
                  <c:v>465294.11764705885</c:v>
                </c:pt>
                <c:pt idx="14">
                  <c:v>498529.4117647059</c:v>
                </c:pt>
                <c:pt idx="15">
                  <c:v>531764.70588235301</c:v>
                </c:pt>
                <c:pt idx="16">
                  <c:v>565000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1-4FBF-89DD-F55548CDD677}"/>
            </c:ext>
          </c:extLst>
        </c:ser>
        <c:ser>
          <c:idx val="2"/>
          <c:order val="2"/>
          <c:tx>
            <c:strRef>
              <c:f>Лист10!$B$43</c:f>
              <c:strCache>
                <c:ptCount val="1"/>
                <c:pt idx="0">
                  <c:v>Постійні витрати (в грн.)</c:v>
                </c:pt>
              </c:strCache>
            </c:strRef>
          </c:tx>
          <c:marker>
            <c:symbol val="square"/>
            <c:size val="5"/>
          </c:marker>
          <c:cat>
            <c:numRef>
              <c:f>Лист10!$C$39:$S$39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Лист10!$C$43:$S$43</c:f>
              <c:numCache>
                <c:formatCode>General</c:formatCode>
                <c:ptCount val="17"/>
                <c:pt idx="0">
                  <c:v>281400</c:v>
                </c:pt>
                <c:pt idx="1">
                  <c:v>281400</c:v>
                </c:pt>
                <c:pt idx="2">
                  <c:v>281400</c:v>
                </c:pt>
                <c:pt idx="3">
                  <c:v>281400</c:v>
                </c:pt>
                <c:pt idx="4">
                  <c:v>281400</c:v>
                </c:pt>
                <c:pt idx="5">
                  <c:v>281400</c:v>
                </c:pt>
                <c:pt idx="6">
                  <c:v>281400</c:v>
                </c:pt>
                <c:pt idx="7">
                  <c:v>281400</c:v>
                </c:pt>
                <c:pt idx="8">
                  <c:v>281400</c:v>
                </c:pt>
                <c:pt idx="9">
                  <c:v>281400</c:v>
                </c:pt>
                <c:pt idx="10">
                  <c:v>281400</c:v>
                </c:pt>
                <c:pt idx="11">
                  <c:v>281400</c:v>
                </c:pt>
                <c:pt idx="12">
                  <c:v>281400</c:v>
                </c:pt>
                <c:pt idx="13">
                  <c:v>281400</c:v>
                </c:pt>
                <c:pt idx="14">
                  <c:v>281400</c:v>
                </c:pt>
                <c:pt idx="15">
                  <c:v>281400</c:v>
                </c:pt>
                <c:pt idx="16">
                  <c:v>281400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1-4FBF-89DD-F55548CDD677}"/>
            </c:ext>
          </c:extLst>
        </c:ser>
        <c:ser>
          <c:idx val="3"/>
          <c:order val="3"/>
          <c:tx>
            <c:strRef>
              <c:f>Лист10!$B$44</c:f>
              <c:strCache>
                <c:ptCount val="1"/>
                <c:pt idx="0">
                  <c:v>Загальні витрати (в грн.)</c:v>
                </c:pt>
              </c:strCache>
            </c:strRef>
          </c:tx>
          <c:marker>
            <c:symbol val="square"/>
            <c:size val="5"/>
          </c:marker>
          <c:cat>
            <c:numRef>
              <c:f>Лист10!$C$39:$S$39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Лист10!$C$44:$S$44</c:f>
              <c:numCache>
                <c:formatCode>0.00</c:formatCode>
                <c:ptCount val="17"/>
                <c:pt idx="0">
                  <c:v>314635.29411764705</c:v>
                </c:pt>
                <c:pt idx="1">
                  <c:v>347870.5882352941</c:v>
                </c:pt>
                <c:pt idx="2">
                  <c:v>381105.8823529412</c:v>
                </c:pt>
                <c:pt idx="3">
                  <c:v>414341.17647058825</c:v>
                </c:pt>
                <c:pt idx="4">
                  <c:v>447576.4705882353</c:v>
                </c:pt>
                <c:pt idx="5">
                  <c:v>480811.76470588241</c:v>
                </c:pt>
                <c:pt idx="6">
                  <c:v>514047.0588235294</c:v>
                </c:pt>
                <c:pt idx="7">
                  <c:v>547282.3529411765</c:v>
                </c:pt>
                <c:pt idx="8">
                  <c:v>580517.64705882361</c:v>
                </c:pt>
                <c:pt idx="9">
                  <c:v>613752.9411764706</c:v>
                </c:pt>
                <c:pt idx="10">
                  <c:v>646988.23529411759</c:v>
                </c:pt>
                <c:pt idx="11">
                  <c:v>680223.52941176482</c:v>
                </c:pt>
                <c:pt idx="12">
                  <c:v>713458.82352941181</c:v>
                </c:pt>
                <c:pt idx="13">
                  <c:v>746694.1176470588</c:v>
                </c:pt>
                <c:pt idx="14">
                  <c:v>779929.4117647059</c:v>
                </c:pt>
                <c:pt idx="15">
                  <c:v>813164.70588235301</c:v>
                </c:pt>
                <c:pt idx="16">
                  <c:v>846400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1-4FBF-89DD-F55548CD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82816"/>
        <c:axId val="94888704"/>
      </c:lineChart>
      <c:catAx>
        <c:axId val="948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88704"/>
        <c:crosses val="autoZero"/>
        <c:auto val="1"/>
        <c:lblAlgn val="ctr"/>
        <c:lblOffset val="100"/>
        <c:noMultiLvlLbl val="0"/>
      </c:catAx>
      <c:valAx>
        <c:axId val="94888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88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Лист10!$B$113</c:f>
              <c:strCache>
                <c:ptCount val="1"/>
                <c:pt idx="0">
                  <c:v>Виручка (в грн.)</c:v>
                </c:pt>
              </c:strCache>
            </c:strRef>
          </c:tx>
          <c:marker>
            <c:symbol val="square"/>
            <c:size val="5"/>
          </c:marker>
          <c:cat>
            <c:numRef>
              <c:f>Лист10!$C$111:$S$111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Лист10!$C$113:$S$113</c:f>
              <c:numCache>
                <c:formatCode>0.00</c:formatCode>
                <c:ptCount val="17"/>
                <c:pt idx="0">
                  <c:v>63470.588235294119</c:v>
                </c:pt>
                <c:pt idx="1">
                  <c:v>126941.17647058824</c:v>
                </c:pt>
                <c:pt idx="2">
                  <c:v>190411.76470588238</c:v>
                </c:pt>
                <c:pt idx="3">
                  <c:v>253882.35294117648</c:v>
                </c:pt>
                <c:pt idx="4">
                  <c:v>317352.9411764706</c:v>
                </c:pt>
                <c:pt idx="5">
                  <c:v>380823.52941176476</c:v>
                </c:pt>
                <c:pt idx="6">
                  <c:v>444294.11764705885</c:v>
                </c:pt>
                <c:pt idx="7">
                  <c:v>507764.70588235295</c:v>
                </c:pt>
                <c:pt idx="8">
                  <c:v>571235.29411764711</c:v>
                </c:pt>
                <c:pt idx="9">
                  <c:v>634705.8823529412</c:v>
                </c:pt>
                <c:pt idx="10">
                  <c:v>698176.4705882353</c:v>
                </c:pt>
                <c:pt idx="11">
                  <c:v>761647.05882352951</c:v>
                </c:pt>
                <c:pt idx="12">
                  <c:v>825117.64705882361</c:v>
                </c:pt>
                <c:pt idx="13">
                  <c:v>888588.23529411771</c:v>
                </c:pt>
                <c:pt idx="14">
                  <c:v>952058.82352941181</c:v>
                </c:pt>
                <c:pt idx="15">
                  <c:v>1015529.4117647059</c:v>
                </c:pt>
                <c:pt idx="16">
                  <c:v>1079000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4FB8-8C3C-38BD4DD8C080}"/>
            </c:ext>
          </c:extLst>
        </c:ser>
        <c:ser>
          <c:idx val="1"/>
          <c:order val="1"/>
          <c:tx>
            <c:strRef>
              <c:f>Лист10!$B$114</c:f>
              <c:strCache>
                <c:ptCount val="1"/>
                <c:pt idx="0">
                  <c:v>Змінні витрати (в грн.)</c:v>
                </c:pt>
              </c:strCache>
            </c:strRef>
          </c:tx>
          <c:marker>
            <c:symbol val="square"/>
            <c:size val="5"/>
          </c:marker>
          <c:cat>
            <c:numRef>
              <c:f>Лист10!$C$111:$S$111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Лист10!$C$114:$S$114</c:f>
              <c:numCache>
                <c:formatCode>0.00</c:formatCode>
                <c:ptCount val="17"/>
                <c:pt idx="0">
                  <c:v>35908.823529411762</c:v>
                </c:pt>
                <c:pt idx="1">
                  <c:v>71817.647058823524</c:v>
                </c:pt>
                <c:pt idx="2">
                  <c:v>107726.47058823529</c:v>
                </c:pt>
                <c:pt idx="3">
                  <c:v>143635.29411764705</c:v>
                </c:pt>
                <c:pt idx="4">
                  <c:v>179544.11764705883</c:v>
                </c:pt>
                <c:pt idx="5">
                  <c:v>215452.94117647057</c:v>
                </c:pt>
                <c:pt idx="6">
                  <c:v>251361.76470588235</c:v>
                </c:pt>
                <c:pt idx="7">
                  <c:v>287270.5882352941</c:v>
                </c:pt>
                <c:pt idx="8">
                  <c:v>323179.41176470584</c:v>
                </c:pt>
                <c:pt idx="9">
                  <c:v>359088.23529411765</c:v>
                </c:pt>
                <c:pt idx="10">
                  <c:v>394997.0588235294</c:v>
                </c:pt>
                <c:pt idx="11">
                  <c:v>430905.88235294115</c:v>
                </c:pt>
                <c:pt idx="12">
                  <c:v>466814.70588235289</c:v>
                </c:pt>
                <c:pt idx="13">
                  <c:v>502723.5294117647</c:v>
                </c:pt>
                <c:pt idx="14">
                  <c:v>538632.35294117639</c:v>
                </c:pt>
                <c:pt idx="15">
                  <c:v>574541.17647058819</c:v>
                </c:pt>
                <c:pt idx="16">
                  <c:v>610450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6-4FB8-8C3C-38BD4DD8C080}"/>
            </c:ext>
          </c:extLst>
        </c:ser>
        <c:ser>
          <c:idx val="2"/>
          <c:order val="2"/>
          <c:tx>
            <c:strRef>
              <c:f>Лист10!$B$115</c:f>
              <c:strCache>
                <c:ptCount val="1"/>
                <c:pt idx="0">
                  <c:v>Постійні витрати (в грн.)</c:v>
                </c:pt>
              </c:strCache>
            </c:strRef>
          </c:tx>
          <c:marker>
            <c:symbol val="square"/>
            <c:size val="5"/>
          </c:marker>
          <c:cat>
            <c:numRef>
              <c:f>Лист10!$C$111:$S$111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Лист10!$C$115:$S$115</c:f>
              <c:numCache>
                <c:formatCode>General</c:formatCode>
                <c:ptCount val="17"/>
                <c:pt idx="0">
                  <c:v>309540</c:v>
                </c:pt>
                <c:pt idx="1">
                  <c:v>309540</c:v>
                </c:pt>
                <c:pt idx="2">
                  <c:v>309540</c:v>
                </c:pt>
                <c:pt idx="3">
                  <c:v>309540</c:v>
                </c:pt>
                <c:pt idx="4">
                  <c:v>309540</c:v>
                </c:pt>
                <c:pt idx="5">
                  <c:v>309540</c:v>
                </c:pt>
                <c:pt idx="6">
                  <c:v>309540</c:v>
                </c:pt>
                <c:pt idx="7">
                  <c:v>309540</c:v>
                </c:pt>
                <c:pt idx="8">
                  <c:v>309540</c:v>
                </c:pt>
                <c:pt idx="9">
                  <c:v>309540</c:v>
                </c:pt>
                <c:pt idx="10">
                  <c:v>309540</c:v>
                </c:pt>
                <c:pt idx="11">
                  <c:v>309540</c:v>
                </c:pt>
                <c:pt idx="12">
                  <c:v>309540</c:v>
                </c:pt>
                <c:pt idx="13">
                  <c:v>309540</c:v>
                </c:pt>
                <c:pt idx="14">
                  <c:v>309540</c:v>
                </c:pt>
                <c:pt idx="15">
                  <c:v>309540</c:v>
                </c:pt>
                <c:pt idx="16">
                  <c:v>309540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6-4FB8-8C3C-38BD4DD8C080}"/>
            </c:ext>
          </c:extLst>
        </c:ser>
        <c:ser>
          <c:idx val="3"/>
          <c:order val="3"/>
          <c:tx>
            <c:strRef>
              <c:f>Лист10!$B$116</c:f>
              <c:strCache>
                <c:ptCount val="1"/>
                <c:pt idx="0">
                  <c:v>Загальні витрати (в грн.)</c:v>
                </c:pt>
              </c:strCache>
            </c:strRef>
          </c:tx>
          <c:marker>
            <c:symbol val="square"/>
            <c:size val="5"/>
          </c:marker>
          <c:cat>
            <c:numRef>
              <c:f>Лист10!$C$111:$S$111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</c:numCache>
            </c:numRef>
          </c:cat>
          <c:val>
            <c:numRef>
              <c:f>Лист10!$C$116:$S$116</c:f>
              <c:numCache>
                <c:formatCode>0.00</c:formatCode>
                <c:ptCount val="17"/>
                <c:pt idx="0">
                  <c:v>345448.82352941175</c:v>
                </c:pt>
                <c:pt idx="1">
                  <c:v>381357.6470588235</c:v>
                </c:pt>
                <c:pt idx="2">
                  <c:v>417266.4705882353</c:v>
                </c:pt>
                <c:pt idx="3">
                  <c:v>453175.29411764705</c:v>
                </c:pt>
                <c:pt idx="4">
                  <c:v>489084.1176470588</c:v>
                </c:pt>
                <c:pt idx="5">
                  <c:v>524992.9411764706</c:v>
                </c:pt>
                <c:pt idx="6">
                  <c:v>560901.76470588241</c:v>
                </c:pt>
                <c:pt idx="7">
                  <c:v>596810.5882352941</c:v>
                </c:pt>
                <c:pt idx="8">
                  <c:v>632719.41176470579</c:v>
                </c:pt>
                <c:pt idx="9">
                  <c:v>668628.23529411759</c:v>
                </c:pt>
                <c:pt idx="10">
                  <c:v>704537.0588235294</c:v>
                </c:pt>
                <c:pt idx="11">
                  <c:v>740445.8823529412</c:v>
                </c:pt>
                <c:pt idx="12">
                  <c:v>776354.70588235289</c:v>
                </c:pt>
                <c:pt idx="13">
                  <c:v>812263.5294117647</c:v>
                </c:pt>
                <c:pt idx="14">
                  <c:v>848172.35294117639</c:v>
                </c:pt>
                <c:pt idx="15">
                  <c:v>884081.17647058819</c:v>
                </c:pt>
                <c:pt idx="16">
                  <c:v>919990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6-4FB8-8C3C-38BD4DD8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9024"/>
        <c:axId val="95019008"/>
      </c:lineChart>
      <c:catAx>
        <c:axId val="950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019008"/>
        <c:crosses val="autoZero"/>
        <c:auto val="1"/>
        <c:lblAlgn val="ctr"/>
        <c:lblOffset val="100"/>
        <c:noMultiLvlLbl val="0"/>
      </c:catAx>
      <c:valAx>
        <c:axId val="95019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500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7</xdr:row>
      <xdr:rowOff>9525</xdr:rowOff>
    </xdr:from>
    <xdr:to>
      <xdr:col>9</xdr:col>
      <xdr:colOff>323850</xdr:colOff>
      <xdr:row>20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0</xdr:row>
      <xdr:rowOff>133349</xdr:rowOff>
    </xdr:from>
    <xdr:to>
      <xdr:col>19</xdr:col>
      <xdr:colOff>457200</xdr:colOff>
      <xdr:row>27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30</xdr:row>
      <xdr:rowOff>2</xdr:rowOff>
    </xdr:from>
    <xdr:to>
      <xdr:col>7</xdr:col>
      <xdr:colOff>485775</xdr:colOff>
      <xdr:row>55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111919</xdr:colOff>
      <xdr:row>30</xdr:row>
      <xdr:rowOff>14289</xdr:rowOff>
    </xdr:from>
    <xdr:to>
      <xdr:col>23</xdr:col>
      <xdr:colOff>464344</xdr:colOff>
      <xdr:row>54</xdr:row>
      <xdr:rowOff>147639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0.23804</cdr:x>
      <cdr:y>0.00471</cdr:y>
    </cdr:from>
    <cdr:to>
      <cdr:x>0.35006</cdr:x>
      <cdr:y>0.21996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3101" y="27422"/>
          <a:ext cx="914400" cy="1252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400" b="1">
              <a:latin typeface="+mn-lt"/>
              <a:ea typeface="+mn-ea"/>
              <a:cs typeface="+mn-cs"/>
            </a:rPr>
            <a:t>Діаграма продажу товарів (по групам) за квітень</a:t>
          </a:r>
          <a:endParaRPr lang="ru-RU" sz="1400" b="1">
            <a:latin typeface="+mn-lt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0.23576</cdr:x>
      <cdr:y>0</cdr:y>
    </cdr:from>
    <cdr:to>
      <cdr:x>0.34778</cdr:x>
      <cdr:y>0.21525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67132" y="0"/>
          <a:ext cx="934684" cy="1035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400" b="1">
              <a:latin typeface="+mn-lt"/>
              <a:ea typeface="+mn-ea"/>
              <a:cs typeface="+mn-cs"/>
            </a:rPr>
            <a:t>Діаграма продажу товарів (по групам) за травень</a:t>
          </a:r>
          <a:endParaRPr lang="ru-RU" sz="1400" b="1"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14</xdr:row>
      <xdr:rowOff>95250</xdr:rowOff>
    </xdr:from>
    <xdr:to>
      <xdr:col>5</xdr:col>
      <xdr:colOff>0</xdr:colOff>
      <xdr:row>35</xdr:row>
      <xdr:rowOff>9525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21</xdr:row>
      <xdr:rowOff>171450</xdr:rowOff>
    </xdr:from>
    <xdr:to>
      <xdr:col>9</xdr:col>
      <xdr:colOff>276224</xdr:colOff>
      <xdr:row>43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171450</xdr:rowOff>
    </xdr:from>
    <xdr:to>
      <xdr:col>12</xdr:col>
      <xdr:colOff>790575</xdr:colOff>
      <xdr:row>38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44</xdr:row>
      <xdr:rowOff>180974</xdr:rowOff>
    </xdr:from>
    <xdr:to>
      <xdr:col>6</xdr:col>
      <xdr:colOff>771525</xdr:colOff>
      <xdr:row>69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116</xdr:row>
      <xdr:rowOff>161924</xdr:rowOff>
    </xdr:from>
    <xdr:to>
      <xdr:col>6</xdr:col>
      <xdr:colOff>1619250</xdr:colOff>
      <xdr:row>141</xdr:row>
      <xdr:rowOff>57149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60" zoomScaleNormal="60" workbookViewId="0">
      <selection activeCell="R13" sqref="R13"/>
    </sheetView>
  </sheetViews>
  <sheetFormatPr defaultRowHeight="15" outlineLevelRow="3" x14ac:dyDescent="0.25"/>
  <cols>
    <col min="1" max="1" width="30.5703125" customWidth="1"/>
    <col min="3" max="3" width="12.7109375" customWidth="1"/>
    <col min="4" max="4" width="16.42578125" customWidth="1"/>
    <col min="5" max="5" width="9.140625" customWidth="1"/>
    <col min="6" max="6" width="17.7109375" customWidth="1"/>
    <col min="9" max="9" width="23" customWidth="1"/>
    <col min="10" max="10" width="20" customWidth="1"/>
    <col min="11" max="11" width="15.140625" customWidth="1"/>
    <col min="12" max="12" width="27" customWidth="1"/>
    <col min="13" max="13" width="14.5703125" customWidth="1"/>
    <col min="14" max="14" width="25.85546875" customWidth="1"/>
  </cols>
  <sheetData>
    <row r="1" spans="1:14" ht="30.75" thickBot="1" x14ac:dyDescent="0.3">
      <c r="A1" s="157" t="s">
        <v>62</v>
      </c>
      <c r="B1" s="158" t="s">
        <v>64</v>
      </c>
      <c r="C1" s="158" t="s">
        <v>65</v>
      </c>
      <c r="D1" s="158" t="s">
        <v>66</v>
      </c>
      <c r="E1" s="158" t="s">
        <v>67</v>
      </c>
      <c r="F1" s="158" t="s">
        <v>68</v>
      </c>
      <c r="I1" s="157" t="s">
        <v>62</v>
      </c>
      <c r="J1" s="158" t="s">
        <v>64</v>
      </c>
      <c r="K1" s="158" t="s">
        <v>65</v>
      </c>
      <c r="L1" s="158" t="s">
        <v>66</v>
      </c>
      <c r="M1" s="158" t="s">
        <v>67</v>
      </c>
      <c r="N1" s="158" t="s">
        <v>68</v>
      </c>
    </row>
    <row r="2" spans="1:14" ht="25.5" customHeight="1" outlineLevel="3" thickBot="1" x14ac:dyDescent="0.3">
      <c r="A2" s="159" t="s">
        <v>73</v>
      </c>
      <c r="B2" s="160" t="s">
        <v>0</v>
      </c>
      <c r="C2" s="160">
        <v>5</v>
      </c>
      <c r="D2" s="161">
        <v>42393</v>
      </c>
      <c r="E2" s="160">
        <v>10000</v>
      </c>
      <c r="F2" s="160">
        <f>C2*E2</f>
        <v>50000</v>
      </c>
      <c r="I2" s="157" t="s">
        <v>71</v>
      </c>
      <c r="J2" s="158"/>
      <c r="K2" s="158"/>
      <c r="L2" s="158" t="s">
        <v>4</v>
      </c>
      <c r="M2" s="158"/>
      <c r="N2" s="158"/>
    </row>
    <row r="3" spans="1:14" ht="25.5" customHeight="1" outlineLevel="3" thickBot="1" x14ac:dyDescent="0.3">
      <c r="A3" s="159" t="s">
        <v>73</v>
      </c>
      <c r="B3" s="160" t="s">
        <v>0</v>
      </c>
      <c r="C3" s="160">
        <v>3</v>
      </c>
      <c r="D3" s="161">
        <v>42396</v>
      </c>
      <c r="E3" s="160">
        <v>10000</v>
      </c>
      <c r="F3" s="160">
        <f>C3*E3</f>
        <v>30000</v>
      </c>
      <c r="I3" s="157"/>
      <c r="J3" s="158"/>
      <c r="K3" s="158"/>
      <c r="L3" s="158"/>
      <c r="M3" s="158"/>
      <c r="N3" s="158"/>
    </row>
    <row r="4" spans="1:14" ht="19.5" customHeight="1" outlineLevel="3" thickBot="1" x14ac:dyDescent="0.3">
      <c r="A4" s="159" t="s">
        <v>73</v>
      </c>
      <c r="B4" s="160" t="s">
        <v>1</v>
      </c>
      <c r="C4" s="160">
        <v>1</v>
      </c>
      <c r="D4" s="161">
        <v>42394</v>
      </c>
      <c r="E4" s="160">
        <v>20000</v>
      </c>
      <c r="F4" s="160">
        <f>C4*E4</f>
        <v>20000</v>
      </c>
      <c r="I4" s="157" t="s">
        <v>62</v>
      </c>
      <c r="J4" s="158" t="s">
        <v>64</v>
      </c>
      <c r="K4" s="158" t="s">
        <v>65</v>
      </c>
      <c r="L4" s="158" t="s">
        <v>66</v>
      </c>
      <c r="M4" s="158" t="s">
        <v>67</v>
      </c>
      <c r="N4" s="158" t="s">
        <v>68</v>
      </c>
    </row>
    <row r="5" spans="1:14" ht="15.75" outlineLevel="2" thickBot="1" x14ac:dyDescent="0.3">
      <c r="A5" s="170" t="s">
        <v>81</v>
      </c>
      <c r="B5" s="160"/>
      <c r="C5" s="160"/>
      <c r="D5" s="161"/>
      <c r="E5" s="160">
        <f>SUBTOTAL(1,E2:E4)</f>
        <v>13333.333333333334</v>
      </c>
      <c r="F5" s="160"/>
      <c r="I5" s="168"/>
      <c r="J5" s="169"/>
      <c r="K5" s="169"/>
      <c r="L5" s="169"/>
      <c r="M5" s="169"/>
      <c r="N5" s="169"/>
    </row>
    <row r="6" spans="1:14" ht="15.75" outlineLevel="1" thickBot="1" x14ac:dyDescent="0.3">
      <c r="A6" s="170" t="s">
        <v>75</v>
      </c>
      <c r="B6" s="160"/>
      <c r="C6" s="160"/>
      <c r="D6" s="161"/>
      <c r="E6" s="160"/>
      <c r="F6" s="160">
        <f>SUBTOTAL(9,F2:F4)</f>
        <v>100000</v>
      </c>
      <c r="I6" s="168"/>
      <c r="J6" s="169"/>
      <c r="K6" s="169"/>
      <c r="L6" s="169"/>
      <c r="M6" s="169"/>
      <c r="N6" s="169"/>
    </row>
    <row r="7" spans="1:14" ht="15.75" outlineLevel="3" thickBot="1" x14ac:dyDescent="0.3">
      <c r="A7" s="159" t="s">
        <v>71</v>
      </c>
      <c r="B7" s="160" t="s">
        <v>61</v>
      </c>
      <c r="C7" s="160">
        <v>2</v>
      </c>
      <c r="D7" s="161">
        <v>42393</v>
      </c>
      <c r="E7" s="160">
        <v>50000</v>
      </c>
      <c r="F7" s="160">
        <f>C7*E7</f>
        <v>100000</v>
      </c>
      <c r="I7" s="159" t="s">
        <v>71</v>
      </c>
      <c r="J7" s="160" t="s">
        <v>61</v>
      </c>
      <c r="K7" s="160">
        <v>2</v>
      </c>
      <c r="L7" s="161">
        <v>42393</v>
      </c>
      <c r="M7" s="160">
        <v>50000</v>
      </c>
      <c r="N7" s="160">
        <v>100000</v>
      </c>
    </row>
    <row r="8" spans="1:14" ht="15.75" outlineLevel="3" thickBot="1" x14ac:dyDescent="0.3">
      <c r="A8" s="159" t="s">
        <v>71</v>
      </c>
      <c r="B8" s="160" t="s">
        <v>2</v>
      </c>
      <c r="C8" s="160">
        <v>4</v>
      </c>
      <c r="D8" s="161">
        <v>42393</v>
      </c>
      <c r="E8" s="160">
        <v>9000</v>
      </c>
      <c r="F8" s="160">
        <f>C8*E8</f>
        <v>36000</v>
      </c>
      <c r="I8" s="165" t="s">
        <v>71</v>
      </c>
      <c r="J8" s="166" t="s">
        <v>2</v>
      </c>
      <c r="K8" s="166">
        <v>4</v>
      </c>
      <c r="L8" s="167">
        <v>42393</v>
      </c>
      <c r="M8" s="166">
        <v>9000</v>
      </c>
      <c r="N8" s="166">
        <v>36000</v>
      </c>
    </row>
    <row r="9" spans="1:14" ht="15.75" outlineLevel="2" thickBot="1" x14ac:dyDescent="0.3">
      <c r="A9" s="170" t="s">
        <v>82</v>
      </c>
      <c r="B9" s="160"/>
      <c r="C9" s="160"/>
      <c r="D9" s="161"/>
      <c r="E9" s="160">
        <f>SUBTOTAL(1,E7:E8)</f>
        <v>29500</v>
      </c>
      <c r="F9" s="160"/>
      <c r="I9" s="162"/>
      <c r="J9" s="163"/>
      <c r="K9" s="163"/>
      <c r="L9" s="164"/>
      <c r="M9" s="163"/>
      <c r="N9" s="163"/>
    </row>
    <row r="10" spans="1:14" ht="15.75" outlineLevel="1" thickBot="1" x14ac:dyDescent="0.3">
      <c r="A10" s="170" t="s">
        <v>76</v>
      </c>
      <c r="B10" s="160"/>
      <c r="C10" s="160"/>
      <c r="D10" s="161"/>
      <c r="E10" s="160"/>
      <c r="F10" s="160">
        <f>SUBTOTAL(9,F7:F8)</f>
        <v>136000</v>
      </c>
      <c r="I10" s="162"/>
      <c r="J10" s="163"/>
      <c r="K10" s="163"/>
      <c r="L10" s="164"/>
      <c r="M10" s="163"/>
      <c r="N10" s="163"/>
    </row>
    <row r="11" spans="1:14" ht="15.75" outlineLevel="3" thickBot="1" x14ac:dyDescent="0.3">
      <c r="A11" s="159" t="s">
        <v>72</v>
      </c>
      <c r="B11" s="160" t="s">
        <v>0</v>
      </c>
      <c r="C11" s="160">
        <v>6</v>
      </c>
      <c r="D11" s="161">
        <v>42390</v>
      </c>
      <c r="E11" s="160">
        <v>10000</v>
      </c>
      <c r="F11" s="160">
        <f>C11*E11</f>
        <v>60000</v>
      </c>
      <c r="I11" s="162"/>
      <c r="J11" s="163"/>
      <c r="K11" s="163"/>
      <c r="L11" s="164"/>
      <c r="M11" s="163"/>
      <c r="N11" s="163"/>
    </row>
    <row r="12" spans="1:14" ht="15.75" outlineLevel="3" thickBot="1" x14ac:dyDescent="0.3">
      <c r="A12" s="159" t="s">
        <v>72</v>
      </c>
      <c r="B12" s="160" t="s">
        <v>3</v>
      </c>
      <c r="C12" s="160">
        <v>3</v>
      </c>
      <c r="D12" s="161">
        <v>42392</v>
      </c>
      <c r="E12" s="160">
        <v>14000</v>
      </c>
      <c r="F12" s="160">
        <f>C12*E12</f>
        <v>42000</v>
      </c>
      <c r="I12" s="162"/>
      <c r="J12" s="163"/>
      <c r="K12" s="163"/>
      <c r="L12" s="164"/>
      <c r="M12" s="163"/>
      <c r="N12" s="163"/>
    </row>
    <row r="13" spans="1:14" ht="15.75" outlineLevel="3" thickBot="1" x14ac:dyDescent="0.3">
      <c r="A13" s="159" t="s">
        <v>72</v>
      </c>
      <c r="B13" s="160" t="s">
        <v>2</v>
      </c>
      <c r="C13" s="160">
        <v>2</v>
      </c>
      <c r="D13" s="161">
        <v>42390</v>
      </c>
      <c r="E13" s="160">
        <v>9000</v>
      </c>
      <c r="F13" s="160">
        <f>C13*E13</f>
        <v>18000</v>
      </c>
      <c r="I13" s="162"/>
      <c r="J13" s="163"/>
      <c r="K13" s="163"/>
      <c r="L13" s="164"/>
      <c r="M13" s="163"/>
      <c r="N13" s="163"/>
    </row>
    <row r="14" spans="1:14" ht="15.75" outlineLevel="2" thickBot="1" x14ac:dyDescent="0.3">
      <c r="A14" s="170" t="s">
        <v>83</v>
      </c>
      <c r="B14" s="160"/>
      <c r="C14" s="160"/>
      <c r="D14" s="161"/>
      <c r="E14" s="160">
        <f>SUBTOTAL(1,E11:E13)</f>
        <v>11000</v>
      </c>
      <c r="F14" s="160"/>
      <c r="I14" s="162"/>
      <c r="J14" s="163"/>
      <c r="K14" s="163"/>
      <c r="L14" s="164"/>
      <c r="M14" s="163"/>
      <c r="N14" s="163"/>
    </row>
    <row r="15" spans="1:14" ht="15.75" outlineLevel="1" thickBot="1" x14ac:dyDescent="0.3">
      <c r="A15" s="170" t="s">
        <v>77</v>
      </c>
      <c r="B15" s="160"/>
      <c r="C15" s="160"/>
      <c r="D15" s="161"/>
      <c r="E15" s="160"/>
      <c r="F15" s="160">
        <f>SUBTOTAL(9,F11:F13)</f>
        <v>120000</v>
      </c>
      <c r="I15" s="162"/>
      <c r="J15" s="163"/>
      <c r="K15" s="163"/>
      <c r="L15" s="164"/>
      <c r="M15" s="163"/>
      <c r="N15" s="163"/>
    </row>
    <row r="16" spans="1:14" ht="15.75" outlineLevel="3" thickBot="1" x14ac:dyDescent="0.3">
      <c r="A16" s="159" t="s">
        <v>74</v>
      </c>
      <c r="B16" s="160" t="s">
        <v>1</v>
      </c>
      <c r="C16" s="160">
        <v>2</v>
      </c>
      <c r="D16" s="161">
        <v>42391</v>
      </c>
      <c r="E16" s="160">
        <v>20000</v>
      </c>
      <c r="F16" s="160">
        <f>C16*E16</f>
        <v>40000</v>
      </c>
      <c r="I16" s="162"/>
      <c r="J16" s="163"/>
      <c r="K16" s="163"/>
      <c r="L16" s="164"/>
      <c r="M16" s="163"/>
      <c r="N16" s="163"/>
    </row>
    <row r="17" spans="1:14" ht="15.75" outlineLevel="3" thickBot="1" x14ac:dyDescent="0.3">
      <c r="A17" s="159" t="s">
        <v>74</v>
      </c>
      <c r="B17" s="160" t="s">
        <v>0</v>
      </c>
      <c r="C17" s="160">
        <v>4</v>
      </c>
      <c r="D17" s="161">
        <v>42381</v>
      </c>
      <c r="E17" s="160">
        <v>10000</v>
      </c>
      <c r="F17" s="160">
        <f>C17*E17</f>
        <v>40000</v>
      </c>
      <c r="I17" s="162"/>
      <c r="J17" s="163"/>
      <c r="K17" s="163"/>
      <c r="L17" s="164"/>
      <c r="M17" s="163"/>
      <c r="N17" s="163"/>
    </row>
    <row r="18" spans="1:14" ht="15.75" outlineLevel="2" thickBot="1" x14ac:dyDescent="0.3">
      <c r="A18" s="170" t="s">
        <v>84</v>
      </c>
      <c r="B18" s="160"/>
      <c r="C18" s="160"/>
      <c r="D18" s="161"/>
      <c r="E18" s="160">
        <f>SUBTOTAL(1,E16:E17)</f>
        <v>15000</v>
      </c>
      <c r="F18" s="160"/>
      <c r="I18" s="162"/>
      <c r="J18" s="163"/>
      <c r="K18" s="163"/>
      <c r="L18" s="164"/>
      <c r="M18" s="163"/>
      <c r="N18" s="163"/>
    </row>
    <row r="19" spans="1:14" ht="15.75" outlineLevel="1" thickBot="1" x14ac:dyDescent="0.3">
      <c r="A19" s="170" t="s">
        <v>78</v>
      </c>
      <c r="B19" s="160"/>
      <c r="C19" s="160"/>
      <c r="D19" s="161"/>
      <c r="E19" s="160"/>
      <c r="F19" s="160">
        <f>SUBTOTAL(9,F16:F17)</f>
        <v>80000</v>
      </c>
      <c r="I19" s="162"/>
      <c r="J19" s="163"/>
      <c r="K19" s="163"/>
      <c r="L19" s="164"/>
      <c r="M19" s="163"/>
      <c r="N19" s="163"/>
    </row>
    <row r="20" spans="1:14" ht="15.75" outlineLevel="3" thickBot="1" x14ac:dyDescent="0.3">
      <c r="A20" s="159" t="s">
        <v>70</v>
      </c>
      <c r="B20" s="160" t="s">
        <v>63</v>
      </c>
      <c r="C20" s="160">
        <v>8</v>
      </c>
      <c r="D20" s="161">
        <v>42386</v>
      </c>
      <c r="E20" s="160">
        <v>15000</v>
      </c>
      <c r="F20" s="160">
        <f>C20*E20</f>
        <v>120000</v>
      </c>
      <c r="I20" s="162"/>
      <c r="J20" s="163"/>
      <c r="K20" s="163"/>
      <c r="L20" s="164"/>
      <c r="M20" s="163"/>
      <c r="N20" s="163"/>
    </row>
    <row r="21" spans="1:14" ht="15.75" outlineLevel="3" thickBot="1" x14ac:dyDescent="0.3">
      <c r="A21" s="159" t="s">
        <v>70</v>
      </c>
      <c r="B21" s="160" t="s">
        <v>0</v>
      </c>
      <c r="C21" s="160">
        <v>3</v>
      </c>
      <c r="D21" s="161">
        <v>42392</v>
      </c>
      <c r="E21" s="160">
        <v>10000</v>
      </c>
      <c r="F21" s="160">
        <f>C21*E21</f>
        <v>30000</v>
      </c>
      <c r="I21" s="162"/>
      <c r="J21" s="163"/>
      <c r="K21" s="163"/>
      <c r="L21" s="164"/>
      <c r="M21" s="163"/>
      <c r="N21" s="163"/>
    </row>
    <row r="22" spans="1:14" ht="15.75" outlineLevel="3" thickBot="1" x14ac:dyDescent="0.3">
      <c r="A22" s="159" t="s">
        <v>70</v>
      </c>
      <c r="B22" s="160" t="s">
        <v>3</v>
      </c>
      <c r="C22" s="160">
        <v>2</v>
      </c>
      <c r="D22" s="161">
        <v>42394</v>
      </c>
      <c r="E22" s="160">
        <v>14000</v>
      </c>
      <c r="F22" s="160">
        <f>C22*E22</f>
        <v>28000</v>
      </c>
      <c r="I22" s="162"/>
      <c r="J22" s="163"/>
      <c r="K22" s="163"/>
      <c r="L22" s="164"/>
      <c r="M22" s="163"/>
      <c r="N22" s="163"/>
    </row>
    <row r="23" spans="1:14" ht="15.75" outlineLevel="2" thickBot="1" x14ac:dyDescent="0.3">
      <c r="A23" s="170" t="s">
        <v>85</v>
      </c>
      <c r="B23" s="160"/>
      <c r="C23" s="160"/>
      <c r="D23" s="161"/>
      <c r="E23" s="160">
        <f>SUBTOTAL(1,E20:E22)</f>
        <v>13000</v>
      </c>
      <c r="F23" s="160"/>
      <c r="I23" s="162"/>
      <c r="J23" s="163"/>
      <c r="K23" s="163"/>
      <c r="L23" s="164"/>
      <c r="M23" s="163"/>
      <c r="N23" s="163"/>
    </row>
    <row r="24" spans="1:14" ht="15.75" outlineLevel="1" thickBot="1" x14ac:dyDescent="0.3">
      <c r="A24" s="170" t="s">
        <v>79</v>
      </c>
      <c r="B24" s="160"/>
      <c r="C24" s="160"/>
      <c r="D24" s="161"/>
      <c r="E24" s="160"/>
      <c r="F24" s="160">
        <f>SUBTOTAL(9,F20:F22)</f>
        <v>178000</v>
      </c>
      <c r="I24" s="162"/>
      <c r="J24" s="163"/>
      <c r="K24" s="163"/>
      <c r="L24" s="164"/>
      <c r="M24" s="163"/>
      <c r="N24" s="163"/>
    </row>
    <row r="25" spans="1:14" ht="15.75" outlineLevel="3" thickBot="1" x14ac:dyDescent="0.3">
      <c r="A25" s="159" t="s">
        <v>69</v>
      </c>
      <c r="B25" s="160" t="s">
        <v>3</v>
      </c>
      <c r="C25" s="160">
        <v>10</v>
      </c>
      <c r="D25" s="161">
        <v>42389</v>
      </c>
      <c r="E25" s="160">
        <v>14000</v>
      </c>
      <c r="F25" s="160">
        <f>C25*E25</f>
        <v>140000</v>
      </c>
      <c r="I25" s="162"/>
      <c r="J25" s="163"/>
      <c r="K25" s="163"/>
      <c r="L25" s="164"/>
      <c r="M25" s="163"/>
      <c r="N25" s="163"/>
    </row>
    <row r="26" spans="1:14" ht="15.75" outlineLevel="3" thickBot="1" x14ac:dyDescent="0.3">
      <c r="A26" s="159" t="s">
        <v>69</v>
      </c>
      <c r="B26" s="160" t="s">
        <v>1</v>
      </c>
      <c r="C26" s="160">
        <v>5</v>
      </c>
      <c r="D26" s="161">
        <v>42387</v>
      </c>
      <c r="E26" s="160">
        <v>20000</v>
      </c>
      <c r="F26" s="160">
        <f>C26*E26</f>
        <v>100000</v>
      </c>
      <c r="I26" s="162"/>
      <c r="J26" s="163"/>
      <c r="K26" s="163"/>
      <c r="L26" s="164"/>
      <c r="M26" s="163"/>
      <c r="N26" s="163"/>
    </row>
    <row r="27" spans="1:14" outlineLevel="2" x14ac:dyDescent="0.25">
      <c r="A27" s="171" t="s">
        <v>86</v>
      </c>
      <c r="B27" s="163"/>
      <c r="C27" s="163"/>
      <c r="D27" s="164"/>
      <c r="E27" s="163">
        <f>SUBTOTAL(1,E25:E26)</f>
        <v>17000</v>
      </c>
      <c r="F27" s="163"/>
      <c r="I27" s="162"/>
      <c r="J27" s="163"/>
      <c r="K27" s="163"/>
      <c r="L27" s="164"/>
      <c r="M27" s="163"/>
      <c r="N27" s="163"/>
    </row>
    <row r="28" spans="1:14" outlineLevel="1" x14ac:dyDescent="0.25">
      <c r="A28" s="171" t="s">
        <v>80</v>
      </c>
      <c r="B28" s="163"/>
      <c r="C28" s="163"/>
      <c r="D28" s="164"/>
      <c r="E28" s="163"/>
      <c r="F28" s="163">
        <f>SUBTOTAL(9,F25:F26)</f>
        <v>240000</v>
      </c>
      <c r="I28" s="162"/>
      <c r="J28" s="163"/>
      <c r="K28" s="163"/>
      <c r="L28" s="164"/>
      <c r="M28" s="163"/>
      <c r="N28" s="163"/>
    </row>
    <row r="29" spans="1:14" x14ac:dyDescent="0.25">
      <c r="A29" s="171" t="s">
        <v>6</v>
      </c>
      <c r="B29" s="163"/>
      <c r="C29" s="163"/>
      <c r="D29" s="164"/>
      <c r="E29" s="163">
        <f>SUBTOTAL(1,E2:E26)</f>
        <v>15666.666666666666</v>
      </c>
      <c r="F29" s="163"/>
      <c r="I29" s="162"/>
      <c r="J29" s="163"/>
      <c r="K29" s="163"/>
      <c r="L29" s="164"/>
      <c r="M29" s="163"/>
      <c r="N29" s="163"/>
    </row>
    <row r="30" spans="1:14" x14ac:dyDescent="0.25">
      <c r="A30" s="171" t="s">
        <v>5</v>
      </c>
      <c r="B30" s="163"/>
      <c r="C30" s="163"/>
      <c r="D30" s="164"/>
      <c r="E30" s="163"/>
      <c r="F30" s="163">
        <f>SUBTOTAL(9,F2:F26)</f>
        <v>854000</v>
      </c>
      <c r="I30" s="162"/>
      <c r="J30" s="163"/>
      <c r="K30" s="163"/>
      <c r="L30" s="164"/>
      <c r="M30" s="163"/>
      <c r="N30" s="163"/>
    </row>
    <row r="31" spans="1:14" x14ac:dyDescent="0.25">
      <c r="I31" s="162"/>
      <c r="J31" s="163"/>
      <c r="K31" s="163"/>
      <c r="L31" s="164"/>
      <c r="M31" s="163"/>
      <c r="N31" s="163"/>
    </row>
    <row r="32" spans="1:14" x14ac:dyDescent="0.25">
      <c r="I32" s="162"/>
      <c r="J32" s="163"/>
      <c r="K32" s="163"/>
      <c r="L32" s="164"/>
      <c r="M32" s="163"/>
      <c r="N32" s="163"/>
    </row>
  </sheetData>
  <autoFilter ref="A1:F26">
    <sortState ref="A2:F16">
      <sortCondition ref="A1:A16"/>
    </sortState>
  </autoFilter>
  <sortState ref="A2:F16">
    <sortCondition descending="1" ref="F2:F16"/>
    <sortCondition descending="1" ref="D2:D1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tabSelected="1" topLeftCell="A116" zoomScale="80" zoomScaleNormal="80" workbookViewId="0">
      <selection activeCell="D36" sqref="D36"/>
    </sheetView>
  </sheetViews>
  <sheetFormatPr defaultRowHeight="15" x14ac:dyDescent="0.25"/>
  <cols>
    <col min="2" max="2" width="31.7109375" customWidth="1"/>
    <col min="3" max="3" width="26" customWidth="1"/>
    <col min="4" max="4" width="24.42578125" customWidth="1"/>
    <col min="5" max="5" width="23.85546875" customWidth="1"/>
    <col min="6" max="6" width="26.140625" customWidth="1"/>
    <col min="7" max="7" width="27.5703125" customWidth="1"/>
    <col min="8" max="8" width="17.7109375" customWidth="1"/>
    <col min="9" max="9" width="16.42578125" customWidth="1"/>
    <col min="10" max="10" width="14.7109375" customWidth="1"/>
    <col min="11" max="11" width="15" customWidth="1"/>
    <col min="12" max="12" width="16.28515625" customWidth="1"/>
    <col min="13" max="13" width="15.140625" customWidth="1"/>
    <col min="14" max="14" width="17.42578125" customWidth="1"/>
    <col min="15" max="15" width="16.85546875" customWidth="1"/>
    <col min="16" max="16" width="19.7109375" customWidth="1"/>
    <col min="17" max="17" width="17.42578125" customWidth="1"/>
    <col min="18" max="18" width="16.28515625" customWidth="1"/>
    <col min="19" max="19" width="18.28515625" customWidth="1"/>
  </cols>
  <sheetData>
    <row r="1" spans="1:9" x14ac:dyDescent="0.25">
      <c r="B1" s="152" t="s">
        <v>221</v>
      </c>
      <c r="C1" s="152"/>
      <c r="D1" s="152"/>
      <c r="E1" s="152"/>
      <c r="F1" s="152"/>
      <c r="G1" s="152"/>
    </row>
    <row r="3" spans="1:9" x14ac:dyDescent="0.25">
      <c r="B3" s="126" t="s">
        <v>222</v>
      </c>
    </row>
    <row r="4" spans="1:9" x14ac:dyDescent="0.25">
      <c r="A4" s="124" t="s">
        <v>53</v>
      </c>
      <c r="B4" s="124" t="s">
        <v>223</v>
      </c>
      <c r="C4" s="124" t="s">
        <v>54</v>
      </c>
      <c r="D4" s="124" t="s">
        <v>55</v>
      </c>
      <c r="E4" s="124" t="s">
        <v>56</v>
      </c>
      <c r="F4" s="124" t="s">
        <v>57</v>
      </c>
      <c r="G4" s="124" t="s">
        <v>58</v>
      </c>
      <c r="H4" s="124" t="s">
        <v>172</v>
      </c>
    </row>
    <row r="5" spans="1:9" x14ac:dyDescent="0.25">
      <c r="A5" s="124">
        <v>1</v>
      </c>
      <c r="B5" s="124" t="s">
        <v>224</v>
      </c>
      <c r="C5" s="124">
        <v>400</v>
      </c>
      <c r="D5" s="124">
        <v>300</v>
      </c>
      <c r="E5" s="124">
        <v>350</v>
      </c>
      <c r="F5" s="124">
        <v>350</v>
      </c>
      <c r="G5" s="124">
        <v>300</v>
      </c>
      <c r="H5" s="124">
        <f>SUM(C5:G5)</f>
        <v>1700</v>
      </c>
    </row>
    <row r="6" spans="1:9" x14ac:dyDescent="0.25">
      <c r="A6" s="124">
        <v>2</v>
      </c>
      <c r="B6" s="124" t="s">
        <v>225</v>
      </c>
      <c r="C6" s="124">
        <v>700</v>
      </c>
      <c r="D6" s="124">
        <v>600</v>
      </c>
      <c r="E6" s="124">
        <v>500</v>
      </c>
      <c r="F6" s="124">
        <v>660</v>
      </c>
      <c r="G6" s="124">
        <v>710</v>
      </c>
      <c r="H6" s="127">
        <f>H7/H5</f>
        <v>634.70588235294122</v>
      </c>
    </row>
    <row r="7" spans="1:9" x14ac:dyDescent="0.25">
      <c r="A7" s="124">
        <v>3</v>
      </c>
      <c r="B7" s="124" t="s">
        <v>226</v>
      </c>
      <c r="C7" s="124">
        <f>C5*C6</f>
        <v>280000</v>
      </c>
      <c r="D7" s="124">
        <f t="shared" ref="D7:G7" si="0">D5*D6</f>
        <v>180000</v>
      </c>
      <c r="E7" s="124">
        <f t="shared" si="0"/>
        <v>175000</v>
      </c>
      <c r="F7" s="124">
        <f t="shared" si="0"/>
        <v>231000</v>
      </c>
      <c r="G7" s="124">
        <f t="shared" si="0"/>
        <v>213000</v>
      </c>
      <c r="H7" s="124">
        <f>SUM(C7:G7)</f>
        <v>1079000</v>
      </c>
    </row>
    <row r="8" spans="1:9" ht="21" customHeight="1" x14ac:dyDescent="0.25">
      <c r="A8" s="152" t="s">
        <v>250</v>
      </c>
      <c r="B8" s="152"/>
      <c r="C8" s="152"/>
      <c r="D8" s="152"/>
      <c r="E8" s="152"/>
      <c r="F8" s="152"/>
      <c r="G8" s="152"/>
      <c r="H8" s="152"/>
      <c r="I8" s="152"/>
    </row>
    <row r="9" spans="1:9" x14ac:dyDescent="0.25">
      <c r="A9" s="128">
        <v>4</v>
      </c>
      <c r="B9" s="128" t="s">
        <v>227</v>
      </c>
      <c r="C9" s="124">
        <v>67000</v>
      </c>
      <c r="D9" s="124">
        <v>65000</v>
      </c>
      <c r="E9" s="124">
        <v>60000</v>
      </c>
      <c r="F9" s="124">
        <v>69000</v>
      </c>
      <c r="G9" s="124">
        <v>60000</v>
      </c>
      <c r="H9" s="124">
        <f>SUM(C9:G9)</f>
        <v>321000</v>
      </c>
    </row>
    <row r="10" spans="1:9" x14ac:dyDescent="0.25">
      <c r="A10" s="128">
        <v>5</v>
      </c>
      <c r="B10" s="129" t="s">
        <v>228</v>
      </c>
      <c r="C10" s="128">
        <v>26000</v>
      </c>
      <c r="D10" s="128">
        <v>38000</v>
      </c>
      <c r="E10" s="128">
        <v>29000</v>
      </c>
      <c r="F10" s="128">
        <v>38000</v>
      </c>
      <c r="G10" s="128">
        <v>42000</v>
      </c>
      <c r="H10" s="124">
        <f>SUM(C10:G10)</f>
        <v>173000</v>
      </c>
    </row>
    <row r="11" spans="1:9" x14ac:dyDescent="0.25">
      <c r="A11" s="128">
        <v>6</v>
      </c>
      <c r="B11" s="129" t="s">
        <v>229</v>
      </c>
      <c r="C11" s="128">
        <v>2600</v>
      </c>
      <c r="D11" s="128">
        <v>10000</v>
      </c>
      <c r="E11" s="128">
        <v>6300</v>
      </c>
      <c r="F11" s="128">
        <v>5250</v>
      </c>
      <c r="G11" s="128">
        <v>1850</v>
      </c>
      <c r="H11" s="124">
        <f>SUM(C11:G11)</f>
        <v>26000</v>
      </c>
    </row>
    <row r="12" spans="1:9" x14ac:dyDescent="0.25">
      <c r="A12" s="128">
        <v>7</v>
      </c>
      <c r="B12" s="131" t="s">
        <v>230</v>
      </c>
      <c r="C12" s="133">
        <f>H12/H5*C5</f>
        <v>3529.4117647058824</v>
      </c>
      <c r="D12" s="133">
        <f>H12/H5*D5</f>
        <v>2647.0588235294122</v>
      </c>
      <c r="E12" s="133">
        <f>H12/H5*E5</f>
        <v>3088.2352941176473</v>
      </c>
      <c r="F12" s="133">
        <f>H12/H5*F5</f>
        <v>3088.2352941176473</v>
      </c>
      <c r="G12" s="133">
        <f>H12/H5*G5</f>
        <v>2647.0588235294122</v>
      </c>
      <c r="H12" s="124">
        <v>15000</v>
      </c>
    </row>
    <row r="13" spans="1:9" x14ac:dyDescent="0.25">
      <c r="A13" s="128">
        <v>8</v>
      </c>
      <c r="B13" s="131" t="s">
        <v>231</v>
      </c>
      <c r="C13" s="133">
        <f>H13/H5*C5</f>
        <v>4705.8823529411766</v>
      </c>
      <c r="D13" s="133">
        <f>H13/H5*D5</f>
        <v>3529.4117647058824</v>
      </c>
      <c r="E13" s="133">
        <f>H13/H5*E5</f>
        <v>4117.6470588235297</v>
      </c>
      <c r="F13" s="133">
        <f>H13/H5*F5</f>
        <v>4117.6470588235297</v>
      </c>
      <c r="G13" s="133">
        <f>H13/H5*G5</f>
        <v>3529.4117647058824</v>
      </c>
      <c r="H13" s="124">
        <v>20000</v>
      </c>
    </row>
    <row r="14" spans="1:9" x14ac:dyDescent="0.25">
      <c r="A14" s="128">
        <v>9</v>
      </c>
      <c r="B14" s="124" t="s">
        <v>232</v>
      </c>
      <c r="C14" s="133">
        <f>H14/H5*C5</f>
        <v>2352.9411764705883</v>
      </c>
      <c r="D14" s="133">
        <f>H14/H5*D5</f>
        <v>1764.7058823529412</v>
      </c>
      <c r="E14" s="133">
        <f>H14/H5*E5</f>
        <v>2058.8235294117649</v>
      </c>
      <c r="F14" s="133">
        <f>H14/H5*F5</f>
        <v>2058.8235294117649</v>
      </c>
      <c r="G14" s="133">
        <f>H14/H5*G5</f>
        <v>1764.7058823529412</v>
      </c>
      <c r="H14" s="124">
        <v>10000</v>
      </c>
    </row>
    <row r="15" spans="1:9" ht="19.5" customHeight="1" x14ac:dyDescent="0.25">
      <c r="A15" s="128">
        <v>10</v>
      </c>
      <c r="B15" s="132" t="s">
        <v>233</v>
      </c>
      <c r="C15" s="133">
        <f>SUM(C9:C14)</f>
        <v>106188.23529411765</v>
      </c>
      <c r="D15" s="133">
        <f t="shared" ref="D15:H15" si="1">SUM(D9:D14)</f>
        <v>120941.17647058824</v>
      </c>
      <c r="E15" s="133">
        <f t="shared" si="1"/>
        <v>104564.70588235294</v>
      </c>
      <c r="F15" s="133">
        <f t="shared" si="1"/>
        <v>121514.70588235294</v>
      </c>
      <c r="G15" s="133">
        <f t="shared" si="1"/>
        <v>111791.17647058824</v>
      </c>
      <c r="H15" s="124">
        <f t="shared" si="1"/>
        <v>565000</v>
      </c>
    </row>
    <row r="16" spans="1:9" x14ac:dyDescent="0.25">
      <c r="A16" s="128">
        <v>11</v>
      </c>
      <c r="B16" s="124" t="s">
        <v>234</v>
      </c>
      <c r="C16" s="133">
        <f>C7-C15</f>
        <v>173811.76470588235</v>
      </c>
      <c r="D16" s="133">
        <f>D7-D15</f>
        <v>59058.823529411762</v>
      </c>
      <c r="E16" s="133">
        <f t="shared" ref="D16:H16" si="2">E7-E15</f>
        <v>70435.294117647063</v>
      </c>
      <c r="F16" s="133">
        <f t="shared" si="2"/>
        <v>109485.29411764706</v>
      </c>
      <c r="G16" s="133">
        <f t="shared" si="2"/>
        <v>101208.82352941176</v>
      </c>
      <c r="H16" s="133">
        <f t="shared" si="2"/>
        <v>514000</v>
      </c>
    </row>
    <row r="17" spans="1:9" x14ac:dyDescent="0.25">
      <c r="A17" s="128">
        <v>12</v>
      </c>
      <c r="B17" s="124" t="s">
        <v>235</v>
      </c>
      <c r="C17" s="133">
        <f>C16/C5</f>
        <v>434.52941176470586</v>
      </c>
      <c r="D17" s="133">
        <f t="shared" ref="D17:H17" si="3">D16/D5</f>
        <v>196.8627450980392</v>
      </c>
      <c r="E17" s="133">
        <f t="shared" si="3"/>
        <v>201.24369747899161</v>
      </c>
      <c r="F17" s="133">
        <f t="shared" si="3"/>
        <v>312.81512605042019</v>
      </c>
      <c r="G17" s="133">
        <f t="shared" si="3"/>
        <v>337.36274509803923</v>
      </c>
      <c r="H17" s="133">
        <f t="shared" si="3"/>
        <v>302.35294117647061</v>
      </c>
    </row>
    <row r="18" spans="1:9" x14ac:dyDescent="0.25">
      <c r="A18" s="128">
        <v>13</v>
      </c>
      <c r="B18" s="131" t="s">
        <v>236</v>
      </c>
      <c r="C18" s="133">
        <f>C15/C5</f>
        <v>265.47058823529414</v>
      </c>
      <c r="D18" s="133">
        <f t="shared" ref="D18:H18" si="4">D15/D5</f>
        <v>403.13725490196077</v>
      </c>
      <c r="E18" s="133">
        <f t="shared" si="4"/>
        <v>298.75630252100837</v>
      </c>
      <c r="F18" s="133">
        <f t="shared" si="4"/>
        <v>347.18487394957981</v>
      </c>
      <c r="G18" s="133">
        <f t="shared" si="4"/>
        <v>372.63725490196077</v>
      </c>
      <c r="H18" s="133">
        <f t="shared" si="4"/>
        <v>332.35294117647061</v>
      </c>
    </row>
    <row r="19" spans="1:9" x14ac:dyDescent="0.25">
      <c r="A19" s="152" t="s">
        <v>249</v>
      </c>
      <c r="B19" s="152"/>
      <c r="C19" s="152"/>
      <c r="D19" s="152"/>
      <c r="E19" s="152"/>
      <c r="F19" s="152"/>
      <c r="G19" s="152"/>
      <c r="H19" s="152"/>
      <c r="I19" s="152"/>
    </row>
    <row r="20" spans="1:9" x14ac:dyDescent="0.25">
      <c r="A20" s="128">
        <v>14</v>
      </c>
      <c r="B20" s="130" t="s">
        <v>237</v>
      </c>
      <c r="C20" s="151">
        <v>18000</v>
      </c>
      <c r="D20" s="151"/>
      <c r="E20" s="151"/>
      <c r="F20" s="151"/>
      <c r="G20" s="151"/>
      <c r="H20" s="99">
        <f>SUM(C20)</f>
        <v>18000</v>
      </c>
    </row>
    <row r="21" spans="1:9" x14ac:dyDescent="0.25">
      <c r="A21" s="128">
        <v>15</v>
      </c>
      <c r="B21" s="99" t="s">
        <v>238</v>
      </c>
      <c r="C21" s="151">
        <v>9600</v>
      </c>
      <c r="D21" s="151"/>
      <c r="E21" s="151"/>
      <c r="F21" s="151"/>
      <c r="G21" s="151"/>
      <c r="H21" s="99">
        <f t="shared" ref="H21:H26" si="5">SUM(C21)</f>
        <v>9600</v>
      </c>
    </row>
    <row r="22" spans="1:9" x14ac:dyDescent="0.25">
      <c r="A22" s="128">
        <v>16</v>
      </c>
      <c r="B22" s="99" t="s">
        <v>239</v>
      </c>
      <c r="C22" s="151">
        <v>24600</v>
      </c>
      <c r="D22" s="151"/>
      <c r="E22" s="151"/>
      <c r="F22" s="151"/>
      <c r="G22" s="151"/>
      <c r="H22" s="99">
        <f t="shared" si="5"/>
        <v>24600</v>
      </c>
    </row>
    <row r="23" spans="1:9" x14ac:dyDescent="0.25">
      <c r="A23" s="128">
        <v>17</v>
      </c>
      <c r="B23" s="99" t="s">
        <v>240</v>
      </c>
      <c r="C23" s="151">
        <v>36000</v>
      </c>
      <c r="D23" s="151"/>
      <c r="E23" s="151"/>
      <c r="F23" s="151"/>
      <c r="G23" s="151"/>
      <c r="H23" s="99">
        <f t="shared" si="5"/>
        <v>36000</v>
      </c>
    </row>
    <row r="24" spans="1:9" x14ac:dyDescent="0.25">
      <c r="A24" s="128">
        <v>18</v>
      </c>
      <c r="B24" s="130" t="s">
        <v>241</v>
      </c>
      <c r="C24" s="151">
        <v>3200</v>
      </c>
      <c r="D24" s="151"/>
      <c r="E24" s="151"/>
      <c r="F24" s="151"/>
      <c r="G24" s="151"/>
      <c r="H24" s="99">
        <f t="shared" si="5"/>
        <v>3200</v>
      </c>
    </row>
    <row r="25" spans="1:9" x14ac:dyDescent="0.25">
      <c r="A25" s="128">
        <v>19</v>
      </c>
      <c r="B25" s="130" t="s">
        <v>242</v>
      </c>
      <c r="C25" s="151">
        <v>100000</v>
      </c>
      <c r="D25" s="151"/>
      <c r="E25" s="151"/>
      <c r="F25" s="151"/>
      <c r="G25" s="151"/>
      <c r="H25" s="99">
        <f t="shared" si="5"/>
        <v>100000</v>
      </c>
    </row>
    <row r="26" spans="1:9" x14ac:dyDescent="0.25">
      <c r="A26" s="134">
        <v>20</v>
      </c>
      <c r="B26" s="135" t="s">
        <v>243</v>
      </c>
      <c r="C26" s="142">
        <f>SUM(C20:G25)</f>
        <v>191400</v>
      </c>
      <c r="D26" s="142"/>
      <c r="E26" s="142"/>
      <c r="F26" s="142"/>
      <c r="G26" s="142"/>
      <c r="H26" s="135">
        <f t="shared" si="5"/>
        <v>191400</v>
      </c>
    </row>
    <row r="27" spans="1:9" x14ac:dyDescent="0.25">
      <c r="A27" s="128">
        <v>21</v>
      </c>
      <c r="B27" s="99" t="s">
        <v>244</v>
      </c>
      <c r="C27" s="151">
        <v>90000</v>
      </c>
      <c r="D27" s="151"/>
      <c r="E27" s="151"/>
      <c r="F27" s="151"/>
      <c r="G27" s="151"/>
      <c r="H27" s="99">
        <v>90000</v>
      </c>
    </row>
    <row r="28" spans="1:9" x14ac:dyDescent="0.25">
      <c r="A28" s="134">
        <v>22</v>
      </c>
      <c r="B28" s="135" t="s">
        <v>245</v>
      </c>
      <c r="C28" s="142">
        <f>C26+C27</f>
        <v>281400</v>
      </c>
      <c r="D28" s="142"/>
      <c r="E28" s="142"/>
      <c r="F28" s="142"/>
      <c r="G28" s="142"/>
      <c r="H28" s="135">
        <f>SUM(C28)</f>
        <v>281400</v>
      </c>
    </row>
    <row r="29" spans="1:9" x14ac:dyDescent="0.25">
      <c r="A29" s="128">
        <v>23</v>
      </c>
      <c r="B29" s="99" t="s">
        <v>246</v>
      </c>
      <c r="C29" s="153"/>
      <c r="D29" s="154"/>
      <c r="E29" s="154"/>
      <c r="F29" s="154"/>
      <c r="G29" s="155"/>
      <c r="H29" s="135">
        <f>H15+C28</f>
        <v>846400</v>
      </c>
    </row>
    <row r="30" spans="1:9" x14ac:dyDescent="0.25">
      <c r="A30" s="128">
        <v>24</v>
      </c>
      <c r="B30" s="99" t="s">
        <v>247</v>
      </c>
      <c r="C30" s="153"/>
      <c r="D30" s="154"/>
      <c r="E30" s="154"/>
      <c r="F30" s="154"/>
      <c r="G30" s="155"/>
      <c r="H30" s="136">
        <f>H28/(H6-H18)</f>
        <v>930.70038910505832</v>
      </c>
    </row>
    <row r="31" spans="1:9" x14ac:dyDescent="0.25">
      <c r="A31" s="128">
        <v>25</v>
      </c>
      <c r="B31" s="99" t="s">
        <v>248</v>
      </c>
      <c r="C31" s="153"/>
      <c r="D31" s="154"/>
      <c r="E31" s="154"/>
      <c r="F31" s="154"/>
      <c r="G31" s="155"/>
      <c r="H31" s="137">
        <f>H7*H28/(H7-H15)</f>
        <v>590721.01167315175</v>
      </c>
    </row>
    <row r="32" spans="1:9" ht="72" customHeight="1" x14ac:dyDescent="0.25"/>
    <row r="33" spans="2:19" x14ac:dyDescent="0.25">
      <c r="B33" s="138" t="s">
        <v>251</v>
      </c>
      <c r="C33" s="138">
        <v>1700</v>
      </c>
    </row>
    <row r="34" spans="2:19" x14ac:dyDescent="0.25">
      <c r="B34" s="138" t="s">
        <v>252</v>
      </c>
      <c r="C34" s="138">
        <v>1079000</v>
      </c>
    </row>
    <row r="35" spans="2:19" x14ac:dyDescent="0.25">
      <c r="B35" s="138" t="s">
        <v>253</v>
      </c>
      <c r="C35" s="138">
        <v>565000</v>
      </c>
    </row>
    <row r="36" spans="2:19" x14ac:dyDescent="0.25">
      <c r="B36" s="138" t="s">
        <v>254</v>
      </c>
      <c r="C36" s="138">
        <v>281400</v>
      </c>
      <c r="E36">
        <f>100/17</f>
        <v>5.882352941176471</v>
      </c>
      <c r="F36" t="s">
        <v>259</v>
      </c>
    </row>
    <row r="37" spans="2:19" x14ac:dyDescent="0.25">
      <c r="B37" s="138" t="s">
        <v>255</v>
      </c>
      <c r="C37" s="138">
        <f>C35+C36</f>
        <v>846400</v>
      </c>
    </row>
    <row r="39" spans="2:19" x14ac:dyDescent="0.25">
      <c r="B39" s="32" t="s">
        <v>251</v>
      </c>
      <c r="C39" s="27">
        <f>C33/100*E36</f>
        <v>100</v>
      </c>
      <c r="D39" s="27">
        <f>C33/100*E36*2</f>
        <v>200</v>
      </c>
      <c r="E39" s="27">
        <f>C33/100*E36*3</f>
        <v>300</v>
      </c>
      <c r="F39" s="27">
        <f>C33/100*E36*4</f>
        <v>400</v>
      </c>
      <c r="G39" s="27">
        <f>C33/100*E36*5</f>
        <v>500</v>
      </c>
      <c r="H39" s="27">
        <f>C33/100*E36*6</f>
        <v>600</v>
      </c>
      <c r="I39" s="27">
        <f>C33/100*E36*7</f>
        <v>700</v>
      </c>
      <c r="J39" s="27">
        <f>C33/100*E36*8</f>
        <v>800</v>
      </c>
      <c r="K39" s="27">
        <f>C33/100*E36*9</f>
        <v>900</v>
      </c>
      <c r="L39" s="27">
        <f>C33/100*E36*10</f>
        <v>1000</v>
      </c>
      <c r="M39" s="27">
        <f>C33/100*E36*11</f>
        <v>1100</v>
      </c>
      <c r="N39" s="27">
        <f>C33/100*E36*12</f>
        <v>1200</v>
      </c>
      <c r="O39" s="27">
        <f>C33/100*E36*13</f>
        <v>1300</v>
      </c>
      <c r="P39" s="27">
        <f>C33/100*E36*14</f>
        <v>1400</v>
      </c>
      <c r="Q39" s="27">
        <f>C33/100*E36*15</f>
        <v>1500</v>
      </c>
      <c r="R39" s="27">
        <f>C33/100*E36*16</f>
        <v>1600</v>
      </c>
      <c r="S39" s="27">
        <f>C33/100*E36*17</f>
        <v>1700</v>
      </c>
    </row>
    <row r="40" spans="2:19" x14ac:dyDescent="0.25">
      <c r="B40" s="32" t="s">
        <v>256</v>
      </c>
      <c r="C40" s="139">
        <f>C34/C33</f>
        <v>634.70588235294122</v>
      </c>
      <c r="D40" s="139">
        <f>D41/D39</f>
        <v>634.70588235294122</v>
      </c>
      <c r="E40" s="139">
        <f t="shared" ref="E40:H40" si="6">E41/E39</f>
        <v>634.70588235294122</v>
      </c>
      <c r="F40" s="139">
        <f t="shared" si="6"/>
        <v>634.70588235294122</v>
      </c>
      <c r="G40" s="139">
        <f t="shared" si="6"/>
        <v>634.70588235294122</v>
      </c>
      <c r="H40" s="139">
        <f t="shared" si="6"/>
        <v>634.70588235294122</v>
      </c>
      <c r="I40" s="139">
        <f t="shared" ref="I40" si="7">I41/I39</f>
        <v>634.70588235294122</v>
      </c>
      <c r="J40" s="139">
        <f t="shared" ref="J40" si="8">J41/J39</f>
        <v>634.70588235294122</v>
      </c>
      <c r="K40" s="139">
        <f t="shared" ref="K40" si="9">K41/K39</f>
        <v>634.70588235294122</v>
      </c>
      <c r="L40" s="139">
        <f t="shared" ref="L40" si="10">L41/L39</f>
        <v>634.70588235294122</v>
      </c>
      <c r="M40" s="139">
        <f t="shared" ref="M40" si="11">M41/M39</f>
        <v>634.70588235294122</v>
      </c>
      <c r="N40" s="139">
        <f t="shared" ref="N40" si="12">N41/N39</f>
        <v>634.70588235294122</v>
      </c>
      <c r="O40" s="139">
        <f t="shared" ref="O40" si="13">O41/O39</f>
        <v>634.70588235294122</v>
      </c>
      <c r="P40" s="139">
        <f t="shared" ref="P40" si="14">P41/P39</f>
        <v>634.70588235294122</v>
      </c>
      <c r="Q40" s="139">
        <f t="shared" ref="Q40" si="15">Q41/Q39</f>
        <v>634.70588235294122</v>
      </c>
      <c r="R40" s="139">
        <f t="shared" ref="R40" si="16">R41/R39</f>
        <v>634.70588235294122</v>
      </c>
      <c r="S40" s="139">
        <f t="shared" ref="S40" si="17">S41/S39</f>
        <v>634.70588235294122</v>
      </c>
    </row>
    <row r="41" spans="2:19" x14ac:dyDescent="0.25">
      <c r="B41" s="32" t="s">
        <v>252</v>
      </c>
      <c r="C41" s="139">
        <f>C34/C33*C39</f>
        <v>63470.588235294119</v>
      </c>
      <c r="D41" s="139">
        <f>C34/C33*D39</f>
        <v>126941.17647058824</v>
      </c>
      <c r="E41" s="139">
        <f>C34/C33*E39</f>
        <v>190411.76470588238</v>
      </c>
      <c r="F41" s="139">
        <f>C34/C33*F39</f>
        <v>253882.35294117648</v>
      </c>
      <c r="G41" s="139">
        <f>C34/C33*G39</f>
        <v>317352.9411764706</v>
      </c>
      <c r="H41" s="139">
        <f>C34/C33*H39</f>
        <v>380823.52941176476</v>
      </c>
      <c r="I41" s="139">
        <f>C34/C33*I39</f>
        <v>444294.11764705885</v>
      </c>
      <c r="J41" s="139">
        <f>C34/C33*J39</f>
        <v>507764.70588235295</v>
      </c>
      <c r="K41" s="139">
        <f>C34/C33*K39</f>
        <v>571235.29411764711</v>
      </c>
      <c r="L41" s="139">
        <f>C34/C33*L39</f>
        <v>634705.8823529412</v>
      </c>
      <c r="M41" s="139">
        <f>C34/C33*M39</f>
        <v>698176.4705882353</v>
      </c>
      <c r="N41" s="139">
        <f>C34/C33*N39</f>
        <v>761647.05882352951</v>
      </c>
      <c r="O41" s="139">
        <f>C34/C33*O39</f>
        <v>825117.64705882361</v>
      </c>
      <c r="P41" s="139">
        <f>C34/C33*P39</f>
        <v>888588.23529411771</v>
      </c>
      <c r="Q41" s="139">
        <f>C34/C33*Q39</f>
        <v>952058.82352941181</v>
      </c>
      <c r="R41" s="139">
        <f>C34/C33*R39</f>
        <v>1015529.4117647059</v>
      </c>
      <c r="S41" s="139">
        <f>C34/C33*S39</f>
        <v>1079000</v>
      </c>
    </row>
    <row r="42" spans="2:19" x14ac:dyDescent="0.25">
      <c r="B42" s="32" t="s">
        <v>253</v>
      </c>
      <c r="C42" s="139">
        <f>C35/C33*C39</f>
        <v>33235.294117647063</v>
      </c>
      <c r="D42" s="139">
        <f>C35/C33*D39</f>
        <v>66470.588235294126</v>
      </c>
      <c r="E42" s="139">
        <f>C35/C33*E39</f>
        <v>99705.882352941189</v>
      </c>
      <c r="F42" s="139">
        <f>C35/C33*F39</f>
        <v>132941.17647058825</v>
      </c>
      <c r="G42" s="139">
        <f>C35/C33*G39</f>
        <v>166176.4705882353</v>
      </c>
      <c r="H42" s="139">
        <f>C35/C33*H39</f>
        <v>199411.76470588238</v>
      </c>
      <c r="I42" s="139">
        <f>C35/C33*I39</f>
        <v>232647.05882352943</v>
      </c>
      <c r="J42" s="139">
        <f>C35/C33*J39</f>
        <v>265882.3529411765</v>
      </c>
      <c r="K42" s="139">
        <f>C35/C33*K39</f>
        <v>299117.64705882355</v>
      </c>
      <c r="L42" s="139">
        <f>C35/C33*L39</f>
        <v>332352.9411764706</v>
      </c>
      <c r="M42" s="139">
        <f>C35/C33*M39</f>
        <v>365588.23529411765</v>
      </c>
      <c r="N42" s="139">
        <f>C35/C33*N39</f>
        <v>398823.52941176476</v>
      </c>
      <c r="O42" s="139">
        <f>C35/C33*O39</f>
        <v>432058.82352941181</v>
      </c>
      <c r="P42" s="139">
        <f>C35/C33*P39</f>
        <v>465294.11764705885</v>
      </c>
      <c r="Q42" s="139">
        <f>C35/C33*Q39</f>
        <v>498529.4117647059</v>
      </c>
      <c r="R42" s="139">
        <f>C35/C33*R39</f>
        <v>531764.70588235301</v>
      </c>
      <c r="S42" s="139">
        <f>C35/C33*S39</f>
        <v>565000</v>
      </c>
    </row>
    <row r="43" spans="2:19" x14ac:dyDescent="0.25">
      <c r="B43" s="32" t="s">
        <v>254</v>
      </c>
      <c r="C43" s="27">
        <f>C36</f>
        <v>281400</v>
      </c>
      <c r="D43" s="27">
        <f>C36</f>
        <v>281400</v>
      </c>
      <c r="E43" s="27">
        <f>C36</f>
        <v>281400</v>
      </c>
      <c r="F43" s="27">
        <f>C36</f>
        <v>281400</v>
      </c>
      <c r="G43" s="27">
        <f>C36</f>
        <v>281400</v>
      </c>
      <c r="H43" s="27">
        <f>C36</f>
        <v>281400</v>
      </c>
      <c r="I43" s="27">
        <f>C36</f>
        <v>281400</v>
      </c>
      <c r="J43" s="27">
        <f>C36</f>
        <v>281400</v>
      </c>
      <c r="K43" s="27">
        <f>C36</f>
        <v>281400</v>
      </c>
      <c r="L43" s="27">
        <f>C36</f>
        <v>281400</v>
      </c>
      <c r="M43" s="27">
        <f>C36</f>
        <v>281400</v>
      </c>
      <c r="N43" s="27">
        <f>C36</f>
        <v>281400</v>
      </c>
      <c r="O43" s="27">
        <f>C36</f>
        <v>281400</v>
      </c>
      <c r="P43" s="27">
        <f>C36</f>
        <v>281400</v>
      </c>
      <c r="Q43" s="27">
        <f>C36</f>
        <v>281400</v>
      </c>
      <c r="R43" s="27">
        <f>C36</f>
        <v>281400</v>
      </c>
      <c r="S43" s="27">
        <f>C36</f>
        <v>281400</v>
      </c>
    </row>
    <row r="44" spans="2:19" x14ac:dyDescent="0.25">
      <c r="B44" s="32" t="s">
        <v>255</v>
      </c>
      <c r="C44" s="139">
        <f>C43+C42</f>
        <v>314635.29411764705</v>
      </c>
      <c r="D44" s="139">
        <f>D42+D43</f>
        <v>347870.5882352941</v>
      </c>
      <c r="E44" s="139">
        <f t="shared" ref="E44:H44" si="18">E42+E43</f>
        <v>381105.8823529412</v>
      </c>
      <c r="F44" s="139">
        <f t="shared" si="18"/>
        <v>414341.17647058825</v>
      </c>
      <c r="G44" s="139">
        <f t="shared" si="18"/>
        <v>447576.4705882353</v>
      </c>
      <c r="H44" s="139">
        <f t="shared" si="18"/>
        <v>480811.76470588241</v>
      </c>
      <c r="I44" s="139">
        <f t="shared" ref="I44" si="19">I42+I43</f>
        <v>514047.0588235294</v>
      </c>
      <c r="J44" s="139">
        <f t="shared" ref="J44" si="20">J42+J43</f>
        <v>547282.3529411765</v>
      </c>
      <c r="K44" s="139">
        <f t="shared" ref="K44" si="21">K42+K43</f>
        <v>580517.64705882361</v>
      </c>
      <c r="L44" s="139">
        <f t="shared" ref="L44" si="22">L42+L43</f>
        <v>613752.9411764706</v>
      </c>
      <c r="M44" s="139">
        <f t="shared" ref="M44" si="23">M42+M43</f>
        <v>646988.23529411759</v>
      </c>
      <c r="N44" s="139">
        <f t="shared" ref="N44" si="24">N42+N43</f>
        <v>680223.52941176482</v>
      </c>
      <c r="O44" s="139">
        <f t="shared" ref="O44" si="25">O42+O43</f>
        <v>713458.82352941181</v>
      </c>
      <c r="P44" s="139">
        <f t="shared" ref="P44" si="26">P42+P43</f>
        <v>746694.1176470588</v>
      </c>
      <c r="Q44" s="139">
        <f t="shared" ref="Q44" si="27">Q42+Q43</f>
        <v>779929.4117647059</v>
      </c>
      <c r="R44" s="139">
        <f t="shared" ref="R44" si="28">R42+R43</f>
        <v>813164.70588235301</v>
      </c>
      <c r="S44" s="139">
        <f t="shared" ref="S44" si="29">S42+S43</f>
        <v>846400</v>
      </c>
    </row>
    <row r="73" spans="1:9" ht="26.25" x14ac:dyDescent="0.4">
      <c r="B73" s="156" t="s">
        <v>258</v>
      </c>
      <c r="C73" s="156"/>
      <c r="D73" s="156"/>
      <c r="E73" s="156"/>
      <c r="F73" s="156"/>
      <c r="G73" s="156"/>
    </row>
    <row r="75" spans="1:9" x14ac:dyDescent="0.25">
      <c r="B75" s="126" t="s">
        <v>222</v>
      </c>
    </row>
    <row r="76" spans="1:9" x14ac:dyDescent="0.25">
      <c r="A76" s="124" t="s">
        <v>53</v>
      </c>
      <c r="B76" s="124" t="s">
        <v>223</v>
      </c>
      <c r="C76" s="124" t="s">
        <v>54</v>
      </c>
      <c r="D76" s="124" t="s">
        <v>55</v>
      </c>
      <c r="E76" s="124" t="s">
        <v>56</v>
      </c>
      <c r="F76" s="124" t="s">
        <v>57</v>
      </c>
      <c r="G76" s="124" t="s">
        <v>58</v>
      </c>
      <c r="H76" s="124" t="s">
        <v>172</v>
      </c>
    </row>
    <row r="77" spans="1:9" x14ac:dyDescent="0.25">
      <c r="A77" s="124">
        <v>1</v>
      </c>
      <c r="B77" s="124" t="s">
        <v>224</v>
      </c>
      <c r="C77" s="124">
        <v>400</v>
      </c>
      <c r="D77" s="124">
        <v>300</v>
      </c>
      <c r="E77" s="124">
        <v>350</v>
      </c>
      <c r="F77" s="124">
        <v>350</v>
      </c>
      <c r="G77" s="124">
        <v>300</v>
      </c>
      <c r="H77" s="124">
        <f>SUM(C77:G77)</f>
        <v>1700</v>
      </c>
    </row>
    <row r="78" spans="1:9" x14ac:dyDescent="0.25">
      <c r="A78" s="124">
        <v>2</v>
      </c>
      <c r="B78" s="124" t="s">
        <v>225</v>
      </c>
      <c r="C78" s="124">
        <v>839.12338422823757</v>
      </c>
      <c r="D78" s="124">
        <v>704.34255882779746</v>
      </c>
      <c r="E78" s="124">
        <v>621.73298618163676</v>
      </c>
      <c r="F78" s="124">
        <v>781.73297437785436</v>
      </c>
      <c r="G78" s="124">
        <v>814.34255882779735</v>
      </c>
      <c r="H78" s="127">
        <f>H79/H77</f>
        <v>754.39292657870317</v>
      </c>
    </row>
    <row r="79" spans="1:9" x14ac:dyDescent="0.25">
      <c r="A79" s="124">
        <v>3</v>
      </c>
      <c r="B79" s="124" t="s">
        <v>226</v>
      </c>
      <c r="C79" s="124">
        <f>C77*C78</f>
        <v>335649.35369129502</v>
      </c>
      <c r="D79" s="124">
        <f t="shared" ref="D79:G79" si="30">D77*D78</f>
        <v>211302.76764833924</v>
      </c>
      <c r="E79" s="124">
        <f t="shared" si="30"/>
        <v>217606.54516357285</v>
      </c>
      <c r="F79" s="124">
        <f t="shared" si="30"/>
        <v>273606.54103224905</v>
      </c>
      <c r="G79" s="124">
        <f t="shared" si="30"/>
        <v>244302.76764833921</v>
      </c>
      <c r="H79" s="124">
        <f>SUM(C79:G79)</f>
        <v>1282467.9751837954</v>
      </c>
    </row>
    <row r="80" spans="1:9" x14ac:dyDescent="0.25">
      <c r="A80" s="152" t="s">
        <v>59</v>
      </c>
      <c r="B80" s="152"/>
      <c r="C80" s="152"/>
      <c r="D80" s="152"/>
      <c r="E80" s="152"/>
      <c r="F80" s="152"/>
      <c r="G80" s="152"/>
      <c r="H80" s="152"/>
      <c r="I80" s="152"/>
    </row>
    <row r="81" spans="1:9" x14ac:dyDescent="0.25">
      <c r="A81" s="128">
        <v>4</v>
      </c>
      <c r="B81" s="128" t="s">
        <v>227</v>
      </c>
      <c r="C81" s="124">
        <v>73700</v>
      </c>
      <c r="D81" s="124">
        <v>71000</v>
      </c>
      <c r="E81" s="124">
        <v>66000</v>
      </c>
      <c r="F81" s="124">
        <v>75900</v>
      </c>
      <c r="G81" s="124">
        <v>66000</v>
      </c>
      <c r="H81" s="124">
        <f>SUM(C81:G81)</f>
        <v>352600</v>
      </c>
    </row>
    <row r="82" spans="1:9" ht="30" x14ac:dyDescent="0.25">
      <c r="A82" s="128">
        <v>5</v>
      </c>
      <c r="B82" s="129" t="s">
        <v>228</v>
      </c>
      <c r="C82" s="128">
        <f>26000+(26000*5)/100</f>
        <v>27300</v>
      </c>
      <c r="D82" s="128">
        <f>38000+(38000*5)/100</f>
        <v>39900</v>
      </c>
      <c r="E82" s="128">
        <f>29000+(29000*5)/100</f>
        <v>30450</v>
      </c>
      <c r="F82" s="128">
        <f>38000+(38000*5)/100</f>
        <v>39900</v>
      </c>
      <c r="G82" s="128">
        <f>42000+(42000*5)/100</f>
        <v>44100</v>
      </c>
      <c r="H82" s="124">
        <f>SUM(C82:G82)</f>
        <v>181650</v>
      </c>
    </row>
    <row r="83" spans="1:9" ht="30" x14ac:dyDescent="0.25">
      <c r="A83" s="128">
        <v>6</v>
      </c>
      <c r="B83" s="129" t="s">
        <v>229</v>
      </c>
      <c r="C83" s="128">
        <f>2600+2600/5</f>
        <v>3120</v>
      </c>
      <c r="D83" s="128">
        <f>10000+10000/5</f>
        <v>12000</v>
      </c>
      <c r="E83" s="128">
        <f>6300+6300/5</f>
        <v>7560</v>
      </c>
      <c r="F83" s="128">
        <f>5250+5250/5</f>
        <v>6300</v>
      </c>
      <c r="G83" s="128">
        <f>1850+1850/5</f>
        <v>2220</v>
      </c>
      <c r="H83" s="124">
        <f>SUM(C83:G83)</f>
        <v>31200</v>
      </c>
    </row>
    <row r="84" spans="1:9" ht="30" x14ac:dyDescent="0.25">
      <c r="A84" s="128">
        <v>7</v>
      </c>
      <c r="B84" s="131" t="s">
        <v>230</v>
      </c>
      <c r="C84" s="133">
        <f>H84/H77*C77</f>
        <v>3529.4117647058824</v>
      </c>
      <c r="D84" s="133">
        <f>H84/H77*D77</f>
        <v>2647.0588235294122</v>
      </c>
      <c r="E84" s="133">
        <f>H84/H77*E77</f>
        <v>3088.2352941176473</v>
      </c>
      <c r="F84" s="133">
        <f>H84/H77*F77</f>
        <v>3088.2352941176473</v>
      </c>
      <c r="G84" s="133">
        <f>H84/H77*G77</f>
        <v>2647.0588235294122</v>
      </c>
      <c r="H84" s="124">
        <v>15000</v>
      </c>
    </row>
    <row r="85" spans="1:9" ht="30" x14ac:dyDescent="0.25">
      <c r="A85" s="128">
        <v>8</v>
      </c>
      <c r="B85" s="131" t="s">
        <v>231</v>
      </c>
      <c r="C85" s="133">
        <f>H85/H77*C77</f>
        <v>4705.8823529411766</v>
      </c>
      <c r="D85" s="133">
        <f>H85/H77*D77</f>
        <v>3529.4117647058824</v>
      </c>
      <c r="E85" s="133">
        <f>H85/H77*E77</f>
        <v>4117.6470588235297</v>
      </c>
      <c r="F85" s="133">
        <f>H85/H77*F77</f>
        <v>4117.6470588235297</v>
      </c>
      <c r="G85" s="133">
        <f>H85/H77*G77</f>
        <v>3529.4117647058824</v>
      </c>
      <c r="H85" s="124">
        <v>20000</v>
      </c>
    </row>
    <row r="86" spans="1:9" x14ac:dyDescent="0.25">
      <c r="A86" s="128">
        <v>9</v>
      </c>
      <c r="B86" s="124" t="s">
        <v>232</v>
      </c>
      <c r="C86" s="133">
        <f>H86/H77*C77</f>
        <v>2352.9411764705883</v>
      </c>
      <c r="D86" s="133">
        <f>H86/H77*D77</f>
        <v>1764.7058823529412</v>
      </c>
      <c r="E86" s="133">
        <f>H86/H77*E77</f>
        <v>2058.8235294117649</v>
      </c>
      <c r="F86" s="133">
        <f>H86/H77*F77</f>
        <v>2058.8235294117649</v>
      </c>
      <c r="G86" s="133">
        <f>H86/H77*G77</f>
        <v>1764.7058823529412</v>
      </c>
      <c r="H86" s="124">
        <v>10000</v>
      </c>
    </row>
    <row r="87" spans="1:9" x14ac:dyDescent="0.25">
      <c r="A87" s="128">
        <v>10</v>
      </c>
      <c r="B87" s="132" t="s">
        <v>233</v>
      </c>
      <c r="C87" s="133">
        <f>SUM(C81:C86)</f>
        <v>114708.23529411765</v>
      </c>
      <c r="D87" s="133">
        <f t="shared" ref="D87" si="31">SUM(D81:D86)</f>
        <v>130841.17647058824</v>
      </c>
      <c r="E87" s="133">
        <f t="shared" ref="E87" si="32">SUM(E81:E86)</f>
        <v>113274.70588235294</v>
      </c>
      <c r="F87" s="133">
        <f t="shared" ref="F87" si="33">SUM(F81:F86)</f>
        <v>131364.70588235295</v>
      </c>
      <c r="G87" s="133">
        <f t="shared" ref="G87" si="34">SUM(G81:G86)</f>
        <v>120261.17647058824</v>
      </c>
      <c r="H87" s="124">
        <f t="shared" ref="H87" si="35">SUM(H81:H86)</f>
        <v>610450</v>
      </c>
    </row>
    <row r="88" spans="1:9" x14ac:dyDescent="0.25">
      <c r="A88" s="128">
        <v>11</v>
      </c>
      <c r="B88" s="124" t="s">
        <v>234</v>
      </c>
      <c r="C88" s="133">
        <f>C79-C87</f>
        <v>220941.11839717737</v>
      </c>
      <c r="D88" s="133">
        <f t="shared" ref="D88" si="36">D79-D87</f>
        <v>80461.591177751005</v>
      </c>
      <c r="E88" s="133">
        <f t="shared" ref="E88" si="37">E79-E87</f>
        <v>104331.83928121992</v>
      </c>
      <c r="F88" s="133">
        <f t="shared" ref="F88" si="38">F79-F87</f>
        <v>142241.8351498961</v>
      </c>
      <c r="G88" s="133">
        <f t="shared" ref="G88" si="39">G79-G87</f>
        <v>124041.59117775098</v>
      </c>
      <c r="H88" s="133">
        <f t="shared" ref="H88" si="40">H79-H87</f>
        <v>672017.97518379544</v>
      </c>
    </row>
    <row r="89" spans="1:9" x14ac:dyDescent="0.25">
      <c r="A89" s="128">
        <v>12</v>
      </c>
      <c r="B89" s="124" t="s">
        <v>235</v>
      </c>
      <c r="C89" s="133">
        <f>C88/C77</f>
        <v>552.35279599294347</v>
      </c>
      <c r="D89" s="133">
        <f t="shared" ref="D89" si="41">D88/D77</f>
        <v>268.20530392583669</v>
      </c>
      <c r="E89" s="133">
        <f t="shared" ref="E89" si="42">E88/E77</f>
        <v>298.09096937491404</v>
      </c>
      <c r="F89" s="133">
        <f t="shared" ref="F89" si="43">F88/F77</f>
        <v>406.40524328541744</v>
      </c>
      <c r="G89" s="133">
        <f t="shared" ref="G89" si="44">G88/G77</f>
        <v>413.47197059250323</v>
      </c>
      <c r="H89" s="133">
        <f t="shared" ref="H89" si="45">H88/H77</f>
        <v>395.30469128458554</v>
      </c>
    </row>
    <row r="90" spans="1:9" x14ac:dyDescent="0.25">
      <c r="A90" s="128">
        <v>13</v>
      </c>
      <c r="B90" s="131" t="s">
        <v>236</v>
      </c>
      <c r="C90" s="133">
        <f>C87/C77</f>
        <v>286.7705882352941</v>
      </c>
      <c r="D90" s="133">
        <f t="shared" ref="D90:H90" si="46">D87/D77</f>
        <v>436.13725490196077</v>
      </c>
      <c r="E90" s="133">
        <f t="shared" si="46"/>
        <v>323.64201680672267</v>
      </c>
      <c r="F90" s="133">
        <f t="shared" si="46"/>
        <v>375.32773109243698</v>
      </c>
      <c r="G90" s="133">
        <f t="shared" si="46"/>
        <v>400.87058823529412</v>
      </c>
      <c r="H90" s="133">
        <f t="shared" si="46"/>
        <v>359.08823529411762</v>
      </c>
    </row>
    <row r="91" spans="1:9" x14ac:dyDescent="0.25">
      <c r="A91" s="152" t="s">
        <v>60</v>
      </c>
      <c r="B91" s="152"/>
      <c r="C91" s="152"/>
      <c r="D91" s="152"/>
      <c r="E91" s="152"/>
      <c r="F91" s="152"/>
      <c r="G91" s="152"/>
      <c r="H91" s="152"/>
      <c r="I91" s="152"/>
    </row>
    <row r="92" spans="1:9" x14ac:dyDescent="0.25">
      <c r="A92" s="128">
        <v>14</v>
      </c>
      <c r="B92" s="130" t="s">
        <v>237</v>
      </c>
      <c r="C92" s="151">
        <f>18000+18000/10</f>
        <v>19800</v>
      </c>
      <c r="D92" s="151"/>
      <c r="E92" s="151"/>
      <c r="F92" s="151"/>
      <c r="G92" s="151"/>
      <c r="H92" s="99">
        <f>SUM(C92)</f>
        <v>19800</v>
      </c>
    </row>
    <row r="93" spans="1:9" x14ac:dyDescent="0.25">
      <c r="A93" s="128">
        <v>15</v>
      </c>
      <c r="B93" s="99" t="s">
        <v>238</v>
      </c>
      <c r="C93" s="151">
        <f>9600+9600/10</f>
        <v>10560</v>
      </c>
      <c r="D93" s="151"/>
      <c r="E93" s="151"/>
      <c r="F93" s="151"/>
      <c r="G93" s="151"/>
      <c r="H93" s="99">
        <f t="shared" ref="H93:H97" si="47">SUM(C93)</f>
        <v>10560</v>
      </c>
    </row>
    <row r="94" spans="1:9" x14ac:dyDescent="0.25">
      <c r="A94" s="128">
        <v>16</v>
      </c>
      <c r="B94" s="99" t="s">
        <v>239</v>
      </c>
      <c r="C94" s="151">
        <f>24600+24600/10</f>
        <v>27060</v>
      </c>
      <c r="D94" s="151"/>
      <c r="E94" s="151"/>
      <c r="F94" s="151"/>
      <c r="G94" s="151"/>
      <c r="H94" s="99">
        <f t="shared" si="47"/>
        <v>27060</v>
      </c>
    </row>
    <row r="95" spans="1:9" x14ac:dyDescent="0.25">
      <c r="A95" s="128">
        <v>17</v>
      </c>
      <c r="B95" s="99" t="s">
        <v>240</v>
      </c>
      <c r="C95" s="151">
        <f>36000+36000/10</f>
        <v>39600</v>
      </c>
      <c r="D95" s="151"/>
      <c r="E95" s="151"/>
      <c r="F95" s="151"/>
      <c r="G95" s="151"/>
      <c r="H95" s="99">
        <f t="shared" si="47"/>
        <v>39600</v>
      </c>
    </row>
    <row r="96" spans="1:9" ht="30" x14ac:dyDescent="0.25">
      <c r="A96" s="128">
        <v>18</v>
      </c>
      <c r="B96" s="130" t="s">
        <v>241</v>
      </c>
      <c r="C96" s="151">
        <f>3200+3200/10</f>
        <v>3520</v>
      </c>
      <c r="D96" s="151"/>
      <c r="E96" s="151"/>
      <c r="F96" s="151"/>
      <c r="G96" s="151"/>
      <c r="H96" s="99">
        <f t="shared" si="47"/>
        <v>3520</v>
      </c>
    </row>
    <row r="97" spans="1:19" ht="30" x14ac:dyDescent="0.25">
      <c r="A97" s="128">
        <v>19</v>
      </c>
      <c r="B97" s="130" t="s">
        <v>242</v>
      </c>
      <c r="C97" s="151">
        <f>100000+100000/10</f>
        <v>110000</v>
      </c>
      <c r="D97" s="151"/>
      <c r="E97" s="151"/>
      <c r="F97" s="151"/>
      <c r="G97" s="151"/>
      <c r="H97" s="99">
        <f t="shared" si="47"/>
        <v>110000</v>
      </c>
    </row>
    <row r="98" spans="1:19" x14ac:dyDescent="0.25">
      <c r="A98" s="134">
        <v>20</v>
      </c>
      <c r="B98" s="135" t="s">
        <v>243</v>
      </c>
      <c r="C98" s="142">
        <f>SUM(C92:G97)</f>
        <v>210540</v>
      </c>
      <c r="D98" s="142"/>
      <c r="E98" s="142"/>
      <c r="F98" s="142"/>
      <c r="G98" s="142"/>
      <c r="H98" s="135">
        <f>SUM(C98)</f>
        <v>210540</v>
      </c>
    </row>
    <row r="99" spans="1:19" x14ac:dyDescent="0.25">
      <c r="A99" s="128">
        <v>21</v>
      </c>
      <c r="B99" s="99" t="s">
        <v>244</v>
      </c>
      <c r="C99" s="151">
        <f>90000+90000/10</f>
        <v>99000</v>
      </c>
      <c r="D99" s="151"/>
      <c r="E99" s="151"/>
      <c r="F99" s="151"/>
      <c r="G99" s="151"/>
      <c r="H99" s="99">
        <v>90000</v>
      </c>
    </row>
    <row r="100" spans="1:19" x14ac:dyDescent="0.25">
      <c r="A100" s="134">
        <v>22</v>
      </c>
      <c r="B100" s="135" t="s">
        <v>245</v>
      </c>
      <c r="C100" s="142">
        <f>C98+C99</f>
        <v>309540</v>
      </c>
      <c r="D100" s="142"/>
      <c r="E100" s="142"/>
      <c r="F100" s="142"/>
      <c r="G100" s="142"/>
      <c r="H100" s="135">
        <f>SUM(C100)</f>
        <v>309540</v>
      </c>
    </row>
    <row r="101" spans="1:19" x14ac:dyDescent="0.25">
      <c r="A101" s="128">
        <v>23</v>
      </c>
      <c r="B101" s="99" t="s">
        <v>246</v>
      </c>
      <c r="C101" s="153"/>
      <c r="D101" s="154"/>
      <c r="E101" s="154"/>
      <c r="F101" s="154"/>
      <c r="G101" s="155"/>
      <c r="H101" s="135">
        <f>H87+C100</f>
        <v>919990</v>
      </c>
    </row>
    <row r="102" spans="1:19" x14ac:dyDescent="0.25">
      <c r="A102" s="128">
        <v>24</v>
      </c>
      <c r="B102" s="99" t="s">
        <v>247</v>
      </c>
      <c r="C102" s="153"/>
      <c r="D102" s="154"/>
      <c r="E102" s="154"/>
      <c r="F102" s="154"/>
      <c r="G102" s="155"/>
      <c r="H102" s="136">
        <f>H100/(H78-H90)</f>
        <v>783.04155458948924</v>
      </c>
    </row>
    <row r="103" spans="1:19" x14ac:dyDescent="0.25">
      <c r="A103" s="128">
        <v>25</v>
      </c>
      <c r="B103" s="99" t="s">
        <v>248</v>
      </c>
      <c r="C103" s="153"/>
      <c r="D103" s="154"/>
      <c r="E103" s="154"/>
      <c r="F103" s="154"/>
      <c r="G103" s="155"/>
      <c r="H103" s="137">
        <f>H79*H100/(H79-H87)</f>
        <v>590721.00999950222</v>
      </c>
    </row>
    <row r="105" spans="1:19" x14ac:dyDescent="0.25">
      <c r="B105" s="138" t="s">
        <v>251</v>
      </c>
      <c r="C105" s="138">
        <v>1700</v>
      </c>
    </row>
    <row r="106" spans="1:19" x14ac:dyDescent="0.25">
      <c r="B106" s="138" t="s">
        <v>252</v>
      </c>
      <c r="C106" s="138">
        <v>1079000</v>
      </c>
    </row>
    <row r="107" spans="1:19" x14ac:dyDescent="0.25">
      <c r="B107" s="138" t="s">
        <v>253</v>
      </c>
      <c r="C107" s="138">
        <v>610450</v>
      </c>
    </row>
    <row r="108" spans="1:19" x14ac:dyDescent="0.25">
      <c r="B108" s="138" t="s">
        <v>254</v>
      </c>
      <c r="C108" s="138">
        <v>309540</v>
      </c>
      <c r="E108">
        <f>100/17</f>
        <v>5.882352941176471</v>
      </c>
      <c r="F108" t="s">
        <v>257</v>
      </c>
    </row>
    <row r="109" spans="1:19" x14ac:dyDescent="0.25">
      <c r="B109" s="138" t="s">
        <v>255</v>
      </c>
      <c r="C109" s="138">
        <f>C107+C108</f>
        <v>919990</v>
      </c>
    </row>
    <row r="111" spans="1:19" x14ac:dyDescent="0.25">
      <c r="B111" s="32" t="s">
        <v>251</v>
      </c>
      <c r="C111" s="27">
        <f>C105/100*E108</f>
        <v>100</v>
      </c>
      <c r="D111" s="27">
        <f>C105/100*E108*2</f>
        <v>200</v>
      </c>
      <c r="E111" s="27">
        <f>C105/100*E108*3</f>
        <v>300</v>
      </c>
      <c r="F111" s="27">
        <f>C105/100*E108*4</f>
        <v>400</v>
      </c>
      <c r="G111" s="27">
        <f>C105/100*E108*5</f>
        <v>500</v>
      </c>
      <c r="H111" s="27">
        <f>C105/100*E108*6</f>
        <v>600</v>
      </c>
      <c r="I111" s="27">
        <f>C105/100*E108*7</f>
        <v>700</v>
      </c>
      <c r="J111" s="27">
        <f>C105/100*E108*8</f>
        <v>800</v>
      </c>
      <c r="K111" s="27">
        <f>C105/100*E108*9</f>
        <v>900</v>
      </c>
      <c r="L111" s="27">
        <f>C105/100*E108*10</f>
        <v>1000</v>
      </c>
      <c r="M111" s="27">
        <f>C105/100*E108*11</f>
        <v>1100</v>
      </c>
      <c r="N111" s="27">
        <f>C105/100*E108*12</f>
        <v>1200</v>
      </c>
      <c r="O111" s="27">
        <f>C105/100*E108*13</f>
        <v>1300</v>
      </c>
      <c r="P111" s="27">
        <f>C105/100*E108*14</f>
        <v>1400</v>
      </c>
      <c r="Q111" s="27">
        <f>C105/100*E108*15</f>
        <v>1500</v>
      </c>
      <c r="R111" s="27">
        <f>C105/100*E108*16</f>
        <v>1600</v>
      </c>
      <c r="S111" s="27">
        <f>C105/100*E108*17</f>
        <v>1700</v>
      </c>
    </row>
    <row r="112" spans="1:19" x14ac:dyDescent="0.25">
      <c r="B112" s="32" t="s">
        <v>256</v>
      </c>
      <c r="C112" s="139">
        <f>C106/C105</f>
        <v>634.70588235294122</v>
      </c>
      <c r="D112" s="139">
        <f>D113/D111</f>
        <v>634.70588235294122</v>
      </c>
      <c r="E112" s="139">
        <f t="shared" ref="E112" si="48">E113/E111</f>
        <v>634.70588235294122</v>
      </c>
      <c r="F112" s="139">
        <f t="shared" ref="F112" si="49">F113/F111</f>
        <v>634.70588235294122</v>
      </c>
      <c r="G112" s="139">
        <f t="shared" ref="G112" si="50">G113/G111</f>
        <v>634.70588235294122</v>
      </c>
      <c r="H112" s="139">
        <f t="shared" ref="H112" si="51">H113/H111</f>
        <v>634.70588235294122</v>
      </c>
      <c r="I112" s="139">
        <f t="shared" ref="I112" si="52">I113/I111</f>
        <v>634.70588235294122</v>
      </c>
      <c r="J112" s="139">
        <f t="shared" ref="J112" si="53">J113/J111</f>
        <v>634.70588235294122</v>
      </c>
      <c r="K112" s="139">
        <f t="shared" ref="K112" si="54">K113/K111</f>
        <v>634.70588235294122</v>
      </c>
      <c r="L112" s="139">
        <f t="shared" ref="L112" si="55">L113/L111</f>
        <v>634.70588235294122</v>
      </c>
      <c r="M112" s="139">
        <f t="shared" ref="M112" si="56">M113/M111</f>
        <v>634.70588235294122</v>
      </c>
      <c r="N112" s="139">
        <f t="shared" ref="N112" si="57">N113/N111</f>
        <v>634.70588235294122</v>
      </c>
      <c r="O112" s="139">
        <f t="shared" ref="O112" si="58">O113/O111</f>
        <v>634.70588235294122</v>
      </c>
      <c r="P112" s="139">
        <f t="shared" ref="P112" si="59">P113/P111</f>
        <v>634.70588235294122</v>
      </c>
      <c r="Q112" s="139">
        <f t="shared" ref="Q112" si="60">Q113/Q111</f>
        <v>634.70588235294122</v>
      </c>
      <c r="R112" s="139">
        <f t="shared" ref="R112" si="61">R113/R111</f>
        <v>634.70588235294122</v>
      </c>
      <c r="S112" s="139">
        <f t="shared" ref="S112" si="62">S113/S111</f>
        <v>634.70588235294122</v>
      </c>
    </row>
    <row r="113" spans="2:19" x14ac:dyDescent="0.25">
      <c r="B113" s="32" t="s">
        <v>252</v>
      </c>
      <c r="C113" s="139">
        <f>C106/C105*C111</f>
        <v>63470.588235294119</v>
      </c>
      <c r="D113" s="139">
        <f>C106/C105*D111</f>
        <v>126941.17647058824</v>
      </c>
      <c r="E113" s="139">
        <f>C106/C105*E111</f>
        <v>190411.76470588238</v>
      </c>
      <c r="F113" s="139">
        <f>C106/C105*F111</f>
        <v>253882.35294117648</v>
      </c>
      <c r="G113" s="139">
        <f>C106/C105*G111</f>
        <v>317352.9411764706</v>
      </c>
      <c r="H113" s="139">
        <f>C106/C105*H111</f>
        <v>380823.52941176476</v>
      </c>
      <c r="I113" s="139">
        <f>C106/C105*I111</f>
        <v>444294.11764705885</v>
      </c>
      <c r="J113" s="139">
        <f>C106/C105*J111</f>
        <v>507764.70588235295</v>
      </c>
      <c r="K113" s="139">
        <f>C106/C105*K111</f>
        <v>571235.29411764711</v>
      </c>
      <c r="L113" s="139">
        <f>C106/C105*L111</f>
        <v>634705.8823529412</v>
      </c>
      <c r="M113" s="139">
        <f>C106/C105*M111</f>
        <v>698176.4705882353</v>
      </c>
      <c r="N113" s="139">
        <f>C106/C105*N111</f>
        <v>761647.05882352951</v>
      </c>
      <c r="O113" s="139">
        <f>C106/C105*O111</f>
        <v>825117.64705882361</v>
      </c>
      <c r="P113" s="139">
        <f>C106/C105*P111</f>
        <v>888588.23529411771</v>
      </c>
      <c r="Q113" s="139">
        <f>C106/C105*Q111</f>
        <v>952058.82352941181</v>
      </c>
      <c r="R113" s="139">
        <f>C106/C105*R111</f>
        <v>1015529.4117647059</v>
      </c>
      <c r="S113" s="139">
        <f>C106/C105*S111</f>
        <v>1079000</v>
      </c>
    </row>
    <row r="114" spans="2:19" x14ac:dyDescent="0.25">
      <c r="B114" s="32" t="s">
        <v>253</v>
      </c>
      <c r="C114" s="139">
        <f>C107/C105*C111</f>
        <v>35908.823529411762</v>
      </c>
      <c r="D114" s="139">
        <f>C107/C105*D111</f>
        <v>71817.647058823524</v>
      </c>
      <c r="E114" s="139">
        <f>C107/C105*E111</f>
        <v>107726.47058823529</v>
      </c>
      <c r="F114" s="139">
        <f>C107/C105*F111</f>
        <v>143635.29411764705</v>
      </c>
      <c r="G114" s="139">
        <f>C107/C105*G111</f>
        <v>179544.11764705883</v>
      </c>
      <c r="H114" s="139">
        <f>C107/C105*H111</f>
        <v>215452.94117647057</v>
      </c>
      <c r="I114" s="139">
        <f>C107/C105*I111</f>
        <v>251361.76470588235</v>
      </c>
      <c r="J114" s="139">
        <f>C107/C105*J111</f>
        <v>287270.5882352941</v>
      </c>
      <c r="K114" s="139">
        <f>C107/C105*K111</f>
        <v>323179.41176470584</v>
      </c>
      <c r="L114" s="139">
        <f>C107/C105*L111</f>
        <v>359088.23529411765</v>
      </c>
      <c r="M114" s="139">
        <f>C107/C105*M111</f>
        <v>394997.0588235294</v>
      </c>
      <c r="N114" s="139">
        <f>C107/C105*N111</f>
        <v>430905.88235294115</v>
      </c>
      <c r="O114" s="139">
        <f>C107/C105*O111</f>
        <v>466814.70588235289</v>
      </c>
      <c r="P114" s="139">
        <f>C107/C105*P111</f>
        <v>502723.5294117647</v>
      </c>
      <c r="Q114" s="139">
        <f>C107/C105*Q111</f>
        <v>538632.35294117639</v>
      </c>
      <c r="R114" s="139">
        <f>C107/C105*R111</f>
        <v>574541.17647058819</v>
      </c>
      <c r="S114" s="139">
        <f>C107/C105*S111</f>
        <v>610450</v>
      </c>
    </row>
    <row r="115" spans="2:19" x14ac:dyDescent="0.25">
      <c r="B115" s="32" t="s">
        <v>254</v>
      </c>
      <c r="C115" s="27">
        <f>C108</f>
        <v>309540</v>
      </c>
      <c r="D115" s="27">
        <f>C108</f>
        <v>309540</v>
      </c>
      <c r="E115" s="27">
        <f>C108</f>
        <v>309540</v>
      </c>
      <c r="F115" s="27">
        <f>C108</f>
        <v>309540</v>
      </c>
      <c r="G115" s="27">
        <f>C108</f>
        <v>309540</v>
      </c>
      <c r="H115" s="27">
        <f>C108</f>
        <v>309540</v>
      </c>
      <c r="I115" s="27">
        <f>C108</f>
        <v>309540</v>
      </c>
      <c r="J115" s="27">
        <f>C108</f>
        <v>309540</v>
      </c>
      <c r="K115" s="27">
        <f>C108</f>
        <v>309540</v>
      </c>
      <c r="L115" s="27">
        <f>C108</f>
        <v>309540</v>
      </c>
      <c r="M115" s="27">
        <f>C108</f>
        <v>309540</v>
      </c>
      <c r="N115" s="27">
        <f>C108</f>
        <v>309540</v>
      </c>
      <c r="O115" s="27">
        <f>C108</f>
        <v>309540</v>
      </c>
      <c r="P115" s="27">
        <f>C108</f>
        <v>309540</v>
      </c>
      <c r="Q115" s="27">
        <f>C108</f>
        <v>309540</v>
      </c>
      <c r="R115" s="27">
        <f>C108</f>
        <v>309540</v>
      </c>
      <c r="S115" s="27">
        <f>C108</f>
        <v>309540</v>
      </c>
    </row>
    <row r="116" spans="2:19" x14ac:dyDescent="0.25">
      <c r="B116" s="32" t="s">
        <v>255</v>
      </c>
      <c r="C116" s="139">
        <f>C115+C114</f>
        <v>345448.82352941175</v>
      </c>
      <c r="D116" s="139">
        <f>D114+D115</f>
        <v>381357.6470588235</v>
      </c>
      <c r="E116" s="139">
        <f t="shared" ref="E116" si="63">E114+E115</f>
        <v>417266.4705882353</v>
      </c>
      <c r="F116" s="139">
        <f t="shared" ref="F116" si="64">F114+F115</f>
        <v>453175.29411764705</v>
      </c>
      <c r="G116" s="139">
        <f t="shared" ref="G116" si="65">G114+G115</f>
        <v>489084.1176470588</v>
      </c>
      <c r="H116" s="139">
        <f t="shared" ref="H116" si="66">H114+H115</f>
        <v>524992.9411764706</v>
      </c>
      <c r="I116" s="139">
        <f t="shared" ref="I116" si="67">I114+I115</f>
        <v>560901.76470588241</v>
      </c>
      <c r="J116" s="139">
        <f t="shared" ref="J116" si="68">J114+J115</f>
        <v>596810.5882352941</v>
      </c>
      <c r="K116" s="139">
        <f t="shared" ref="K116" si="69">K114+K115</f>
        <v>632719.41176470579</v>
      </c>
      <c r="L116" s="139">
        <f t="shared" ref="L116" si="70">L114+L115</f>
        <v>668628.23529411759</v>
      </c>
      <c r="M116" s="139">
        <f t="shared" ref="M116" si="71">M114+M115</f>
        <v>704537.0588235294</v>
      </c>
      <c r="N116" s="139">
        <f t="shared" ref="N116" si="72">N114+N115</f>
        <v>740445.8823529412</v>
      </c>
      <c r="O116" s="139">
        <f t="shared" ref="O116" si="73">O114+O115</f>
        <v>776354.70588235289</v>
      </c>
      <c r="P116" s="139">
        <f t="shared" ref="P116" si="74">P114+P115</f>
        <v>812263.5294117647</v>
      </c>
      <c r="Q116" s="139">
        <f t="shared" ref="Q116" si="75">Q114+Q115</f>
        <v>848172.35294117639</v>
      </c>
      <c r="R116" s="139">
        <f t="shared" ref="R116" si="76">R114+R115</f>
        <v>884081.17647058819</v>
      </c>
      <c r="S116" s="139">
        <f t="shared" ref="S116" si="77">S114+S115</f>
        <v>919990</v>
      </c>
    </row>
  </sheetData>
  <mergeCells count="30">
    <mergeCell ref="C103:G103"/>
    <mergeCell ref="C97:G97"/>
    <mergeCell ref="C98:G98"/>
    <mergeCell ref="C99:G99"/>
    <mergeCell ref="C100:G100"/>
    <mergeCell ref="C101:G101"/>
    <mergeCell ref="C102:G102"/>
    <mergeCell ref="C96:G96"/>
    <mergeCell ref="C28:G28"/>
    <mergeCell ref="C29:G29"/>
    <mergeCell ref="C30:G30"/>
    <mergeCell ref="C31:G31"/>
    <mergeCell ref="B73:G73"/>
    <mergeCell ref="A80:I80"/>
    <mergeCell ref="A91:I91"/>
    <mergeCell ref="C92:G92"/>
    <mergeCell ref="C93:G93"/>
    <mergeCell ref="C94:G94"/>
    <mergeCell ref="C95:G95"/>
    <mergeCell ref="C27:G27"/>
    <mergeCell ref="B1:G1"/>
    <mergeCell ref="A8:I8"/>
    <mergeCell ref="A19:I19"/>
    <mergeCell ref="C20:G20"/>
    <mergeCell ref="C21:G21"/>
    <mergeCell ref="C22:G22"/>
    <mergeCell ref="C23:G23"/>
    <mergeCell ref="C24:G24"/>
    <mergeCell ref="C25:G25"/>
    <mergeCell ref="C26:G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4" workbookViewId="0">
      <selection activeCell="K12" sqref="K12"/>
    </sheetView>
  </sheetViews>
  <sheetFormatPr defaultRowHeight="15" x14ac:dyDescent="0.25"/>
  <cols>
    <col min="1" max="1" width="20.7109375" customWidth="1"/>
    <col min="2" max="2" width="18.85546875" customWidth="1"/>
    <col min="3" max="3" width="12.28515625" customWidth="1"/>
    <col min="4" max="4" width="15.7109375" customWidth="1"/>
    <col min="5" max="5" width="17.28515625" customWidth="1"/>
    <col min="6" max="6" width="13.42578125" customWidth="1"/>
    <col min="8" max="8" width="12.7109375" customWidth="1"/>
    <col min="9" max="9" width="16.28515625" customWidth="1"/>
    <col min="11" max="11" width="14" customWidth="1"/>
    <col min="12" max="12" width="17.5703125" customWidth="1"/>
  </cols>
  <sheetData>
    <row r="1" spans="1:12" ht="18.75" customHeight="1" thickBot="1" x14ac:dyDescent="0.3">
      <c r="A1" s="2" t="s">
        <v>7</v>
      </c>
      <c r="B1" s="6" t="s">
        <v>87</v>
      </c>
      <c r="C1" s="7"/>
      <c r="D1" s="141" t="s">
        <v>88</v>
      </c>
      <c r="E1" s="141"/>
      <c r="F1" s="10">
        <f>SUM(B2:B11,B12:B21,B22:B32)</f>
        <v>10274540</v>
      </c>
      <c r="H1" s="2" t="s">
        <v>7</v>
      </c>
      <c r="I1" s="6" t="s">
        <v>87</v>
      </c>
      <c r="K1" s="2" t="s">
        <v>7</v>
      </c>
      <c r="L1" s="6" t="s">
        <v>87</v>
      </c>
    </row>
    <row r="2" spans="1:12" ht="17.25" thickTop="1" thickBot="1" x14ac:dyDescent="0.3">
      <c r="A2" s="3" t="s">
        <v>121</v>
      </c>
      <c r="B2" s="8">
        <v>281488</v>
      </c>
      <c r="C2" s="1"/>
      <c r="D2" s="142" t="s">
        <v>89</v>
      </c>
      <c r="E2" s="142"/>
      <c r="F2" s="10">
        <f>MAX(B2:B11,B12:B21,B22:B32)</f>
        <v>470534</v>
      </c>
      <c r="H2" s="3"/>
      <c r="I2" s="8" t="s">
        <v>15</v>
      </c>
      <c r="K2" s="3"/>
      <c r="L2" s="8" t="s">
        <v>16</v>
      </c>
    </row>
    <row r="3" spans="1:12" ht="16.5" thickBot="1" x14ac:dyDescent="0.3">
      <c r="A3" s="3" t="s">
        <v>122</v>
      </c>
      <c r="B3" s="8">
        <v>271285</v>
      </c>
      <c r="C3" s="1"/>
      <c r="D3" s="142" t="s">
        <v>90</v>
      </c>
      <c r="E3" s="142"/>
      <c r="F3" s="10">
        <f>MIN(B2:B11,B12:B21,B22:B32)</f>
        <v>247689</v>
      </c>
    </row>
    <row r="4" spans="1:12" ht="16.5" thickBot="1" x14ac:dyDescent="0.3">
      <c r="A4" s="3" t="s">
        <v>92</v>
      </c>
      <c r="B4" s="8">
        <v>247689</v>
      </c>
      <c r="C4" s="1"/>
      <c r="D4" s="142" t="s">
        <v>91</v>
      </c>
      <c r="E4" s="142"/>
      <c r="F4" s="10">
        <f>AVERAGE(B2:B32)</f>
        <v>331436.77419354836</v>
      </c>
    </row>
    <row r="5" spans="1:12" ht="16.5" thickBot="1" x14ac:dyDescent="0.3">
      <c r="A5" s="3" t="s">
        <v>93</v>
      </c>
      <c r="B5" s="8">
        <v>312502</v>
      </c>
      <c r="C5" s="1"/>
      <c r="D5" s="1"/>
      <c r="E5" s="1"/>
      <c r="F5" s="1"/>
      <c r="H5" s="2" t="s">
        <v>7</v>
      </c>
      <c r="I5" s="6" t="s">
        <v>87</v>
      </c>
      <c r="K5" s="2" t="s">
        <v>7</v>
      </c>
      <c r="L5" s="6" t="s">
        <v>87</v>
      </c>
    </row>
    <row r="6" spans="1:12" ht="16.5" thickBot="1" x14ac:dyDescent="0.3">
      <c r="A6" s="3" t="s">
        <v>94</v>
      </c>
      <c r="B6" s="8">
        <v>330647</v>
      </c>
      <c r="C6" s="1"/>
      <c r="D6" s="1"/>
      <c r="E6" s="1"/>
      <c r="F6" s="1"/>
      <c r="H6" s="3" t="s">
        <v>12</v>
      </c>
      <c r="I6" s="8">
        <v>470534</v>
      </c>
      <c r="K6" s="3" t="s">
        <v>8</v>
      </c>
      <c r="L6" s="8">
        <v>281488</v>
      </c>
    </row>
    <row r="7" spans="1:12" ht="16.5" thickBot="1" x14ac:dyDescent="0.3">
      <c r="A7" s="3" t="s">
        <v>95</v>
      </c>
      <c r="B7" s="8">
        <v>358665</v>
      </c>
      <c r="C7" s="1"/>
      <c r="D7" s="1"/>
      <c r="E7" s="1"/>
      <c r="F7" s="1"/>
      <c r="K7" s="3" t="s">
        <v>9</v>
      </c>
      <c r="L7" s="8">
        <v>271285</v>
      </c>
    </row>
    <row r="8" spans="1:12" ht="16.5" thickBot="1" x14ac:dyDescent="0.3">
      <c r="A8" s="3" t="s">
        <v>96</v>
      </c>
      <c r="B8" s="8">
        <v>339868</v>
      </c>
      <c r="C8" s="1"/>
      <c r="D8" s="1"/>
      <c r="E8" s="1"/>
      <c r="F8" s="1"/>
      <c r="K8" s="3" t="s">
        <v>11</v>
      </c>
      <c r="L8" s="8">
        <v>247689</v>
      </c>
    </row>
    <row r="9" spans="1:12" ht="16.5" thickBot="1" x14ac:dyDescent="0.3">
      <c r="A9" s="3" t="s">
        <v>97</v>
      </c>
      <c r="B9" s="8">
        <v>338943</v>
      </c>
      <c r="C9" s="1"/>
      <c r="D9" s="1"/>
      <c r="E9" s="1"/>
      <c r="F9" s="1"/>
      <c r="K9" s="3" t="s">
        <v>14</v>
      </c>
      <c r="L9" s="8">
        <v>295677</v>
      </c>
    </row>
    <row r="10" spans="1:12" ht="16.5" thickBot="1" x14ac:dyDescent="0.3">
      <c r="A10" s="3" t="s">
        <v>98</v>
      </c>
      <c r="B10" s="8">
        <v>470534</v>
      </c>
      <c r="C10" s="1"/>
      <c r="D10" s="1"/>
      <c r="E10" s="1"/>
      <c r="F10" s="1"/>
      <c r="K10" s="12" t="s">
        <v>10</v>
      </c>
      <c r="L10" s="13">
        <v>289173</v>
      </c>
    </row>
    <row r="11" spans="1:12" ht="16.5" thickBot="1" x14ac:dyDescent="0.3">
      <c r="A11" s="3" t="s">
        <v>99</v>
      </c>
      <c r="B11" s="8">
        <v>295677</v>
      </c>
      <c r="C11" s="1"/>
      <c r="D11" s="1"/>
      <c r="E11" s="1"/>
      <c r="F11" s="1"/>
      <c r="K11" s="11" t="s">
        <v>13</v>
      </c>
      <c r="L11" s="4">
        <v>282518</v>
      </c>
    </row>
    <row r="12" spans="1:12" ht="16.5" thickBot="1" x14ac:dyDescent="0.3">
      <c r="A12" s="3" t="s">
        <v>100</v>
      </c>
      <c r="B12" s="9">
        <v>360022</v>
      </c>
      <c r="C12" s="5"/>
      <c r="D12" s="5"/>
      <c r="E12" s="1"/>
      <c r="F12" s="1"/>
      <c r="K12" s="14" t="s">
        <v>123</v>
      </c>
      <c r="L12" s="15">
        <f>SUM(L6:L11)</f>
        <v>1667830</v>
      </c>
    </row>
    <row r="13" spans="1:12" ht="16.5" thickBot="1" x14ac:dyDescent="0.3">
      <c r="A13" s="3" t="s">
        <v>101</v>
      </c>
      <c r="B13" s="4">
        <v>338545</v>
      </c>
    </row>
    <row r="14" spans="1:12" ht="16.5" thickBot="1" x14ac:dyDescent="0.3">
      <c r="A14" s="3" t="s">
        <v>102</v>
      </c>
      <c r="B14" s="4">
        <v>328580</v>
      </c>
    </row>
    <row r="15" spans="1:12" ht="16.5" thickBot="1" x14ac:dyDescent="0.3">
      <c r="A15" s="3" t="s">
        <v>103</v>
      </c>
      <c r="B15" s="4">
        <v>351078</v>
      </c>
    </row>
    <row r="16" spans="1:12" ht="16.5" thickBot="1" x14ac:dyDescent="0.3">
      <c r="A16" s="3" t="s">
        <v>104</v>
      </c>
      <c r="B16" s="4">
        <v>305675</v>
      </c>
    </row>
    <row r="17" spans="1:2" ht="16.5" thickBot="1" x14ac:dyDescent="0.3">
      <c r="A17" s="3" t="s">
        <v>105</v>
      </c>
      <c r="B17" s="4">
        <v>340379</v>
      </c>
    </row>
    <row r="18" spans="1:2" ht="16.5" thickBot="1" x14ac:dyDescent="0.3">
      <c r="A18" s="3" t="s">
        <v>106</v>
      </c>
      <c r="B18" s="4">
        <v>326507</v>
      </c>
    </row>
    <row r="19" spans="1:2" ht="16.5" thickBot="1" x14ac:dyDescent="0.3">
      <c r="A19" s="3" t="s">
        <v>107</v>
      </c>
      <c r="B19" s="4">
        <v>341764</v>
      </c>
    </row>
    <row r="20" spans="1:2" ht="16.5" thickBot="1" x14ac:dyDescent="0.3">
      <c r="A20" s="3" t="s">
        <v>108</v>
      </c>
      <c r="B20" s="4">
        <v>332301</v>
      </c>
    </row>
    <row r="21" spans="1:2" ht="16.5" thickBot="1" x14ac:dyDescent="0.3">
      <c r="A21" s="3" t="s">
        <v>109</v>
      </c>
      <c r="B21" s="4">
        <v>357530</v>
      </c>
    </row>
    <row r="22" spans="1:2" ht="16.5" thickBot="1" x14ac:dyDescent="0.3">
      <c r="A22" s="3" t="s">
        <v>110</v>
      </c>
      <c r="B22" s="4">
        <v>319431</v>
      </c>
    </row>
    <row r="23" spans="1:2" ht="16.5" thickBot="1" x14ac:dyDescent="0.3">
      <c r="A23" s="3" t="s">
        <v>111</v>
      </c>
      <c r="B23" s="4">
        <v>289173</v>
      </c>
    </row>
    <row r="24" spans="1:2" ht="16.5" thickBot="1" x14ac:dyDescent="0.3">
      <c r="A24" s="3" t="s">
        <v>112</v>
      </c>
      <c r="B24" s="4">
        <v>346041</v>
      </c>
    </row>
    <row r="25" spans="1:2" ht="16.5" thickBot="1" x14ac:dyDescent="0.3">
      <c r="A25" s="3" t="s">
        <v>113</v>
      </c>
      <c r="B25" s="4">
        <v>340932</v>
      </c>
    </row>
    <row r="26" spans="1:2" ht="16.5" thickBot="1" x14ac:dyDescent="0.3">
      <c r="A26" s="3" t="s">
        <v>114</v>
      </c>
      <c r="B26" s="4">
        <v>363283</v>
      </c>
    </row>
    <row r="27" spans="1:2" ht="16.5" thickBot="1" x14ac:dyDescent="0.3">
      <c r="A27" s="3" t="s">
        <v>115</v>
      </c>
      <c r="B27" s="4">
        <v>350168</v>
      </c>
    </row>
    <row r="28" spans="1:2" ht="16.5" thickBot="1" x14ac:dyDescent="0.3">
      <c r="A28" s="3" t="s">
        <v>116</v>
      </c>
      <c r="B28" s="4">
        <v>360549</v>
      </c>
    </row>
    <row r="29" spans="1:2" ht="16.5" thickBot="1" x14ac:dyDescent="0.3">
      <c r="A29" s="3" t="s">
        <v>117</v>
      </c>
      <c r="B29" s="4">
        <v>322612</v>
      </c>
    </row>
    <row r="30" spans="1:2" ht="16.5" thickBot="1" x14ac:dyDescent="0.3">
      <c r="A30" s="3" t="s">
        <v>118</v>
      </c>
      <c r="B30" s="4">
        <v>282518</v>
      </c>
    </row>
    <row r="31" spans="1:2" ht="16.5" thickBot="1" x14ac:dyDescent="0.3">
      <c r="A31" s="3" t="s">
        <v>119</v>
      </c>
      <c r="B31" s="4">
        <v>329667</v>
      </c>
    </row>
    <row r="32" spans="1:2" ht="16.5" thickBot="1" x14ac:dyDescent="0.3">
      <c r="A32" s="3" t="s">
        <v>120</v>
      </c>
      <c r="B32" s="4">
        <v>340487</v>
      </c>
    </row>
  </sheetData>
  <mergeCells count="4">
    <mergeCell ref="D1:E1"/>
    <mergeCell ref="D2:E2"/>
    <mergeCell ref="D3:E3"/>
    <mergeCell ref="D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D30" zoomScale="80" zoomScaleNormal="80" workbookViewId="0">
      <selection activeCell="Z47" sqref="Z47"/>
    </sheetView>
  </sheetViews>
  <sheetFormatPr defaultRowHeight="15" x14ac:dyDescent="0.25"/>
  <cols>
    <col min="1" max="1" width="33.85546875" customWidth="1"/>
    <col min="2" max="2" width="17" customWidth="1"/>
    <col min="3" max="3" width="16.5703125" customWidth="1"/>
    <col min="4" max="4" width="19.140625" customWidth="1"/>
    <col min="5" max="5" width="11.42578125" customWidth="1"/>
    <col min="6" max="6" width="12" customWidth="1"/>
  </cols>
  <sheetData>
    <row r="1" spans="1:6" ht="16.5" thickBot="1" x14ac:dyDescent="0.3">
      <c r="A1" s="143" t="s">
        <v>146</v>
      </c>
      <c r="B1" s="145" t="s">
        <v>17</v>
      </c>
      <c r="C1" s="146"/>
      <c r="D1" s="143" t="s">
        <v>149</v>
      </c>
      <c r="E1" s="145" t="s">
        <v>150</v>
      </c>
      <c r="F1" s="146"/>
    </row>
    <row r="2" spans="1:6" ht="17.25" customHeight="1" thickBot="1" x14ac:dyDescent="0.3">
      <c r="A2" s="144"/>
      <c r="B2" s="17" t="s">
        <v>147</v>
      </c>
      <c r="C2" s="17" t="s">
        <v>148</v>
      </c>
      <c r="D2" s="144"/>
      <c r="E2" s="17" t="s">
        <v>147</v>
      </c>
      <c r="F2" s="17" t="s">
        <v>148</v>
      </c>
    </row>
    <row r="3" spans="1:6" ht="14.25" customHeight="1" thickBot="1" x14ac:dyDescent="0.3">
      <c r="A3" s="3" t="s">
        <v>124</v>
      </c>
      <c r="B3" s="23">
        <v>1725318</v>
      </c>
      <c r="C3" s="23">
        <v>2011069</v>
      </c>
      <c r="D3" s="63">
        <f>((C3/B3)-1)*100</f>
        <v>16.562222152669825</v>
      </c>
      <c r="E3" s="3">
        <f>(B3*100)/B25</f>
        <v>15.981744338294789</v>
      </c>
      <c r="F3" s="19">
        <f>(C3*100)/C25</f>
        <v>19.649819210278292</v>
      </c>
    </row>
    <row r="4" spans="1:6" ht="13.5" customHeight="1" thickBot="1" x14ac:dyDescent="0.3">
      <c r="A4" s="3" t="s">
        <v>125</v>
      </c>
      <c r="B4" s="23">
        <v>739814</v>
      </c>
      <c r="C4" s="23">
        <v>668870</v>
      </c>
      <c r="D4" s="18">
        <f>((C4/B4)-1)*100</f>
        <v>-9.5894373450624126</v>
      </c>
      <c r="E4" s="3">
        <f>(B4*100)/B25</f>
        <v>6.8529501262325097</v>
      </c>
      <c r="F4" s="19">
        <f>(C4*100)/C25</f>
        <v>6.5354170220807148</v>
      </c>
    </row>
    <row r="5" spans="1:6" ht="12.75" customHeight="1" thickBot="1" x14ac:dyDescent="0.3">
      <c r="A5" s="3" t="s">
        <v>126</v>
      </c>
      <c r="B5" s="23">
        <v>644928</v>
      </c>
      <c r="C5" s="23">
        <v>755480</v>
      </c>
      <c r="D5" s="18">
        <f t="shared" ref="D5:D26" si="0">((C5/B5)-1)*100</f>
        <v>17.14175845985908</v>
      </c>
      <c r="E5" s="3">
        <f>(B5*100)/B25</f>
        <v>5.9740143049616252</v>
      </c>
      <c r="F5" s="19">
        <f>(C5*100)/C25</f>
        <v>7.3816688621728259</v>
      </c>
    </row>
    <row r="6" spans="1:6" ht="13.5" customHeight="1" thickBot="1" x14ac:dyDescent="0.3">
      <c r="A6" s="3" t="s">
        <v>127</v>
      </c>
      <c r="B6" s="23">
        <v>351292</v>
      </c>
      <c r="C6" s="23">
        <v>385912</v>
      </c>
      <c r="D6" s="18">
        <f t="shared" si="0"/>
        <v>9.8550493606458502</v>
      </c>
      <c r="E6" s="3">
        <f>(B6*100)/B25</f>
        <v>3.2540429834316069</v>
      </c>
      <c r="F6" s="19">
        <f>(C6*100)/C25</f>
        <v>3.7706816777927141</v>
      </c>
    </row>
    <row r="7" spans="1:6" ht="12.75" customHeight="1" thickBot="1" x14ac:dyDescent="0.3">
      <c r="A7" s="3" t="s">
        <v>128</v>
      </c>
      <c r="B7" s="23">
        <v>1033910</v>
      </c>
      <c r="C7" s="23">
        <v>893503</v>
      </c>
      <c r="D7" s="18">
        <f t="shared" si="0"/>
        <v>-13.58019556827964</v>
      </c>
      <c r="E7" s="3">
        <f>(B7*100)/B25</f>
        <v>9.5771824607442593</v>
      </c>
      <c r="F7" s="19">
        <f>(C7*100)/C25</f>
        <v>8.7302685357097563</v>
      </c>
    </row>
    <row r="8" spans="1:6" ht="12.75" customHeight="1" thickBot="1" x14ac:dyDescent="0.3">
      <c r="A8" s="3" t="s">
        <v>129</v>
      </c>
      <c r="B8" s="23">
        <v>367324</v>
      </c>
      <c r="C8" s="23">
        <v>275392</v>
      </c>
      <c r="D8" s="18">
        <f t="shared" si="0"/>
        <v>-25.027496161426967</v>
      </c>
      <c r="E8" s="3">
        <f>(B8*100)/B25</f>
        <v>3.4025485489166605</v>
      </c>
      <c r="F8" s="19">
        <f>(C8*100)/C25</f>
        <v>2.6908092223374531</v>
      </c>
    </row>
    <row r="9" spans="1:6" ht="13.5" customHeight="1" thickBot="1" x14ac:dyDescent="0.3">
      <c r="A9" s="3" t="s">
        <v>130</v>
      </c>
      <c r="B9" s="23">
        <v>86782</v>
      </c>
      <c r="C9" s="23">
        <v>80484</v>
      </c>
      <c r="D9" s="18">
        <f t="shared" si="0"/>
        <v>-7.2572653315203572</v>
      </c>
      <c r="E9" s="3">
        <f>(B9*100)/B25</f>
        <v>0.80386788821880861</v>
      </c>
      <c r="F9" s="19">
        <f>(C9*100)/C25</f>
        <v>0.78639571756117665</v>
      </c>
    </row>
    <row r="10" spans="1:6" ht="14.25" customHeight="1" thickBot="1" x14ac:dyDescent="0.3">
      <c r="A10" s="3" t="s">
        <v>131</v>
      </c>
      <c r="B10" s="23">
        <v>467968</v>
      </c>
      <c r="C10" s="23">
        <v>351358</v>
      </c>
      <c r="D10" s="18">
        <f t="shared" si="0"/>
        <v>-24.918370486870899</v>
      </c>
      <c r="E10" s="3">
        <f>(B10*100)/B25</f>
        <v>4.3348211370327876</v>
      </c>
      <c r="F10" s="19">
        <f>(C10*100)/C25</f>
        <v>3.4330603167195952</v>
      </c>
    </row>
    <row r="11" spans="1:6" ht="15" customHeight="1" thickBot="1" x14ac:dyDescent="0.3">
      <c r="A11" s="3" t="s">
        <v>132</v>
      </c>
      <c r="B11" s="23">
        <v>1166818</v>
      </c>
      <c r="C11" s="23">
        <v>1073958</v>
      </c>
      <c r="D11" s="18">
        <f t="shared" si="0"/>
        <v>-7.958396253743083</v>
      </c>
      <c r="E11" s="3">
        <f>(B11*100)/B25</f>
        <v>10.808318794170379</v>
      </c>
      <c r="F11" s="19">
        <f>(C11*100)/C25</f>
        <v>10.493464192144602</v>
      </c>
    </row>
    <row r="12" spans="1:6" ht="15" customHeight="1" thickBot="1" x14ac:dyDescent="0.3">
      <c r="A12" s="3" t="s">
        <v>133</v>
      </c>
      <c r="B12" s="23">
        <v>878440</v>
      </c>
      <c r="C12" s="23">
        <v>814262</v>
      </c>
      <c r="D12" s="18">
        <f t="shared" si="0"/>
        <v>-7.3059059241382451</v>
      </c>
      <c r="E12" s="3">
        <f>(B12*100)/B25</f>
        <v>8.1370527036358951</v>
      </c>
      <c r="F12" s="19">
        <f>(C12*100)/C25</f>
        <v>7.9560179634809254</v>
      </c>
    </row>
    <row r="13" spans="1:6" ht="16.5" thickBot="1" x14ac:dyDescent="0.3">
      <c r="A13" s="3" t="s">
        <v>134</v>
      </c>
      <c r="B13" s="23">
        <v>143582</v>
      </c>
      <c r="C13" s="23">
        <v>107220</v>
      </c>
      <c r="D13" s="18">
        <f t="shared" si="0"/>
        <v>-25.324901450042482</v>
      </c>
      <c r="E13" s="3">
        <f>(B13*100)/B25</f>
        <v>1.3300103607456959</v>
      </c>
      <c r="F13" s="19">
        <f>(C13*100)/C25</f>
        <v>1.0476287067853158</v>
      </c>
    </row>
    <row r="14" spans="1:6" ht="12.75" customHeight="1" thickBot="1" x14ac:dyDescent="0.3">
      <c r="A14" s="3" t="s">
        <v>135</v>
      </c>
      <c r="B14" s="23">
        <v>272189</v>
      </c>
      <c r="C14" s="23">
        <v>260851</v>
      </c>
      <c r="D14" s="18">
        <f t="shared" si="0"/>
        <v>-4.1654879513867149</v>
      </c>
      <c r="E14" s="3">
        <f>(B14*100)/B25</f>
        <v>2.5213062227926217</v>
      </c>
      <c r="F14" s="19">
        <f>(C14*100)/C25</f>
        <v>2.5487315406981574</v>
      </c>
    </row>
    <row r="15" spans="1:6" ht="14.25" customHeight="1" thickBot="1" x14ac:dyDescent="0.3">
      <c r="A15" s="3" t="s">
        <v>136</v>
      </c>
      <c r="B15" s="23">
        <v>1322667</v>
      </c>
      <c r="C15" s="23">
        <v>1112995</v>
      </c>
      <c r="D15" s="18">
        <f t="shared" si="0"/>
        <v>-15.85221374692194</v>
      </c>
      <c r="E15" s="3">
        <f>(B15*100)/B25</f>
        <v>12.251959255452823</v>
      </c>
      <c r="F15" s="19">
        <f>(C15*100)/C25</f>
        <v>10.874888197244195</v>
      </c>
    </row>
    <row r="16" spans="1:6" ht="14.25" customHeight="1" thickBot="1" x14ac:dyDescent="0.3">
      <c r="A16" s="3" t="s">
        <v>137</v>
      </c>
      <c r="B16" s="23">
        <v>10268</v>
      </c>
      <c r="C16" s="23">
        <v>16230</v>
      </c>
      <c r="D16" s="18">
        <f t="shared" si="0"/>
        <v>58.063887806778339</v>
      </c>
      <c r="E16" s="3">
        <f>(B16*100)/B25</f>
        <v>9.5113220209614047E-2</v>
      </c>
      <c r="F16" s="19">
        <f>(C16*100)/C25</f>
        <v>0.15858061845854948</v>
      </c>
    </row>
    <row r="17" spans="1:6" ht="14.25" customHeight="1" thickBot="1" x14ac:dyDescent="0.3">
      <c r="A17" s="3" t="s">
        <v>138</v>
      </c>
      <c r="B17" s="23">
        <v>52009</v>
      </c>
      <c r="C17" s="23">
        <v>39009</v>
      </c>
      <c r="D17" s="18">
        <f t="shared" si="0"/>
        <v>-24.995673825684015</v>
      </c>
      <c r="E17" s="3">
        <f>(B17*100)/B25</f>
        <v>0.48176309601498024</v>
      </c>
      <c r="F17" s="19">
        <f>(C17*100)/C25</f>
        <v>0.3811504217775451</v>
      </c>
    </row>
    <row r="18" spans="1:6" ht="14.25" customHeight="1" thickBot="1" x14ac:dyDescent="0.3">
      <c r="A18" s="3" t="s">
        <v>139</v>
      </c>
      <c r="B18" s="23">
        <v>453138</v>
      </c>
      <c r="C18" s="23">
        <v>382602</v>
      </c>
      <c r="D18" s="18">
        <f t="shared" si="0"/>
        <v>-15.566118930656891</v>
      </c>
      <c r="E18" s="3">
        <f>(B18*100)/B25</f>
        <v>4.1974497837304332</v>
      </c>
      <c r="F18" s="19">
        <f>(C18*100)/C25</f>
        <v>3.7383402207934657</v>
      </c>
    </row>
    <row r="19" spans="1:6" ht="14.25" customHeight="1" thickBot="1" x14ac:dyDescent="0.3">
      <c r="A19" s="3" t="s">
        <v>140</v>
      </c>
      <c r="B19" s="23">
        <v>695930</v>
      </c>
      <c r="C19" s="23">
        <v>667225</v>
      </c>
      <c r="D19" s="18">
        <f t="shared" si="0"/>
        <v>-4.124696449355536</v>
      </c>
      <c r="E19" s="3">
        <f>(B19*100)/B25</f>
        <v>6.4464494877752925</v>
      </c>
      <c r="F19" s="19">
        <f>(C19*100)/C25</f>
        <v>6.519344001910393</v>
      </c>
    </row>
    <row r="20" spans="1:6" ht="13.5" customHeight="1" thickBot="1" x14ac:dyDescent="0.3">
      <c r="A20" s="3" t="s">
        <v>141</v>
      </c>
      <c r="B20" s="23">
        <v>67616</v>
      </c>
      <c r="C20" s="23">
        <v>56855</v>
      </c>
      <c r="D20" s="18">
        <f t="shared" si="0"/>
        <v>-15.91487221959299</v>
      </c>
      <c r="E20" s="3">
        <f>(B20*100)/B25</f>
        <v>0.62633185602778185</v>
      </c>
      <c r="F20" s="19">
        <f>(C20*100)/C25</f>
        <v>0.55552070625143757</v>
      </c>
    </row>
    <row r="21" spans="1:6" ht="14.25" customHeight="1" thickBot="1" x14ac:dyDescent="0.3">
      <c r="A21" s="3" t="s">
        <v>142</v>
      </c>
      <c r="B21" s="23">
        <v>14281</v>
      </c>
      <c r="C21" s="23">
        <v>11032</v>
      </c>
      <c r="D21" s="18">
        <f t="shared" si="0"/>
        <v>-22.750507667530286</v>
      </c>
      <c r="E21" s="3">
        <f>(B21*100)/B25</f>
        <v>0.13228592693937458</v>
      </c>
      <c r="F21" s="19">
        <f>(C21*100)/C25</f>
        <v>0.10779182888692039</v>
      </c>
    </row>
    <row r="22" spans="1:6" ht="14.25" customHeight="1" thickBot="1" x14ac:dyDescent="0.3">
      <c r="A22" s="3" t="s">
        <v>143</v>
      </c>
      <c r="B22" s="23">
        <v>41070</v>
      </c>
      <c r="C22" s="23">
        <v>44360</v>
      </c>
      <c r="D22" s="18">
        <f t="shared" si="0"/>
        <v>8.0107134161188309</v>
      </c>
      <c r="E22" s="3">
        <f>(B22*100)/B25</f>
        <v>0.38043435469505738</v>
      </c>
      <c r="F22" s="19">
        <f>(C22*100)/C25</f>
        <v>0.43343414878750802</v>
      </c>
    </row>
    <row r="23" spans="1:6" ht="14.25" customHeight="1" thickBot="1" x14ac:dyDescent="0.3">
      <c r="A23" s="3" t="s">
        <v>144</v>
      </c>
      <c r="B23" s="23">
        <v>210092</v>
      </c>
      <c r="C23" s="23">
        <v>188136</v>
      </c>
      <c r="D23" s="18">
        <f t="shared" si="0"/>
        <v>-10.450659710983757</v>
      </c>
      <c r="E23" s="3">
        <f>(B23*100)/B25</f>
        <v>1.9460972594739223</v>
      </c>
      <c r="F23" s="19">
        <f>(C23*100)/C25</f>
        <v>1.8382454241723762</v>
      </c>
    </row>
    <row r="24" spans="1:6" ht="13.5" customHeight="1" thickBot="1" x14ac:dyDescent="0.3">
      <c r="A24" s="3" t="s">
        <v>145</v>
      </c>
      <c r="B24" s="24">
        <v>50119</v>
      </c>
      <c r="C24" s="23">
        <v>37739</v>
      </c>
      <c r="D24" s="18">
        <f t="shared" si="0"/>
        <v>-24.701211117540257</v>
      </c>
      <c r="E24" s="3">
        <f>(B24*100)/B25</f>
        <v>0.46425589050308208</v>
      </c>
      <c r="F24" s="19">
        <f>(C24*100)/C25</f>
        <v>0.36874146395608126</v>
      </c>
    </row>
    <row r="25" spans="1:6" ht="14.25" customHeight="1" thickBot="1" x14ac:dyDescent="0.3">
      <c r="A25" s="20" t="s">
        <v>152</v>
      </c>
      <c r="B25" s="25">
        <v>10795555</v>
      </c>
      <c r="C25" s="26">
        <v>10234542</v>
      </c>
      <c r="D25" s="18">
        <f t="shared" si="0"/>
        <v>-5.1967036433050451</v>
      </c>
      <c r="E25" s="3">
        <f>SUM(E3:E24)</f>
        <v>100</v>
      </c>
      <c r="F25" s="19">
        <f>SUM(F3:F24)</f>
        <v>100</v>
      </c>
    </row>
    <row r="26" spans="1:6" ht="16.5" thickBot="1" x14ac:dyDescent="0.3">
      <c r="A26" s="21" t="s">
        <v>151</v>
      </c>
      <c r="B26" s="21">
        <v>59582</v>
      </c>
      <c r="C26" s="21">
        <v>67169</v>
      </c>
      <c r="D26" s="18">
        <f t="shared" si="0"/>
        <v>12.73371152361451</v>
      </c>
      <c r="E26" s="22"/>
      <c r="F26" s="22"/>
    </row>
  </sheetData>
  <mergeCells count="4">
    <mergeCell ref="A1:A2"/>
    <mergeCell ref="B1:C1"/>
    <mergeCell ref="D1:D2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5"/>
  <sheetViews>
    <sheetView workbookViewId="0">
      <selection activeCell="D10" sqref="D10"/>
    </sheetView>
  </sheetViews>
  <sheetFormatPr defaultRowHeight="15" x14ac:dyDescent="0.25"/>
  <cols>
    <col min="1" max="1" width="24.140625" customWidth="1"/>
    <col min="3" max="3" width="16.28515625" customWidth="1"/>
    <col min="4" max="4" width="34.28515625" customWidth="1"/>
  </cols>
  <sheetData>
    <row r="4" spans="1:5" ht="35.25" customHeight="1" x14ac:dyDescent="0.25">
      <c r="A4" s="16" t="s">
        <v>153</v>
      </c>
      <c r="B4" s="16" t="s">
        <v>154</v>
      </c>
      <c r="C4" s="16" t="s">
        <v>155</v>
      </c>
      <c r="D4" s="28" t="s">
        <v>156</v>
      </c>
      <c r="E4" s="28" t="s">
        <v>157</v>
      </c>
    </row>
    <row r="5" spans="1:5" x14ac:dyDescent="0.25">
      <c r="A5" s="29" t="s">
        <v>27</v>
      </c>
      <c r="B5" s="29">
        <v>60000</v>
      </c>
      <c r="C5" s="30">
        <f>(B5/SUM($B$5:$B$15))</f>
        <v>0.38585209003215432</v>
      </c>
      <c r="D5" s="30">
        <f>(B5/SUM($B$5:$B$15))</f>
        <v>0.38585209003215432</v>
      </c>
      <c r="E5" s="29" t="str">
        <f>IF(D5&lt;85%,"A",IF(D5&lt;95%,"B","C"))</f>
        <v>A</v>
      </c>
    </row>
    <row r="6" spans="1:5" x14ac:dyDescent="0.25">
      <c r="A6" s="29" t="s">
        <v>25</v>
      </c>
      <c r="B6" s="29">
        <v>37000</v>
      </c>
      <c r="C6" s="30">
        <f>(B6/SUM($B$5:$B$15))</f>
        <v>0.23794212218649519</v>
      </c>
      <c r="D6" s="31">
        <f>C6+D5</f>
        <v>0.6237942122186495</v>
      </c>
      <c r="E6" s="29" t="str">
        <f t="shared" ref="E6:E15" si="0">IF(D6&lt;85%,"A",IF(D6&lt;95%,"B","C"))</f>
        <v>A</v>
      </c>
    </row>
    <row r="7" spans="1:5" x14ac:dyDescent="0.25">
      <c r="A7" s="29" t="s">
        <v>20</v>
      </c>
      <c r="B7" s="29">
        <v>21000</v>
      </c>
      <c r="C7" s="30">
        <f>(B7/SUM($B$5:$B$15))</f>
        <v>0.13504823151125403</v>
      </c>
      <c r="D7" s="31">
        <f>C7+D6</f>
        <v>0.7588424437299035</v>
      </c>
      <c r="E7" s="29" t="str">
        <f t="shared" si="0"/>
        <v>A</v>
      </c>
    </row>
    <row r="8" spans="1:5" x14ac:dyDescent="0.25">
      <c r="A8" s="29" t="s">
        <v>21</v>
      </c>
      <c r="B8" s="29">
        <v>10000</v>
      </c>
      <c r="C8" s="30">
        <f t="shared" ref="C6:C15" si="1">(B8/SUM($B$5:$B$15))</f>
        <v>6.4308681672025719E-2</v>
      </c>
      <c r="D8" s="31">
        <f t="shared" ref="D7:D15" si="2">C8+D7</f>
        <v>0.82315112540192925</v>
      </c>
      <c r="E8" s="29" t="str">
        <f t="shared" si="0"/>
        <v>A</v>
      </c>
    </row>
    <row r="9" spans="1:5" x14ac:dyDescent="0.25">
      <c r="A9" s="33" t="s">
        <v>18</v>
      </c>
      <c r="B9" s="33">
        <v>8000</v>
      </c>
      <c r="C9" s="34">
        <f t="shared" si="1"/>
        <v>5.1446945337620578E-2</v>
      </c>
      <c r="D9" s="35">
        <f>C9+D8</f>
        <v>0.87459807073954987</v>
      </c>
      <c r="E9" s="33" t="str">
        <f t="shared" si="0"/>
        <v>B</v>
      </c>
    </row>
    <row r="10" spans="1:5" x14ac:dyDescent="0.25">
      <c r="A10" s="33" t="s">
        <v>19</v>
      </c>
      <c r="B10" s="33">
        <v>7000</v>
      </c>
      <c r="C10" s="34">
        <f t="shared" si="1"/>
        <v>4.5016077170418008E-2</v>
      </c>
      <c r="D10" s="35">
        <f t="shared" si="2"/>
        <v>0.91961414790996787</v>
      </c>
      <c r="E10" s="33" t="str">
        <f t="shared" si="0"/>
        <v>B</v>
      </c>
    </row>
    <row r="11" spans="1:5" x14ac:dyDescent="0.25">
      <c r="A11" s="33" t="s">
        <v>24</v>
      </c>
      <c r="B11" s="33">
        <v>4000</v>
      </c>
      <c r="C11" s="34">
        <f t="shared" si="1"/>
        <v>2.5723472668810289E-2</v>
      </c>
      <c r="D11" s="35">
        <f t="shared" si="2"/>
        <v>0.94533762057877813</v>
      </c>
      <c r="E11" s="33" t="str">
        <f t="shared" si="0"/>
        <v>B</v>
      </c>
    </row>
    <row r="12" spans="1:5" x14ac:dyDescent="0.25">
      <c r="A12" s="36" t="s">
        <v>26</v>
      </c>
      <c r="B12" s="36">
        <v>3000</v>
      </c>
      <c r="C12" s="37">
        <f t="shared" si="1"/>
        <v>1.9292604501607719E-2</v>
      </c>
      <c r="D12" s="38">
        <f t="shared" si="2"/>
        <v>0.96463022508038587</v>
      </c>
      <c r="E12" s="36" t="str">
        <f t="shared" si="0"/>
        <v>C</v>
      </c>
    </row>
    <row r="13" spans="1:5" x14ac:dyDescent="0.25">
      <c r="A13" s="36" t="s">
        <v>28</v>
      </c>
      <c r="B13" s="36">
        <v>3000</v>
      </c>
      <c r="C13" s="37">
        <f t="shared" si="1"/>
        <v>1.9292604501607719E-2</v>
      </c>
      <c r="D13" s="38">
        <f t="shared" si="2"/>
        <v>0.98392282958199362</v>
      </c>
      <c r="E13" s="36" t="str">
        <f t="shared" si="0"/>
        <v>C</v>
      </c>
    </row>
    <row r="14" spans="1:5" x14ac:dyDescent="0.25">
      <c r="A14" s="36" t="s">
        <v>22</v>
      </c>
      <c r="B14" s="36">
        <v>1500</v>
      </c>
      <c r="C14" s="37">
        <f t="shared" si="1"/>
        <v>9.6463022508038593E-3</v>
      </c>
      <c r="D14" s="38">
        <f t="shared" si="2"/>
        <v>0.99356913183279749</v>
      </c>
      <c r="E14" s="36" t="str">
        <f t="shared" si="0"/>
        <v>C</v>
      </c>
    </row>
    <row r="15" spans="1:5" x14ac:dyDescent="0.25">
      <c r="A15" s="36" t="s">
        <v>23</v>
      </c>
      <c r="B15" s="36">
        <v>1000</v>
      </c>
      <c r="C15" s="37">
        <f t="shared" si="1"/>
        <v>6.4308681672025723E-3</v>
      </c>
      <c r="D15" s="38">
        <f t="shared" si="2"/>
        <v>1</v>
      </c>
      <c r="E15" s="36" t="str">
        <f t="shared" si="0"/>
        <v>C</v>
      </c>
    </row>
  </sheetData>
  <sortState ref="A5:B15">
    <sortCondition descending="1" ref="B5:B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5"/>
  <sheetViews>
    <sheetView workbookViewId="0">
      <selection activeCell="I5" sqref="I5"/>
    </sheetView>
  </sheetViews>
  <sheetFormatPr defaultRowHeight="15" x14ac:dyDescent="0.25"/>
  <cols>
    <col min="1" max="1" width="23.5703125" customWidth="1"/>
    <col min="2" max="2" width="10.28515625" customWidth="1"/>
    <col min="3" max="3" width="10.42578125" customWidth="1"/>
    <col min="4" max="4" width="9.7109375" customWidth="1"/>
    <col min="5" max="5" width="10.5703125" customWidth="1"/>
    <col min="6" max="6" width="9.5703125" customWidth="1"/>
    <col min="7" max="7" width="11.28515625" customWidth="1"/>
    <col min="8" max="8" width="26.28515625" customWidth="1"/>
  </cols>
  <sheetData>
    <row r="4" spans="1:9" x14ac:dyDescent="0.25">
      <c r="A4" s="28" t="s">
        <v>153</v>
      </c>
      <c r="B4" s="27" t="s">
        <v>158</v>
      </c>
      <c r="C4" s="27" t="s">
        <v>159</v>
      </c>
      <c r="D4" s="27" t="s">
        <v>160</v>
      </c>
      <c r="E4" s="27" t="s">
        <v>161</v>
      </c>
      <c r="F4" s="27" t="s">
        <v>162</v>
      </c>
      <c r="G4" s="27" t="s">
        <v>163</v>
      </c>
      <c r="H4" s="32" t="s">
        <v>164</v>
      </c>
      <c r="I4" s="32" t="s">
        <v>157</v>
      </c>
    </row>
    <row r="5" spans="1:9" x14ac:dyDescent="0.25">
      <c r="A5" s="40" t="s">
        <v>24</v>
      </c>
      <c r="B5" s="41">
        <v>60</v>
      </c>
      <c r="C5" s="41">
        <v>57</v>
      </c>
      <c r="D5" s="41">
        <v>66</v>
      </c>
      <c r="E5" s="41">
        <v>68</v>
      </c>
      <c r="F5" s="41">
        <v>71</v>
      </c>
      <c r="G5" s="41">
        <v>69</v>
      </c>
      <c r="H5" s="42">
        <f>STDEV(B5:G5)/AVERAGE(B5:G5)</f>
        <v>8.4282644773831614E-2</v>
      </c>
      <c r="I5" s="40" t="str">
        <f t="shared" ref="I5:I12" si="0">IF(H5&lt;10%,"X",IF(H5&lt;25%,"Y","Z"))</f>
        <v>X</v>
      </c>
    </row>
    <row r="6" spans="1:9" x14ac:dyDescent="0.25">
      <c r="A6" s="43" t="s">
        <v>25</v>
      </c>
      <c r="B6" s="44">
        <v>22</v>
      </c>
      <c r="C6" s="44">
        <v>28</v>
      </c>
      <c r="D6" s="44">
        <v>18</v>
      </c>
      <c r="E6" s="44">
        <v>19</v>
      </c>
      <c r="F6" s="44">
        <v>22</v>
      </c>
      <c r="G6" s="44">
        <v>25</v>
      </c>
      <c r="H6" s="45">
        <f t="shared" ref="H5:H12" si="1">STDEV(B6:G6)/AVERAGE(B6:G6)</f>
        <v>0.16673719455246516</v>
      </c>
      <c r="I6" s="43" t="str">
        <f>IF(H6&lt;10%,"X",IF(H6&lt;25%,"Y","Z"))</f>
        <v>Y</v>
      </c>
    </row>
    <row r="7" spans="1:9" x14ac:dyDescent="0.25">
      <c r="A7" s="43" t="s">
        <v>21</v>
      </c>
      <c r="B7" s="44">
        <v>30</v>
      </c>
      <c r="C7" s="44">
        <v>33</v>
      </c>
      <c r="D7" s="44">
        <v>25</v>
      </c>
      <c r="E7" s="44">
        <v>31</v>
      </c>
      <c r="F7" s="44">
        <v>32</v>
      </c>
      <c r="G7" s="44">
        <v>27</v>
      </c>
      <c r="H7" s="45">
        <f t="shared" si="1"/>
        <v>0.10371218659967932</v>
      </c>
      <c r="I7" s="43" t="str">
        <f t="shared" si="0"/>
        <v>Y</v>
      </c>
    </row>
    <row r="8" spans="1:9" x14ac:dyDescent="0.25">
      <c r="A8" s="43" t="s">
        <v>18</v>
      </c>
      <c r="B8" s="44">
        <v>70</v>
      </c>
      <c r="C8" s="44">
        <v>65</v>
      </c>
      <c r="D8" s="44">
        <v>90</v>
      </c>
      <c r="E8" s="44">
        <v>68</v>
      </c>
      <c r="F8" s="44">
        <v>75</v>
      </c>
      <c r="G8" s="44">
        <v>80</v>
      </c>
      <c r="H8" s="45">
        <f t="shared" si="1"/>
        <v>0.12323369412359196</v>
      </c>
      <c r="I8" s="43" t="str">
        <f t="shared" si="0"/>
        <v>Y</v>
      </c>
    </row>
    <row r="9" spans="1:9" x14ac:dyDescent="0.25">
      <c r="A9" s="43" t="s">
        <v>19</v>
      </c>
      <c r="B9" s="44">
        <v>7</v>
      </c>
      <c r="C9" s="44">
        <v>5</v>
      </c>
      <c r="D9" s="44">
        <v>6</v>
      </c>
      <c r="E9" s="44">
        <v>8</v>
      </c>
      <c r="F9" s="44">
        <v>9</v>
      </c>
      <c r="G9" s="44">
        <v>7</v>
      </c>
      <c r="H9" s="45">
        <f t="shared" si="1"/>
        <v>0.20203050891044216</v>
      </c>
      <c r="I9" s="43" t="str">
        <f t="shared" si="0"/>
        <v>Y</v>
      </c>
    </row>
    <row r="10" spans="1:9" x14ac:dyDescent="0.25">
      <c r="A10" s="43" t="s">
        <v>26</v>
      </c>
      <c r="B10" s="44">
        <v>43</v>
      </c>
      <c r="C10" s="44">
        <v>44</v>
      </c>
      <c r="D10" s="44">
        <v>35</v>
      </c>
      <c r="E10" s="44">
        <v>51</v>
      </c>
      <c r="F10" s="44">
        <v>49</v>
      </c>
      <c r="G10" s="44">
        <v>47</v>
      </c>
      <c r="H10" s="45">
        <f t="shared" si="1"/>
        <v>0.12650334220946904</v>
      </c>
      <c r="I10" s="43" t="str">
        <f t="shared" si="0"/>
        <v>Y</v>
      </c>
    </row>
    <row r="11" spans="1:9" x14ac:dyDescent="0.25">
      <c r="A11" s="46" t="s">
        <v>27</v>
      </c>
      <c r="B11" s="47">
        <v>15</v>
      </c>
      <c r="C11" s="47">
        <v>30</v>
      </c>
      <c r="D11" s="47">
        <v>27</v>
      </c>
      <c r="E11" s="47">
        <v>45</v>
      </c>
      <c r="F11" s="47">
        <v>80</v>
      </c>
      <c r="G11" s="47">
        <v>12</v>
      </c>
      <c r="H11" s="48">
        <f t="shared" si="1"/>
        <v>0.71974828288402204</v>
      </c>
      <c r="I11" s="46" t="str">
        <f t="shared" si="0"/>
        <v>Z</v>
      </c>
    </row>
    <row r="12" spans="1:9" x14ac:dyDescent="0.25">
      <c r="A12" s="46" t="s">
        <v>20</v>
      </c>
      <c r="B12" s="47">
        <v>12</v>
      </c>
      <c r="C12" s="47">
        <v>6</v>
      </c>
      <c r="D12" s="47">
        <v>8</v>
      </c>
      <c r="E12" s="47">
        <v>13</v>
      </c>
      <c r="F12" s="47">
        <v>9</v>
      </c>
      <c r="G12" s="47">
        <v>10</v>
      </c>
      <c r="H12" s="48">
        <f t="shared" si="1"/>
        <v>0.26710229973844268</v>
      </c>
      <c r="I12" s="46" t="str">
        <f t="shared" si="0"/>
        <v>Z</v>
      </c>
    </row>
    <row r="13" spans="1:9" x14ac:dyDescent="0.25">
      <c r="A13" s="39"/>
      <c r="B13" s="1"/>
      <c r="C13" s="1"/>
      <c r="D13" s="1"/>
      <c r="E13" s="1"/>
      <c r="F13" s="1"/>
      <c r="G13" s="1"/>
    </row>
    <row r="14" spans="1:9" x14ac:dyDescent="0.25">
      <c r="A14" s="39"/>
      <c r="B14" s="1"/>
      <c r="C14" s="1"/>
      <c r="D14" s="1"/>
      <c r="E14" s="1"/>
      <c r="F14" s="1"/>
      <c r="G14" s="1"/>
    </row>
    <row r="15" spans="1:9" x14ac:dyDescent="0.25">
      <c r="A15" s="39"/>
      <c r="B15" s="1"/>
      <c r="C15" s="1"/>
      <c r="D15" s="1"/>
      <c r="E15" s="1"/>
      <c r="F15" s="1"/>
      <c r="G15" s="1"/>
    </row>
  </sheetData>
  <sortState ref="A5:I12">
    <sortCondition ref="I5:I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opLeftCell="D9" workbookViewId="0">
      <selection activeCell="K20" sqref="K20"/>
    </sheetView>
  </sheetViews>
  <sheetFormatPr defaultRowHeight="15" x14ac:dyDescent="0.25"/>
  <cols>
    <col min="1" max="1" width="29.140625" customWidth="1"/>
    <col min="2" max="2" width="22" customWidth="1"/>
    <col min="3" max="3" width="19" customWidth="1"/>
    <col min="4" max="4" width="22.140625" customWidth="1"/>
    <col min="5" max="5" width="16" customWidth="1"/>
    <col min="6" max="6" width="27.85546875" customWidth="1"/>
    <col min="7" max="7" width="12.85546875" customWidth="1"/>
    <col min="10" max="10" width="15.7109375" customWidth="1"/>
    <col min="11" max="11" width="19.7109375" customWidth="1"/>
    <col min="12" max="12" width="16.42578125" customWidth="1"/>
    <col min="13" max="13" width="20.140625" customWidth="1"/>
  </cols>
  <sheetData>
    <row r="2" spans="1:13" ht="17.25" customHeight="1" x14ac:dyDescent="0.35">
      <c r="A2" s="60" t="s">
        <v>181</v>
      </c>
    </row>
    <row r="3" spans="1:13" ht="15.75" customHeight="1" x14ac:dyDescent="0.25">
      <c r="A3" s="53"/>
      <c r="B3" s="55"/>
      <c r="C3" s="55"/>
      <c r="D3" s="55"/>
    </row>
    <row r="4" spans="1:13" ht="35.25" customHeight="1" x14ac:dyDescent="0.25">
      <c r="A4" s="58" t="s">
        <v>30</v>
      </c>
      <c r="B4" s="58" t="s">
        <v>176</v>
      </c>
      <c r="C4" s="58" t="s">
        <v>177</v>
      </c>
      <c r="D4" s="58" t="s">
        <v>178</v>
      </c>
      <c r="E4" s="64" t="s">
        <v>179</v>
      </c>
      <c r="F4" s="64" t="s">
        <v>180</v>
      </c>
      <c r="G4" s="65" t="s">
        <v>157</v>
      </c>
    </row>
    <row r="5" spans="1:13" ht="15.75" x14ac:dyDescent="0.25">
      <c r="A5" s="59" t="s">
        <v>165</v>
      </c>
      <c r="B5" s="66">
        <v>6.5</v>
      </c>
      <c r="C5" s="66">
        <v>5500</v>
      </c>
      <c r="D5" s="66">
        <f>B5*C5</f>
        <v>35750</v>
      </c>
      <c r="E5" s="67">
        <f>(D5/SUM($D$5:$D$14))</f>
        <v>0.42008413433291814</v>
      </c>
      <c r="F5" s="68">
        <f>E5</f>
        <v>0.42008413433291814</v>
      </c>
      <c r="G5" s="73" t="str">
        <f>IF(F5&lt;85%,"A",IF(F5&lt;95%,"B","C"))</f>
        <v>A</v>
      </c>
    </row>
    <row r="6" spans="1:13" ht="19.5" customHeight="1" x14ac:dyDescent="0.25">
      <c r="A6" s="52" t="s">
        <v>166</v>
      </c>
      <c r="B6" s="49">
        <v>9</v>
      </c>
      <c r="C6" s="49">
        <v>2743</v>
      </c>
      <c r="D6" s="66">
        <f t="shared" ref="D5:D14" si="0">B6*C6</f>
        <v>24687</v>
      </c>
      <c r="E6" s="67">
        <f t="shared" ref="E5:E14" si="1">(D6/SUM($D$5:$D$14))</f>
        <v>0.29008718949025875</v>
      </c>
      <c r="F6" s="68">
        <f t="shared" ref="F6:F14" si="2">F5+E6</f>
        <v>0.71017132382317683</v>
      </c>
      <c r="G6" s="73" t="str">
        <f t="shared" ref="G6:G14" si="3">IF(F6&lt;85%,"A",IF(F6&lt;95%,"B","C"))</f>
        <v>A</v>
      </c>
    </row>
    <row r="7" spans="1:13" ht="18.75" customHeight="1" x14ac:dyDescent="0.25">
      <c r="A7" s="50" t="s">
        <v>32</v>
      </c>
      <c r="B7" s="69">
        <v>11.5</v>
      </c>
      <c r="C7" s="69">
        <v>592</v>
      </c>
      <c r="D7" s="66">
        <f t="shared" si="0"/>
        <v>6808</v>
      </c>
      <c r="E7" s="67">
        <f t="shared" si="1"/>
        <v>7.9998119903175013E-2</v>
      </c>
      <c r="F7" s="172">
        <f t="shared" si="2"/>
        <v>0.79016944372635178</v>
      </c>
      <c r="G7" s="173" t="s">
        <v>37</v>
      </c>
    </row>
    <row r="8" spans="1:13" ht="20.25" customHeight="1" x14ac:dyDescent="0.25">
      <c r="A8" s="50" t="s">
        <v>167</v>
      </c>
      <c r="B8" s="69">
        <v>8</v>
      </c>
      <c r="C8" s="69">
        <v>745</v>
      </c>
      <c r="D8" s="66">
        <f t="shared" si="0"/>
        <v>5960</v>
      </c>
      <c r="E8" s="67">
        <f t="shared" si="1"/>
        <v>7.0033606730746628E-2</v>
      </c>
      <c r="F8" s="70">
        <f t="shared" si="2"/>
        <v>0.86020305045709844</v>
      </c>
      <c r="G8" s="72" t="str">
        <f t="shared" si="3"/>
        <v>B</v>
      </c>
    </row>
    <row r="9" spans="1:13" ht="20.25" customHeight="1" x14ac:dyDescent="0.25">
      <c r="A9" s="50" t="s">
        <v>168</v>
      </c>
      <c r="B9" s="69">
        <v>10</v>
      </c>
      <c r="C9" s="69">
        <v>340</v>
      </c>
      <c r="D9" s="66">
        <f t="shared" si="0"/>
        <v>3400</v>
      </c>
      <c r="E9" s="67">
        <f t="shared" si="1"/>
        <v>3.9952057530962842E-2</v>
      </c>
      <c r="F9" s="70">
        <f t="shared" si="2"/>
        <v>0.90015510798806131</v>
      </c>
      <c r="G9" s="72" t="str">
        <f t="shared" si="3"/>
        <v>B</v>
      </c>
    </row>
    <row r="10" spans="1:13" ht="21" customHeight="1" x14ac:dyDescent="0.25">
      <c r="A10" s="50" t="s">
        <v>169</v>
      </c>
      <c r="B10" s="69">
        <v>4.5</v>
      </c>
      <c r="C10" s="69">
        <v>567</v>
      </c>
      <c r="D10" s="66">
        <f t="shared" si="0"/>
        <v>2551.5</v>
      </c>
      <c r="E10" s="67">
        <f t="shared" si="1"/>
        <v>2.9981669055956381E-2</v>
      </c>
      <c r="F10" s="70">
        <f t="shared" si="2"/>
        <v>0.93013677704401765</v>
      </c>
      <c r="G10" s="72" t="str">
        <f t="shared" si="3"/>
        <v>B</v>
      </c>
    </row>
    <row r="11" spans="1:13" ht="18.75" customHeight="1" x14ac:dyDescent="0.25">
      <c r="A11" s="50" t="s">
        <v>31</v>
      </c>
      <c r="B11" s="69">
        <v>13</v>
      </c>
      <c r="C11" s="69">
        <v>196</v>
      </c>
      <c r="D11" s="66">
        <f t="shared" si="0"/>
        <v>2548</v>
      </c>
      <c r="E11" s="67">
        <f t="shared" si="1"/>
        <v>2.9940541937909803E-2</v>
      </c>
      <c r="F11" s="71">
        <f t="shared" si="2"/>
        <v>0.9600773189819275</v>
      </c>
      <c r="G11" s="74" t="str">
        <f t="shared" si="3"/>
        <v>C</v>
      </c>
    </row>
    <row r="12" spans="1:13" ht="30" customHeight="1" x14ac:dyDescent="0.25">
      <c r="A12" s="50" t="s">
        <v>170</v>
      </c>
      <c r="B12" s="69">
        <v>9.5</v>
      </c>
      <c r="C12" s="69">
        <v>179</v>
      </c>
      <c r="D12" s="66">
        <f t="shared" si="0"/>
        <v>1700.5</v>
      </c>
      <c r="E12" s="67">
        <f t="shared" si="1"/>
        <v>1.9981904068059504E-2</v>
      </c>
      <c r="F12" s="71">
        <f t="shared" si="2"/>
        <v>0.98005922304998705</v>
      </c>
      <c r="G12" s="74" t="str">
        <f t="shared" si="3"/>
        <v>C</v>
      </c>
    </row>
    <row r="13" spans="1:13" ht="18.75" customHeight="1" x14ac:dyDescent="0.25">
      <c r="A13" s="50" t="s">
        <v>33</v>
      </c>
      <c r="B13" s="69">
        <v>12</v>
      </c>
      <c r="C13" s="69">
        <v>71</v>
      </c>
      <c r="D13" s="66">
        <f t="shared" si="0"/>
        <v>852</v>
      </c>
      <c r="E13" s="67">
        <f t="shared" si="1"/>
        <v>1.0011515593053043E-2</v>
      </c>
      <c r="F13" s="71">
        <f t="shared" si="2"/>
        <v>0.99007073864304007</v>
      </c>
      <c r="G13" s="74" t="str">
        <f t="shared" si="3"/>
        <v>C</v>
      </c>
    </row>
    <row r="14" spans="1:13" ht="18.75" customHeight="1" x14ac:dyDescent="0.25">
      <c r="A14" s="50" t="s">
        <v>171</v>
      </c>
      <c r="B14" s="69">
        <v>13</v>
      </c>
      <c r="C14" s="69">
        <v>65</v>
      </c>
      <c r="D14" s="66">
        <f t="shared" si="0"/>
        <v>845</v>
      </c>
      <c r="E14" s="67">
        <f t="shared" si="1"/>
        <v>9.9292613569598835E-3</v>
      </c>
      <c r="F14" s="71">
        <f t="shared" si="2"/>
        <v>1</v>
      </c>
      <c r="G14" s="74" t="str">
        <f t="shared" si="3"/>
        <v>C</v>
      </c>
      <c r="J14" s="69" t="s">
        <v>188</v>
      </c>
      <c r="K14" s="69" t="s">
        <v>34</v>
      </c>
      <c r="L14" s="69" t="s">
        <v>35</v>
      </c>
      <c r="M14" s="69" t="s">
        <v>36</v>
      </c>
    </row>
    <row r="15" spans="1:13" ht="19.5" customHeight="1" x14ac:dyDescent="0.25">
      <c r="A15" s="50" t="s">
        <v>172</v>
      </c>
      <c r="B15" s="51"/>
      <c r="C15" s="69">
        <v>11000</v>
      </c>
      <c r="D15" s="66">
        <f>SUM(D5:D14)</f>
        <v>85102</v>
      </c>
      <c r="E15" s="67">
        <f>SUM(E5:E14)</f>
        <v>1</v>
      </c>
      <c r="F15" s="27"/>
      <c r="G15" s="27"/>
      <c r="J15" s="147" t="s">
        <v>37</v>
      </c>
      <c r="K15" s="147" t="s">
        <v>189</v>
      </c>
      <c r="L15" s="147" t="s">
        <v>38</v>
      </c>
      <c r="M15" s="174" t="s">
        <v>194</v>
      </c>
    </row>
    <row r="16" spans="1:13" ht="15.75" customHeight="1" x14ac:dyDescent="0.25">
      <c r="J16" s="150"/>
      <c r="K16" s="150"/>
      <c r="L16" s="150"/>
      <c r="M16" s="175"/>
    </row>
    <row r="17" spans="1:13" ht="15.75" customHeight="1" x14ac:dyDescent="0.25">
      <c r="J17" s="147" t="s">
        <v>39</v>
      </c>
      <c r="K17" s="147" t="s">
        <v>38</v>
      </c>
      <c r="L17" s="147" t="s">
        <v>190</v>
      </c>
      <c r="M17" s="147" t="s">
        <v>193</v>
      </c>
    </row>
    <row r="18" spans="1:13" ht="23.25" x14ac:dyDescent="0.35">
      <c r="A18" s="60" t="s">
        <v>182</v>
      </c>
      <c r="J18" s="149"/>
      <c r="K18" s="149"/>
      <c r="L18" s="149"/>
      <c r="M18" s="148"/>
    </row>
    <row r="19" spans="1:13" ht="47.25" x14ac:dyDescent="0.25">
      <c r="J19" s="66" t="s">
        <v>40</v>
      </c>
      <c r="K19" s="66" t="s">
        <v>191</v>
      </c>
      <c r="L19" s="66" t="s">
        <v>38</v>
      </c>
      <c r="M19" s="66" t="s">
        <v>192</v>
      </c>
    </row>
    <row r="20" spans="1:13" ht="50.25" customHeight="1" x14ac:dyDescent="0.25">
      <c r="A20" s="76" t="s">
        <v>30</v>
      </c>
      <c r="B20" s="76" t="s">
        <v>175</v>
      </c>
      <c r="C20" s="76" t="s">
        <v>183</v>
      </c>
      <c r="D20" s="76" t="s">
        <v>184</v>
      </c>
      <c r="E20" s="76" t="s">
        <v>185</v>
      </c>
      <c r="F20" s="77" t="s">
        <v>186</v>
      </c>
      <c r="G20" s="78" t="s">
        <v>187</v>
      </c>
      <c r="H20" s="65" t="s">
        <v>29</v>
      </c>
      <c r="J20" s="84"/>
      <c r="K20" s="54"/>
      <c r="L20" s="84"/>
      <c r="M20" s="54"/>
    </row>
    <row r="21" spans="1:13" ht="15.75" x14ac:dyDescent="0.25">
      <c r="A21" s="62" t="s">
        <v>173</v>
      </c>
      <c r="B21" s="61">
        <v>87000</v>
      </c>
      <c r="C21" s="61">
        <v>91000</v>
      </c>
      <c r="D21" s="61">
        <v>90000</v>
      </c>
      <c r="E21" s="61">
        <v>89500</v>
      </c>
      <c r="F21" s="75">
        <v>357500</v>
      </c>
      <c r="G21" s="79">
        <f>(STDEV(B21:E21)/AVERAGE(B21:E21))</f>
        <v>1.904016583371761E-2</v>
      </c>
      <c r="H21" s="80" t="str">
        <f t="shared" ref="H21:H30" si="4">IF(G21&lt;10%,"X",IF(G21&lt;25%,"Y","Z"))</f>
        <v>X</v>
      </c>
    </row>
    <row r="22" spans="1:13" ht="15.75" x14ac:dyDescent="0.25">
      <c r="A22" s="62" t="s">
        <v>166</v>
      </c>
      <c r="B22" s="61">
        <v>59000</v>
      </c>
      <c r="C22" s="61">
        <v>60000</v>
      </c>
      <c r="D22" s="61">
        <v>65000</v>
      </c>
      <c r="E22" s="61">
        <v>62845</v>
      </c>
      <c r="F22" s="75">
        <v>246845</v>
      </c>
      <c r="G22" s="79">
        <f t="shared" ref="G22:G30" si="5">STDEV(B22:E22)/AVERAGE(B22:E22)</f>
        <v>4.4259866899649156E-2</v>
      </c>
      <c r="H22" s="80" t="str">
        <f t="shared" si="4"/>
        <v>X</v>
      </c>
    </row>
    <row r="23" spans="1:13" ht="15.75" x14ac:dyDescent="0.25">
      <c r="A23" s="62" t="s">
        <v>31</v>
      </c>
      <c r="B23" s="61">
        <v>6000</v>
      </c>
      <c r="C23" s="61">
        <v>6400</v>
      </c>
      <c r="D23" s="61">
        <v>6700</v>
      </c>
      <c r="E23" s="61">
        <v>6436</v>
      </c>
      <c r="F23" s="75">
        <v>25536</v>
      </c>
      <c r="G23" s="79">
        <f t="shared" si="5"/>
        <v>4.5243128317132071E-2</v>
      </c>
      <c r="H23" s="80" t="str">
        <f t="shared" si="4"/>
        <v>X</v>
      </c>
    </row>
    <row r="24" spans="1:13" ht="15.75" x14ac:dyDescent="0.25">
      <c r="A24" s="62" t="s">
        <v>174</v>
      </c>
      <c r="B24" s="61">
        <v>2100</v>
      </c>
      <c r="C24" s="61">
        <v>2210</v>
      </c>
      <c r="D24" s="61">
        <v>2000</v>
      </c>
      <c r="E24" s="61">
        <v>2202</v>
      </c>
      <c r="F24" s="75">
        <v>8512</v>
      </c>
      <c r="G24" s="79">
        <f t="shared" si="5"/>
        <v>4.6494858973659216E-2</v>
      </c>
      <c r="H24" s="80" t="str">
        <f t="shared" si="4"/>
        <v>X</v>
      </c>
    </row>
    <row r="25" spans="1:13" ht="15.75" x14ac:dyDescent="0.25">
      <c r="A25" s="62" t="s">
        <v>168</v>
      </c>
      <c r="B25" s="61">
        <v>7684</v>
      </c>
      <c r="C25" s="61">
        <v>9500</v>
      </c>
      <c r="D25" s="61">
        <v>6600</v>
      </c>
      <c r="E25" s="61">
        <v>10264</v>
      </c>
      <c r="F25" s="75">
        <v>34048</v>
      </c>
      <c r="G25" s="79">
        <f t="shared" si="5"/>
        <v>0.19643119459581229</v>
      </c>
      <c r="H25" s="81" t="str">
        <f t="shared" si="4"/>
        <v>Y</v>
      </c>
    </row>
    <row r="26" spans="1:13" ht="15.75" x14ac:dyDescent="0.25">
      <c r="A26" s="62" t="s">
        <v>167</v>
      </c>
      <c r="B26" s="61">
        <v>8350</v>
      </c>
      <c r="C26" s="61">
        <v>16500</v>
      </c>
      <c r="D26" s="61">
        <v>18000</v>
      </c>
      <c r="E26" s="61">
        <v>16733</v>
      </c>
      <c r="F26" s="75">
        <v>59583</v>
      </c>
      <c r="G26" s="79">
        <f t="shared" si="5"/>
        <v>0.29628082870596323</v>
      </c>
      <c r="H26" s="82" t="str">
        <f t="shared" si="4"/>
        <v>Z</v>
      </c>
    </row>
    <row r="27" spans="1:13" ht="15.75" x14ac:dyDescent="0.25">
      <c r="A27" s="62" t="s">
        <v>32</v>
      </c>
      <c r="B27" s="61">
        <v>10000</v>
      </c>
      <c r="C27" s="61">
        <v>20000</v>
      </c>
      <c r="D27" s="61">
        <v>23000</v>
      </c>
      <c r="E27" s="61">
        <v>15095</v>
      </c>
      <c r="F27" s="75">
        <v>68095</v>
      </c>
      <c r="G27" s="79">
        <f t="shared" si="5"/>
        <v>0.33509550127935461</v>
      </c>
      <c r="H27" s="82" t="str">
        <f t="shared" si="4"/>
        <v>Z</v>
      </c>
    </row>
    <row r="28" spans="1:13" ht="15.75" x14ac:dyDescent="0.25">
      <c r="A28" s="62" t="s">
        <v>170</v>
      </c>
      <c r="B28" s="61">
        <v>2000</v>
      </c>
      <c r="C28" s="61">
        <v>6000</v>
      </c>
      <c r="D28" s="61">
        <v>5000</v>
      </c>
      <c r="E28" s="61">
        <v>4024</v>
      </c>
      <c r="F28" s="75">
        <v>17024</v>
      </c>
      <c r="G28" s="79">
        <f t="shared" si="5"/>
        <v>0.40100935927728165</v>
      </c>
      <c r="H28" s="82" t="str">
        <f t="shared" si="4"/>
        <v>Z</v>
      </c>
    </row>
    <row r="29" spans="1:13" ht="15.75" x14ac:dyDescent="0.25">
      <c r="A29" s="62" t="s">
        <v>169</v>
      </c>
      <c r="B29" s="61">
        <v>3000</v>
      </c>
      <c r="C29" s="61">
        <v>7500</v>
      </c>
      <c r="D29" s="61">
        <v>9350</v>
      </c>
      <c r="E29" s="61">
        <v>5686</v>
      </c>
      <c r="F29" s="75">
        <v>25536</v>
      </c>
      <c r="G29" s="79">
        <f t="shared" si="5"/>
        <v>0.42400688086136851</v>
      </c>
      <c r="H29" s="82" t="str">
        <f t="shared" si="4"/>
        <v>Z</v>
      </c>
    </row>
    <row r="30" spans="1:13" ht="15.75" x14ac:dyDescent="0.25">
      <c r="A30" s="62" t="s">
        <v>33</v>
      </c>
      <c r="B30" s="61">
        <v>480</v>
      </c>
      <c r="C30" s="61">
        <v>2780</v>
      </c>
      <c r="D30" s="61">
        <v>3000</v>
      </c>
      <c r="E30" s="61">
        <v>2252</v>
      </c>
      <c r="F30" s="75">
        <v>8512</v>
      </c>
      <c r="G30" s="79">
        <f t="shared" si="5"/>
        <v>0.53694731247981309</v>
      </c>
      <c r="H30" s="82" t="str">
        <f t="shared" si="4"/>
        <v>Z</v>
      </c>
    </row>
    <row r="31" spans="1:13" ht="15.75" x14ac:dyDescent="0.25">
      <c r="A31" s="62" t="s">
        <v>172</v>
      </c>
      <c r="B31" s="61">
        <v>185614</v>
      </c>
      <c r="C31" s="61">
        <v>221890</v>
      </c>
      <c r="D31" s="61">
        <v>228650</v>
      </c>
      <c r="E31" s="61">
        <v>215037</v>
      </c>
      <c r="F31" s="75">
        <v>851191</v>
      </c>
      <c r="G31" s="79"/>
      <c r="H31" s="85"/>
    </row>
  </sheetData>
  <sortState ref="A21:H31">
    <sortCondition ref="G21:G31"/>
  </sortState>
  <mergeCells count="8">
    <mergeCell ref="M17:M18"/>
    <mergeCell ref="J17:J18"/>
    <mergeCell ref="K17:K18"/>
    <mergeCell ref="L17:L18"/>
    <mergeCell ref="J15:J16"/>
    <mergeCell ref="L15:L16"/>
    <mergeCell ref="M15:M16"/>
    <mergeCell ref="K15:K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36" zoomScale="90" zoomScaleNormal="90" workbookViewId="0">
      <selection activeCell="B38" sqref="B38"/>
    </sheetView>
  </sheetViews>
  <sheetFormatPr defaultRowHeight="15" x14ac:dyDescent="0.25"/>
  <cols>
    <col min="1" max="1" width="15.5703125" customWidth="1"/>
    <col min="2" max="2" width="35.5703125" customWidth="1"/>
    <col min="3" max="3" width="13.28515625" customWidth="1"/>
    <col min="4" max="4" width="13.85546875" customWidth="1"/>
    <col min="7" max="7" width="14" customWidth="1"/>
    <col min="8" max="8" width="19.85546875" customWidth="1"/>
    <col min="9" max="9" width="16.85546875" customWidth="1"/>
    <col min="11" max="11" width="16.7109375" customWidth="1"/>
    <col min="12" max="12" width="10.7109375" customWidth="1"/>
    <col min="14" max="14" width="10.42578125" customWidth="1"/>
  </cols>
  <sheetData>
    <row r="1" spans="1:6" ht="34.5" customHeight="1" x14ac:dyDescent="0.25"/>
    <row r="4" spans="1:6" ht="31.5" customHeight="1" x14ac:dyDescent="0.25">
      <c r="A4" s="58" t="s">
        <v>41</v>
      </c>
      <c r="B4" s="58" t="s">
        <v>196</v>
      </c>
      <c r="C4" s="86" t="s">
        <v>205</v>
      </c>
      <c r="D4" s="86" t="s">
        <v>206</v>
      </c>
      <c r="E4" s="86" t="s">
        <v>157</v>
      </c>
      <c r="F4" s="57"/>
    </row>
    <row r="5" spans="1:6" ht="15.75" x14ac:dyDescent="0.25">
      <c r="A5" s="58">
        <v>1</v>
      </c>
      <c r="B5" s="58">
        <v>4900</v>
      </c>
      <c r="C5" s="87">
        <f t="shared" ref="C5:C14" si="0">(B5/SUM($B$5:$B$14))</f>
        <v>0.3132992327365729</v>
      </c>
      <c r="D5" s="88">
        <f>C5</f>
        <v>0.3132992327365729</v>
      </c>
      <c r="E5" s="89" t="str">
        <f>IF(D5&lt;80%,"A",IF(D5&lt;95%,"B","C"))</f>
        <v>A</v>
      </c>
      <c r="F5" s="56"/>
    </row>
    <row r="6" spans="1:6" ht="15.75" x14ac:dyDescent="0.25">
      <c r="A6" s="58">
        <v>9</v>
      </c>
      <c r="B6" s="58">
        <v>3800</v>
      </c>
      <c r="C6" s="87">
        <f t="shared" si="0"/>
        <v>0.24296675191815856</v>
      </c>
      <c r="D6" s="88">
        <f>D5+C6</f>
        <v>0.55626598465473143</v>
      </c>
      <c r="E6" s="89" t="str">
        <f t="shared" ref="E6:E14" si="1">IF(D6&lt;80%,"A",IF(D6&lt;95%,"B","C"))</f>
        <v>A</v>
      </c>
      <c r="F6" s="56"/>
    </row>
    <row r="7" spans="1:6" ht="15.75" x14ac:dyDescent="0.25">
      <c r="A7" s="58">
        <v>8</v>
      </c>
      <c r="B7" s="58">
        <v>2500</v>
      </c>
      <c r="C7" s="87">
        <f t="shared" si="0"/>
        <v>0.15984654731457801</v>
      </c>
      <c r="D7" s="88">
        <f t="shared" ref="D7:D14" si="2">D6+C7</f>
        <v>0.71611253196930946</v>
      </c>
      <c r="E7" s="89" t="str">
        <f t="shared" si="1"/>
        <v>A</v>
      </c>
      <c r="F7" s="56"/>
    </row>
    <row r="8" spans="1:6" ht="15.75" x14ac:dyDescent="0.25">
      <c r="A8" s="58">
        <v>4</v>
      </c>
      <c r="B8" s="58">
        <v>1900</v>
      </c>
      <c r="C8" s="87">
        <f t="shared" si="0"/>
        <v>0.12148337595907928</v>
      </c>
      <c r="D8" s="88">
        <f t="shared" si="2"/>
        <v>0.83759590792838878</v>
      </c>
      <c r="E8" s="90" t="str">
        <f t="shared" si="1"/>
        <v>B</v>
      </c>
      <c r="F8" s="56"/>
    </row>
    <row r="9" spans="1:6" ht="15.75" x14ac:dyDescent="0.25">
      <c r="A9" s="58">
        <v>7</v>
      </c>
      <c r="B9" s="58">
        <v>900</v>
      </c>
      <c r="C9" s="87">
        <f t="shared" si="0"/>
        <v>5.754475703324808E-2</v>
      </c>
      <c r="D9" s="88">
        <f t="shared" si="2"/>
        <v>0.89514066496163691</v>
      </c>
      <c r="E9" s="90" t="str">
        <f t="shared" si="1"/>
        <v>B</v>
      </c>
      <c r="F9" s="56"/>
    </row>
    <row r="10" spans="1:6" ht="15.75" x14ac:dyDescent="0.25">
      <c r="A10" s="58">
        <v>10</v>
      </c>
      <c r="B10" s="58">
        <v>690</v>
      </c>
      <c r="C10" s="87">
        <f t="shared" si="0"/>
        <v>4.4117647058823532E-2</v>
      </c>
      <c r="D10" s="88">
        <f t="shared" si="2"/>
        <v>0.9392583120204604</v>
      </c>
      <c r="E10" s="90" t="str">
        <f t="shared" si="1"/>
        <v>B</v>
      </c>
      <c r="F10" s="56"/>
    </row>
    <row r="11" spans="1:6" ht="15.75" x14ac:dyDescent="0.25">
      <c r="A11" s="58">
        <v>6</v>
      </c>
      <c r="B11" s="58">
        <v>450</v>
      </c>
      <c r="C11" s="87">
        <f t="shared" si="0"/>
        <v>2.877237851662404E-2</v>
      </c>
      <c r="D11" s="88">
        <f t="shared" si="2"/>
        <v>0.96803069053708446</v>
      </c>
      <c r="E11" s="91" t="str">
        <f t="shared" si="1"/>
        <v>C</v>
      </c>
      <c r="F11" s="56"/>
    </row>
    <row r="12" spans="1:6" ht="15.75" x14ac:dyDescent="0.25">
      <c r="A12" s="58">
        <v>3</v>
      </c>
      <c r="B12" s="58">
        <v>200</v>
      </c>
      <c r="C12" s="87">
        <f t="shared" si="0"/>
        <v>1.278772378516624E-2</v>
      </c>
      <c r="D12" s="88">
        <f t="shared" si="2"/>
        <v>0.9808184143222507</v>
      </c>
      <c r="E12" s="91" t="str">
        <f t="shared" si="1"/>
        <v>C</v>
      </c>
      <c r="F12" s="56"/>
    </row>
    <row r="13" spans="1:6" ht="15.75" x14ac:dyDescent="0.25">
      <c r="A13" s="58">
        <v>2</v>
      </c>
      <c r="B13" s="58">
        <v>150</v>
      </c>
      <c r="C13" s="87">
        <f t="shared" si="0"/>
        <v>9.5907928388746806E-3</v>
      </c>
      <c r="D13" s="88">
        <f t="shared" si="2"/>
        <v>0.99040920716112535</v>
      </c>
      <c r="E13" s="91" t="str">
        <f t="shared" si="1"/>
        <v>C</v>
      </c>
      <c r="F13" s="56"/>
    </row>
    <row r="14" spans="1:6" ht="15.75" x14ac:dyDescent="0.25">
      <c r="A14" s="58">
        <v>5</v>
      </c>
      <c r="B14" s="58">
        <v>150</v>
      </c>
      <c r="C14" s="87">
        <f t="shared" si="0"/>
        <v>9.5907928388746806E-3</v>
      </c>
      <c r="D14" s="88">
        <f t="shared" si="2"/>
        <v>1</v>
      </c>
      <c r="E14" s="91" t="str">
        <f t="shared" si="1"/>
        <v>C</v>
      </c>
      <c r="F14" s="56"/>
    </row>
    <row r="15" spans="1:6" ht="15.75" x14ac:dyDescent="0.25">
      <c r="F15" s="56"/>
    </row>
    <row r="38" spans="1:14" ht="25.5" x14ac:dyDescent="0.35">
      <c r="A38" s="92"/>
      <c r="G38" s="83"/>
    </row>
    <row r="40" spans="1:14" ht="47.25" x14ac:dyDescent="0.25">
      <c r="A40" s="58" t="s">
        <v>195</v>
      </c>
      <c r="B40" s="58" t="s">
        <v>196</v>
      </c>
      <c r="C40" s="58" t="s">
        <v>42</v>
      </c>
      <c r="D40" s="58" t="s">
        <v>43</v>
      </c>
      <c r="E40" s="58" t="s">
        <v>44</v>
      </c>
      <c r="F40" s="58" t="s">
        <v>45</v>
      </c>
      <c r="G40" s="65" t="s">
        <v>197</v>
      </c>
      <c r="H40" s="65" t="s">
        <v>198</v>
      </c>
      <c r="I40" s="65" t="s">
        <v>199</v>
      </c>
      <c r="J40" s="65" t="s">
        <v>200</v>
      </c>
      <c r="K40" s="65" t="s">
        <v>201</v>
      </c>
      <c r="L40" s="66" t="s">
        <v>202</v>
      </c>
      <c r="M40" s="86" t="s">
        <v>203</v>
      </c>
      <c r="N40" s="65" t="s">
        <v>204</v>
      </c>
    </row>
    <row r="41" spans="1:14" ht="15.75" x14ac:dyDescent="0.25">
      <c r="A41" s="58">
        <v>1</v>
      </c>
      <c r="B41" s="58">
        <v>4900</v>
      </c>
      <c r="C41" s="58">
        <v>4000</v>
      </c>
      <c r="D41" s="58">
        <v>3700</v>
      </c>
      <c r="E41" s="58">
        <v>3500</v>
      </c>
      <c r="F41" s="58">
        <v>4100</v>
      </c>
      <c r="G41" s="101">
        <f>SUM(C41:F41)</f>
        <v>15300</v>
      </c>
      <c r="H41" s="102">
        <f>(G41/SUM($G$41:$G$50))</f>
        <v>0.26055858310626701</v>
      </c>
      <c r="I41" s="103">
        <f>H41</f>
        <v>0.26055858310626701</v>
      </c>
      <c r="J41" s="107" t="str">
        <f>IF(I41&lt;80%,"A",IF(I41&lt;95%,"B","C"))</f>
        <v>A</v>
      </c>
      <c r="K41" s="105">
        <f>STDEV(C41:F41)</f>
        <v>275.37852736430511</v>
      </c>
      <c r="L41" s="106">
        <f>K41/AVERAGE(C41:F41)</f>
        <v>7.1994386239034022E-2</v>
      </c>
      <c r="M41" s="107" t="str">
        <f>IF(L41&lt;10%,"X",IF(L41&lt;25%,"Y","Z"))</f>
        <v>X</v>
      </c>
      <c r="N41" s="107" t="s">
        <v>46</v>
      </c>
    </row>
    <row r="42" spans="1:14" ht="15.75" x14ac:dyDescent="0.25">
      <c r="A42" s="58">
        <v>9</v>
      </c>
      <c r="B42" s="58">
        <v>3800</v>
      </c>
      <c r="C42" s="58">
        <v>3600</v>
      </c>
      <c r="D42" s="58">
        <v>3300</v>
      </c>
      <c r="E42" s="58">
        <v>4000</v>
      </c>
      <c r="F42" s="58">
        <v>3400</v>
      </c>
      <c r="G42" s="101">
        <f t="shared" ref="G41:G50" si="3">SUM(C42:F42)</f>
        <v>14300</v>
      </c>
      <c r="H42" s="102">
        <f t="shared" ref="H42:H50" si="4">(G42/SUM($G$41:$G$50))</f>
        <v>0.24352861035422343</v>
      </c>
      <c r="I42" s="103">
        <f>I41+H42</f>
        <v>0.50408719346049047</v>
      </c>
      <c r="J42" s="107" t="str">
        <f t="shared" ref="J42:J50" si="5">IF(I42&lt;80%,"A",IF(I42&lt;95%,"B","C"))</f>
        <v>A</v>
      </c>
      <c r="K42" s="105">
        <f>STDEV(C42:F42)</f>
        <v>309.56959368344513</v>
      </c>
      <c r="L42" s="106">
        <f t="shared" ref="L42:L50" si="6">K42/AVERAGE(C42:F42)</f>
        <v>8.6592893338026611E-2</v>
      </c>
      <c r="M42" s="107" t="str">
        <f t="shared" ref="M42:M50" si="7">IF(L42&lt;10%,"X",IF(L42&lt;25%,"Y","Z"))</f>
        <v>X</v>
      </c>
      <c r="N42" s="107" t="s">
        <v>46</v>
      </c>
    </row>
    <row r="43" spans="1:14" ht="15.75" x14ac:dyDescent="0.25">
      <c r="A43" s="58">
        <v>4</v>
      </c>
      <c r="B43" s="58">
        <v>1900</v>
      </c>
      <c r="C43" s="58">
        <v>3300</v>
      </c>
      <c r="D43" s="58">
        <v>1000</v>
      </c>
      <c r="E43" s="58">
        <v>1500</v>
      </c>
      <c r="F43" s="58">
        <v>2000</v>
      </c>
      <c r="G43" s="101">
        <f t="shared" si="3"/>
        <v>7800</v>
      </c>
      <c r="H43" s="102">
        <f t="shared" si="4"/>
        <v>0.13283378746594005</v>
      </c>
      <c r="I43" s="103">
        <f t="shared" ref="I43:I50" si="8">I42+H43</f>
        <v>0.63692098092643046</v>
      </c>
      <c r="J43" s="107" t="str">
        <f t="shared" si="5"/>
        <v>A</v>
      </c>
      <c r="K43" s="105">
        <f t="shared" ref="K43:K50" si="9">STDEV(C43:F43)</f>
        <v>988.26447202490624</v>
      </c>
      <c r="L43" s="106">
        <f t="shared" si="6"/>
        <v>0.50680229334610571</v>
      </c>
      <c r="M43" s="98" t="str">
        <f t="shared" si="7"/>
        <v>Z</v>
      </c>
      <c r="N43" s="108" t="s">
        <v>47</v>
      </c>
    </row>
    <row r="44" spans="1:14" ht="15.75" x14ac:dyDescent="0.25">
      <c r="A44" s="58">
        <v>8</v>
      </c>
      <c r="B44" s="58">
        <v>2500</v>
      </c>
      <c r="C44" s="58">
        <v>400</v>
      </c>
      <c r="D44" s="58">
        <v>1600</v>
      </c>
      <c r="E44" s="58">
        <v>2000</v>
      </c>
      <c r="F44" s="58">
        <v>2900</v>
      </c>
      <c r="G44" s="101">
        <f t="shared" si="3"/>
        <v>6900</v>
      </c>
      <c r="H44" s="102">
        <f t="shared" si="4"/>
        <v>0.11750681198910082</v>
      </c>
      <c r="I44" s="103">
        <f t="shared" si="8"/>
        <v>0.7544277929155313</v>
      </c>
      <c r="J44" s="107" t="str">
        <f t="shared" si="5"/>
        <v>A</v>
      </c>
      <c r="K44" s="105">
        <f t="shared" si="9"/>
        <v>1037.2238588334408</v>
      </c>
      <c r="L44" s="106">
        <f t="shared" si="6"/>
        <v>0.60128919352663235</v>
      </c>
      <c r="M44" s="98" t="str">
        <f t="shared" si="7"/>
        <v>Z</v>
      </c>
      <c r="N44" s="108" t="s">
        <v>47</v>
      </c>
    </row>
    <row r="45" spans="1:14" ht="15.75" x14ac:dyDescent="0.25">
      <c r="A45" s="58">
        <v>7</v>
      </c>
      <c r="B45" s="58">
        <v>900</v>
      </c>
      <c r="C45" s="58">
        <v>1400</v>
      </c>
      <c r="D45" s="58">
        <v>1040</v>
      </c>
      <c r="E45" s="58">
        <v>1200</v>
      </c>
      <c r="F45" s="58">
        <v>1300</v>
      </c>
      <c r="G45" s="101">
        <f t="shared" si="3"/>
        <v>4940</v>
      </c>
      <c r="H45" s="102">
        <f t="shared" si="4"/>
        <v>8.4128065395095361E-2</v>
      </c>
      <c r="I45" s="103">
        <f t="shared" si="8"/>
        <v>0.83855585831062662</v>
      </c>
      <c r="J45" s="108" t="str">
        <f t="shared" si="5"/>
        <v>B</v>
      </c>
      <c r="K45" s="105">
        <f t="shared" si="9"/>
        <v>153.51438586225939</v>
      </c>
      <c r="L45" s="106">
        <f t="shared" si="6"/>
        <v>0.12430314644717359</v>
      </c>
      <c r="M45" s="108" t="str">
        <f t="shared" si="7"/>
        <v>Y</v>
      </c>
      <c r="N45" s="108" t="s">
        <v>48</v>
      </c>
    </row>
    <row r="46" spans="1:14" ht="15.75" x14ac:dyDescent="0.25">
      <c r="A46" s="58">
        <v>10</v>
      </c>
      <c r="B46" s="58">
        <v>690</v>
      </c>
      <c r="C46" s="58">
        <v>700</v>
      </c>
      <c r="D46" s="58">
        <v>1000</v>
      </c>
      <c r="E46" s="58">
        <v>1100</v>
      </c>
      <c r="F46" s="58">
        <v>800</v>
      </c>
      <c r="G46" s="101">
        <f t="shared" si="3"/>
        <v>3600</v>
      </c>
      <c r="H46" s="102">
        <f t="shared" si="4"/>
        <v>6.1307901907356951E-2</v>
      </c>
      <c r="I46" s="103">
        <f t="shared" si="8"/>
        <v>0.89986376021798353</v>
      </c>
      <c r="J46" s="108" t="str">
        <f t="shared" si="5"/>
        <v>B</v>
      </c>
      <c r="K46" s="105">
        <f t="shared" si="9"/>
        <v>182.57418583505537</v>
      </c>
      <c r="L46" s="106">
        <f t="shared" si="6"/>
        <v>0.20286020648339487</v>
      </c>
      <c r="M46" s="108" t="str">
        <f t="shared" si="7"/>
        <v>Y</v>
      </c>
      <c r="N46" s="108" t="s">
        <v>48</v>
      </c>
    </row>
    <row r="47" spans="1:14" ht="15.75" x14ac:dyDescent="0.25">
      <c r="A47" s="58">
        <v>3</v>
      </c>
      <c r="B47" s="58">
        <v>200</v>
      </c>
      <c r="C47" s="58">
        <v>500</v>
      </c>
      <c r="D47" s="58">
        <v>600</v>
      </c>
      <c r="E47" s="58">
        <v>400</v>
      </c>
      <c r="F47" s="58">
        <v>900</v>
      </c>
      <c r="G47" s="101">
        <f t="shared" si="3"/>
        <v>2400</v>
      </c>
      <c r="H47" s="102">
        <f t="shared" si="4"/>
        <v>4.0871934604904632E-2</v>
      </c>
      <c r="I47" s="103">
        <f t="shared" si="8"/>
        <v>0.94073569482288821</v>
      </c>
      <c r="J47" s="108" t="str">
        <f t="shared" si="5"/>
        <v>B</v>
      </c>
      <c r="K47" s="105">
        <f t="shared" si="9"/>
        <v>216.02468994692867</v>
      </c>
      <c r="L47" s="106">
        <f t="shared" si="6"/>
        <v>0.36004114991154779</v>
      </c>
      <c r="M47" s="98" t="str">
        <f t="shared" si="7"/>
        <v>Z</v>
      </c>
      <c r="N47" s="98" t="s">
        <v>49</v>
      </c>
    </row>
    <row r="48" spans="1:14" ht="15.75" x14ac:dyDescent="0.25">
      <c r="A48" s="58">
        <v>6</v>
      </c>
      <c r="B48" s="58">
        <v>450</v>
      </c>
      <c r="C48" s="58">
        <v>450</v>
      </c>
      <c r="D48" s="58">
        <v>490</v>
      </c>
      <c r="E48" s="58">
        <v>460</v>
      </c>
      <c r="F48" s="58">
        <v>480</v>
      </c>
      <c r="G48" s="101">
        <f t="shared" si="3"/>
        <v>1880</v>
      </c>
      <c r="H48" s="102">
        <f t="shared" si="4"/>
        <v>3.2016348773841963E-2</v>
      </c>
      <c r="I48" s="103">
        <f t="shared" si="8"/>
        <v>0.97275204359673018</v>
      </c>
      <c r="J48" s="98" t="str">
        <f t="shared" si="5"/>
        <v>C</v>
      </c>
      <c r="K48" s="105">
        <f t="shared" si="9"/>
        <v>18.257418583505537</v>
      </c>
      <c r="L48" s="106">
        <f t="shared" si="6"/>
        <v>3.8845571454267099E-2</v>
      </c>
      <c r="M48" s="107" t="str">
        <f t="shared" si="7"/>
        <v>X</v>
      </c>
      <c r="N48" s="108" t="s">
        <v>50</v>
      </c>
    </row>
    <row r="49" spans="1:14" ht="15.75" x14ac:dyDescent="0.25">
      <c r="A49" s="58">
        <v>2</v>
      </c>
      <c r="B49" s="58">
        <v>150</v>
      </c>
      <c r="C49" s="58">
        <v>240</v>
      </c>
      <c r="D49" s="58">
        <v>300</v>
      </c>
      <c r="E49" s="58">
        <v>340</v>
      </c>
      <c r="F49" s="58">
        <v>400</v>
      </c>
      <c r="G49" s="101">
        <f t="shared" si="3"/>
        <v>1280</v>
      </c>
      <c r="H49" s="102">
        <f t="shared" si="4"/>
        <v>2.1798365122615803E-2</v>
      </c>
      <c r="I49" s="103">
        <f t="shared" si="8"/>
        <v>0.99455040871934597</v>
      </c>
      <c r="J49" s="98" t="str">
        <f t="shared" si="5"/>
        <v>C</v>
      </c>
      <c r="K49" s="105">
        <f t="shared" si="9"/>
        <v>67.330032922413849</v>
      </c>
      <c r="L49" s="106">
        <f t="shared" si="6"/>
        <v>0.21040635288254328</v>
      </c>
      <c r="M49" s="108" t="str">
        <f t="shared" si="7"/>
        <v>Y</v>
      </c>
      <c r="N49" s="98" t="s">
        <v>51</v>
      </c>
    </row>
    <row r="50" spans="1:14" ht="15.75" x14ac:dyDescent="0.25">
      <c r="A50" s="58">
        <v>5</v>
      </c>
      <c r="B50" s="58">
        <v>150</v>
      </c>
      <c r="C50" s="58">
        <v>50</v>
      </c>
      <c r="D50" s="58">
        <v>70</v>
      </c>
      <c r="E50" s="58">
        <v>180</v>
      </c>
      <c r="F50" s="58">
        <v>20</v>
      </c>
      <c r="G50" s="101">
        <f t="shared" si="3"/>
        <v>320</v>
      </c>
      <c r="H50" s="102">
        <f t="shared" si="4"/>
        <v>5.4495912806539508E-3</v>
      </c>
      <c r="I50" s="103">
        <f t="shared" si="8"/>
        <v>0.99999999999999989</v>
      </c>
      <c r="J50" s="98" t="str">
        <f t="shared" si="5"/>
        <v>C</v>
      </c>
      <c r="K50" s="105">
        <f t="shared" si="9"/>
        <v>69.761498454854504</v>
      </c>
      <c r="L50" s="106">
        <f t="shared" si="6"/>
        <v>0.87201873068568125</v>
      </c>
      <c r="M50" s="98" t="str">
        <f t="shared" si="7"/>
        <v>Z</v>
      </c>
      <c r="N50" s="98" t="s">
        <v>52</v>
      </c>
    </row>
    <row r="54" spans="1:14" ht="15.75" x14ac:dyDescent="0.25">
      <c r="A54" s="93"/>
      <c r="B54" s="93"/>
      <c r="C54" s="94"/>
      <c r="D54" s="94"/>
      <c r="E54" s="94"/>
    </row>
    <row r="55" spans="1:14" ht="15.75" x14ac:dyDescent="0.25">
      <c r="A55" s="93"/>
      <c r="B55" s="93"/>
      <c r="C55" s="95"/>
      <c r="D55" s="96"/>
      <c r="E55" s="97"/>
    </row>
    <row r="56" spans="1:14" ht="15.75" x14ac:dyDescent="0.25">
      <c r="A56" s="93"/>
      <c r="B56" s="93"/>
      <c r="C56" s="95"/>
      <c r="D56" s="96"/>
      <c r="E56" s="97"/>
    </row>
    <row r="57" spans="1:14" ht="15.75" x14ac:dyDescent="0.25">
      <c r="A57" s="93"/>
      <c r="B57" s="93"/>
      <c r="C57" s="95"/>
      <c r="D57" s="96"/>
      <c r="E57" s="97"/>
    </row>
    <row r="58" spans="1:14" ht="15.75" x14ac:dyDescent="0.25">
      <c r="A58" s="93"/>
      <c r="B58" s="93"/>
      <c r="C58" s="95"/>
      <c r="D58" s="96"/>
      <c r="E58" s="97"/>
    </row>
    <row r="59" spans="1:14" ht="15.75" x14ac:dyDescent="0.25">
      <c r="A59" s="93"/>
      <c r="B59" s="93"/>
      <c r="C59" s="95"/>
      <c r="D59" s="96"/>
      <c r="E59" s="97"/>
    </row>
    <row r="60" spans="1:14" ht="15.75" x14ac:dyDescent="0.25">
      <c r="A60" s="93"/>
      <c r="B60" s="93"/>
      <c r="C60" s="95"/>
      <c r="D60" s="96"/>
      <c r="E60" s="97"/>
    </row>
    <row r="61" spans="1:14" ht="15.75" x14ac:dyDescent="0.25">
      <c r="A61" s="93"/>
      <c r="B61" s="93"/>
      <c r="C61" s="95"/>
      <c r="D61" s="96"/>
      <c r="E61" s="97"/>
    </row>
    <row r="62" spans="1:14" ht="15.75" x14ac:dyDescent="0.25">
      <c r="A62" s="93"/>
      <c r="B62" s="93"/>
      <c r="C62" s="95"/>
      <c r="D62" s="96"/>
      <c r="E62" s="97"/>
    </row>
    <row r="63" spans="1:14" ht="15.75" x14ac:dyDescent="0.25">
      <c r="A63" s="93"/>
      <c r="B63" s="93"/>
      <c r="C63" s="95"/>
      <c r="D63" s="96"/>
      <c r="E63" s="97"/>
    </row>
    <row r="64" spans="1:14" ht="15.75" x14ac:dyDescent="0.25">
      <c r="A64" s="93"/>
      <c r="B64" s="93"/>
      <c r="C64" s="95"/>
      <c r="D64" s="96"/>
      <c r="E64" s="97"/>
    </row>
  </sheetData>
  <sortState ref="A40:G50">
    <sortCondition descending="1" ref="G40:G5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topLeftCell="A10" zoomScale="90" zoomScaleNormal="90" workbookViewId="0">
      <selection activeCell="B10" sqref="B10:B16"/>
    </sheetView>
  </sheetViews>
  <sheetFormatPr defaultRowHeight="15" x14ac:dyDescent="0.25"/>
  <cols>
    <col min="2" max="2" width="37" customWidth="1"/>
    <col min="3" max="3" width="14.140625" customWidth="1"/>
    <col min="4" max="4" width="11.42578125" customWidth="1"/>
  </cols>
  <sheetData>
    <row r="1" spans="2:3" ht="15.75" x14ac:dyDescent="0.25">
      <c r="B1" s="21" t="s">
        <v>207</v>
      </c>
      <c r="C1" s="22"/>
    </row>
    <row r="2" spans="2:3" ht="15.75" x14ac:dyDescent="0.25">
      <c r="B2" s="22"/>
      <c r="C2" s="22"/>
    </row>
    <row r="3" spans="2:3" ht="15.75" x14ac:dyDescent="0.25">
      <c r="B3" s="22" t="s">
        <v>208</v>
      </c>
      <c r="C3" s="22"/>
    </row>
    <row r="4" spans="2:3" ht="15.75" x14ac:dyDescent="0.25">
      <c r="B4" s="104" t="s">
        <v>146</v>
      </c>
      <c r="C4" s="104" t="s">
        <v>209</v>
      </c>
    </row>
    <row r="5" spans="2:3" ht="15.75" x14ac:dyDescent="0.25">
      <c r="B5" s="111" t="s">
        <v>210</v>
      </c>
      <c r="C5" s="114">
        <v>4879</v>
      </c>
    </row>
    <row r="6" spans="2:3" ht="15.75" x14ac:dyDescent="0.25">
      <c r="B6" s="111" t="s">
        <v>211</v>
      </c>
      <c r="C6" s="114">
        <v>25621</v>
      </c>
    </row>
    <row r="7" spans="2:3" ht="15.75" x14ac:dyDescent="0.25">
      <c r="B7" s="111" t="s">
        <v>212</v>
      </c>
      <c r="C7" s="114">
        <v>32793</v>
      </c>
    </row>
    <row r="8" spans="2:3" ht="15.75" x14ac:dyDescent="0.25">
      <c r="B8" s="111" t="s">
        <v>213</v>
      </c>
      <c r="C8" s="114">
        <v>45879</v>
      </c>
    </row>
    <row r="9" spans="2:3" ht="15.75" x14ac:dyDescent="0.25">
      <c r="B9" s="110"/>
      <c r="C9" s="110"/>
    </row>
    <row r="10" spans="2:3" ht="31.5" x14ac:dyDescent="0.25">
      <c r="B10" s="112" t="s">
        <v>214</v>
      </c>
      <c r="C10" s="115">
        <f>C6/C8</f>
        <v>0.55844721986093859</v>
      </c>
    </row>
    <row r="11" spans="2:3" ht="15.75" x14ac:dyDescent="0.25">
      <c r="B11" s="22"/>
      <c r="C11" s="22"/>
    </row>
    <row r="12" spans="2:3" ht="15.75" x14ac:dyDescent="0.25">
      <c r="B12" s="112" t="s">
        <v>215</v>
      </c>
      <c r="C12" s="115">
        <f>C7/C8</f>
        <v>0.7147714640685281</v>
      </c>
    </row>
    <row r="13" spans="2:3" ht="15.75" x14ac:dyDescent="0.25">
      <c r="B13" s="22"/>
      <c r="C13" s="22"/>
    </row>
    <row r="14" spans="2:3" ht="31.5" x14ac:dyDescent="0.25">
      <c r="B14" s="113" t="s">
        <v>216</v>
      </c>
      <c r="C14" s="22">
        <f>C7*C5/(C7-C6)</f>
        <v>22308.567624093699</v>
      </c>
    </row>
    <row r="15" spans="2:3" ht="15.75" x14ac:dyDescent="0.25">
      <c r="B15" s="22"/>
      <c r="C15" s="22"/>
    </row>
    <row r="16" spans="2:3" ht="31.5" x14ac:dyDescent="0.25">
      <c r="B16" s="113" t="s">
        <v>217</v>
      </c>
      <c r="C16" s="22">
        <f>C5/(C12-C10)</f>
        <v>31210.76979921919</v>
      </c>
    </row>
    <row r="18" spans="2:13" ht="15.75" x14ac:dyDescent="0.25">
      <c r="B18" s="104" t="s">
        <v>218</v>
      </c>
      <c r="C18" s="67">
        <v>0</v>
      </c>
      <c r="D18" s="67">
        <f>C18+0.1</f>
        <v>0.1</v>
      </c>
      <c r="E18" s="67">
        <f t="shared" ref="E18:M18" si="0">D18+0.1</f>
        <v>0.2</v>
      </c>
      <c r="F18" s="67">
        <f t="shared" si="0"/>
        <v>0.30000000000000004</v>
      </c>
      <c r="G18" s="67">
        <f t="shared" si="0"/>
        <v>0.4</v>
      </c>
      <c r="H18" s="67">
        <f t="shared" si="0"/>
        <v>0.5</v>
      </c>
      <c r="I18" s="67">
        <f t="shared" si="0"/>
        <v>0.6</v>
      </c>
      <c r="J18" s="67">
        <f t="shared" si="0"/>
        <v>0.7</v>
      </c>
      <c r="K18" s="67">
        <f t="shared" si="0"/>
        <v>0.79999999999999993</v>
      </c>
      <c r="L18" s="67">
        <f t="shared" si="0"/>
        <v>0.89999999999999991</v>
      </c>
      <c r="M18" s="67">
        <f t="shared" si="0"/>
        <v>0.99999999999999989</v>
      </c>
    </row>
    <row r="19" spans="2:13" ht="15.75" x14ac:dyDescent="0.25">
      <c r="B19" s="113" t="s">
        <v>210</v>
      </c>
      <c r="C19" s="116">
        <f>C5</f>
        <v>4879</v>
      </c>
      <c r="D19" s="116">
        <f>C5</f>
        <v>4879</v>
      </c>
      <c r="E19" s="116">
        <f>C5</f>
        <v>4879</v>
      </c>
      <c r="F19" s="116">
        <f>C5</f>
        <v>4879</v>
      </c>
      <c r="G19" s="116">
        <f>C5</f>
        <v>4879</v>
      </c>
      <c r="H19" s="116">
        <f>C5</f>
        <v>4879</v>
      </c>
      <c r="I19" s="116">
        <f>C5</f>
        <v>4879</v>
      </c>
      <c r="J19" s="116">
        <f>C5</f>
        <v>4879</v>
      </c>
      <c r="K19" s="116">
        <f>C5</f>
        <v>4879</v>
      </c>
      <c r="L19" s="116">
        <f>C5</f>
        <v>4879</v>
      </c>
      <c r="M19" s="116">
        <f>C5</f>
        <v>4879</v>
      </c>
    </row>
    <row r="20" spans="2:13" ht="15.75" x14ac:dyDescent="0.25">
      <c r="B20" s="113" t="s">
        <v>211</v>
      </c>
      <c r="C20" s="116">
        <f>C19</f>
        <v>4879</v>
      </c>
      <c r="D20" s="104">
        <f>C20+((M20-C20)*D18)</f>
        <v>6953.2000000000007</v>
      </c>
      <c r="E20" s="104">
        <f>C20+((M20-C20)*E18)</f>
        <v>9027.4000000000015</v>
      </c>
      <c r="F20" s="104">
        <f>C20+((M20-C20)*F18)</f>
        <v>11101.600000000002</v>
      </c>
      <c r="G20" s="104">
        <f>C20+((M20-C20)*G18)</f>
        <v>13175.800000000001</v>
      </c>
      <c r="H20" s="104">
        <f>C20+((M20-C20)*H18)</f>
        <v>15250</v>
      </c>
      <c r="I20" s="104">
        <f>C20+((M20-C20)*I18)</f>
        <v>17324.199999999997</v>
      </c>
      <c r="J20" s="104">
        <f>C20+((M20-C20)*J18)</f>
        <v>19398.400000000001</v>
      </c>
      <c r="K20" s="104">
        <f>C20+((M20-C20)*K18)</f>
        <v>21472.6</v>
      </c>
      <c r="L20" s="104">
        <f>C20+((M20-C20)*L18)</f>
        <v>23546.799999999999</v>
      </c>
      <c r="M20" s="116">
        <f t="shared" ref="M20:M21" si="1">C6</f>
        <v>25621</v>
      </c>
    </row>
    <row r="21" spans="2:13" ht="15.75" x14ac:dyDescent="0.25">
      <c r="B21" s="113" t="s">
        <v>212</v>
      </c>
      <c r="C21" s="104"/>
      <c r="D21" s="104">
        <f>C21+((M21-C21)*D18)</f>
        <v>3279.3</v>
      </c>
      <c r="E21" s="104">
        <f>C21+((M21-C21)*E18)</f>
        <v>6558.6</v>
      </c>
      <c r="F21" s="104">
        <f>C21+((M21-C21)*F18)</f>
        <v>9837.9000000000015</v>
      </c>
      <c r="G21" s="104">
        <f>C21+((M21-C21)*G18)</f>
        <v>13117.2</v>
      </c>
      <c r="H21" s="104">
        <f>C21+((M21-C21)*H18)</f>
        <v>16396.5</v>
      </c>
      <c r="I21" s="104">
        <f>C21+((M21-C21)*I18)</f>
        <v>19675.8</v>
      </c>
      <c r="J21" s="104">
        <f>C21+((M21-C21)*J18)</f>
        <v>22955.1</v>
      </c>
      <c r="K21" s="104">
        <f>C21+((M21-C21)*K18)</f>
        <v>26234.399999999998</v>
      </c>
      <c r="L21" s="104">
        <f>C21+((M21-C21)*L18)</f>
        <v>29513.699999999997</v>
      </c>
      <c r="M21" s="116">
        <f t="shared" si="1"/>
        <v>32793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opLeftCell="A17" zoomScale="90" zoomScaleNormal="90" workbookViewId="0">
      <selection activeCell="N18" sqref="N18"/>
    </sheetView>
  </sheetViews>
  <sheetFormatPr defaultRowHeight="15" x14ac:dyDescent="0.25"/>
  <cols>
    <col min="1" max="1" width="9.140625" style="109"/>
    <col min="2" max="2" width="33.28515625" style="109" customWidth="1"/>
    <col min="3" max="3" width="10.5703125" style="109" customWidth="1"/>
    <col min="4" max="4" width="11.28515625" style="109" bestFit="1" customWidth="1"/>
    <col min="5" max="5" width="31.5703125" style="109" customWidth="1"/>
    <col min="6" max="6" width="11.140625" style="109" customWidth="1"/>
    <col min="7" max="7" width="11.5703125" style="109" customWidth="1"/>
    <col min="8" max="8" width="11.140625" style="109" customWidth="1"/>
    <col min="9" max="9" width="12.42578125" style="109" customWidth="1"/>
    <col min="10" max="10" width="13" style="109" customWidth="1"/>
    <col min="11" max="11" width="11.85546875" style="109" customWidth="1"/>
    <col min="12" max="12" width="12.5703125" style="109" customWidth="1"/>
    <col min="13" max="13" width="12" style="109" customWidth="1"/>
    <col min="14" max="16384" width="9.140625" style="109"/>
  </cols>
  <sheetData>
    <row r="1" spans="2:13" ht="31.5" x14ac:dyDescent="0.25">
      <c r="B1" s="100" t="s">
        <v>207</v>
      </c>
      <c r="C1" s="100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2:13" ht="15.75" x14ac:dyDescent="0.25">
      <c r="B2" s="100"/>
      <c r="C2" s="100"/>
      <c r="D2" s="121"/>
      <c r="E2" s="121"/>
      <c r="F2" s="121"/>
      <c r="G2" s="121"/>
      <c r="H2" s="121"/>
      <c r="I2" s="121"/>
      <c r="J2" s="121"/>
      <c r="K2" s="121"/>
      <c r="L2" s="121"/>
      <c r="M2" s="121"/>
    </row>
    <row r="3" spans="2:13" ht="40.5" customHeight="1" x14ac:dyDescent="0.25">
      <c r="B3" s="100" t="s">
        <v>208</v>
      </c>
      <c r="C3" s="100"/>
      <c r="D3" s="121"/>
      <c r="E3" s="112" t="s">
        <v>214</v>
      </c>
      <c r="F3" s="122">
        <f>C6/C8</f>
        <v>500</v>
      </c>
      <c r="G3" s="121"/>
      <c r="H3" s="121"/>
      <c r="I3" s="121"/>
      <c r="J3" s="121"/>
      <c r="K3" s="121"/>
      <c r="L3" s="121"/>
      <c r="M3" s="121"/>
    </row>
    <row r="4" spans="2:13" ht="31.5" x14ac:dyDescent="0.25">
      <c r="B4" s="86" t="s">
        <v>146</v>
      </c>
      <c r="C4" s="86" t="s">
        <v>209</v>
      </c>
      <c r="D4" s="121"/>
      <c r="E4" s="22"/>
      <c r="F4" s="100"/>
      <c r="G4" s="121"/>
      <c r="H4" s="121"/>
      <c r="I4" s="121"/>
      <c r="J4" s="121"/>
      <c r="K4" s="121"/>
      <c r="L4" s="121"/>
      <c r="M4" s="121"/>
    </row>
    <row r="5" spans="2:13" ht="15.75" x14ac:dyDescent="0.25">
      <c r="B5" s="117" t="s">
        <v>210</v>
      </c>
      <c r="C5" s="119">
        <v>15000</v>
      </c>
      <c r="D5" s="121"/>
      <c r="E5" s="112" t="s">
        <v>215</v>
      </c>
      <c r="F5" s="122">
        <f>C7/C8</f>
        <v>2000</v>
      </c>
      <c r="G5" s="121"/>
      <c r="H5" s="121"/>
      <c r="I5" s="121"/>
      <c r="J5" s="121"/>
      <c r="K5" s="121"/>
      <c r="L5" s="121"/>
      <c r="M5" s="121"/>
    </row>
    <row r="6" spans="2:13" ht="15.75" x14ac:dyDescent="0.25">
      <c r="B6" s="117" t="s">
        <v>211</v>
      </c>
      <c r="C6" s="119">
        <v>25000</v>
      </c>
      <c r="D6" s="121"/>
      <c r="E6" s="22"/>
      <c r="F6" s="100"/>
      <c r="G6" s="121"/>
      <c r="H6" s="121"/>
      <c r="I6" s="121"/>
      <c r="J6" s="121"/>
      <c r="K6" s="121"/>
      <c r="L6" s="121"/>
      <c r="M6" s="121"/>
    </row>
    <row r="7" spans="2:13" ht="31.5" customHeight="1" x14ac:dyDescent="0.25">
      <c r="B7" s="117" t="s">
        <v>212</v>
      </c>
      <c r="C7" s="119">
        <v>100000</v>
      </c>
      <c r="D7" s="121"/>
      <c r="E7" s="113" t="s">
        <v>216</v>
      </c>
      <c r="F7" s="100">
        <f>C7*C5/(C7-C6)</f>
        <v>20000</v>
      </c>
      <c r="G7" s="121"/>
      <c r="H7" s="121"/>
      <c r="I7" s="121"/>
      <c r="J7" s="121"/>
      <c r="K7" s="121"/>
      <c r="L7" s="121"/>
      <c r="M7" s="121"/>
    </row>
    <row r="8" spans="2:13" ht="15.75" x14ac:dyDescent="0.25">
      <c r="B8" s="117" t="s">
        <v>213</v>
      </c>
      <c r="C8" s="119">
        <v>50</v>
      </c>
      <c r="D8" s="121"/>
      <c r="E8" s="22"/>
      <c r="F8" s="100"/>
      <c r="G8" s="121"/>
      <c r="H8" s="121"/>
      <c r="I8" s="121"/>
      <c r="J8" s="121"/>
      <c r="K8" s="121"/>
      <c r="L8" s="121"/>
      <c r="M8" s="121"/>
    </row>
    <row r="9" spans="2:13" ht="37.5" customHeight="1" x14ac:dyDescent="0.25">
      <c r="B9" s="117"/>
      <c r="C9" s="117"/>
      <c r="D9" s="121"/>
      <c r="E9" s="113" t="s">
        <v>217</v>
      </c>
      <c r="F9" s="100">
        <f>C5/(F5-F3)</f>
        <v>10</v>
      </c>
      <c r="G9" s="121"/>
      <c r="H9" s="121"/>
      <c r="I9" s="121"/>
      <c r="J9" s="121"/>
      <c r="K9" s="121"/>
      <c r="L9" s="121"/>
      <c r="M9" s="121"/>
    </row>
    <row r="10" spans="2:13" x14ac:dyDescent="0.25">
      <c r="D10" s="121"/>
      <c r="E10" s="121"/>
      <c r="F10" s="121"/>
      <c r="G10" s="121"/>
      <c r="H10" s="121"/>
      <c r="I10" s="121"/>
      <c r="J10" s="121"/>
      <c r="K10" s="121"/>
      <c r="L10" s="121"/>
      <c r="M10" s="121"/>
    </row>
    <row r="11" spans="2:13" ht="15.75" x14ac:dyDescent="0.25">
      <c r="B11" s="86" t="s">
        <v>218</v>
      </c>
      <c r="C11" s="123">
        <v>0</v>
      </c>
      <c r="D11" s="123">
        <f>C11+0.1</f>
        <v>0.1</v>
      </c>
      <c r="E11" s="123">
        <f t="shared" ref="E11:M11" si="0">D11+0.1</f>
        <v>0.2</v>
      </c>
      <c r="F11" s="123">
        <f t="shared" si="0"/>
        <v>0.30000000000000004</v>
      </c>
      <c r="G11" s="123">
        <f t="shared" si="0"/>
        <v>0.4</v>
      </c>
      <c r="H11" s="123">
        <f t="shared" si="0"/>
        <v>0.5</v>
      </c>
      <c r="I11" s="123">
        <f t="shared" si="0"/>
        <v>0.6</v>
      </c>
      <c r="J11" s="123">
        <f t="shared" si="0"/>
        <v>0.7</v>
      </c>
      <c r="K11" s="123">
        <f t="shared" si="0"/>
        <v>0.79999999999999993</v>
      </c>
      <c r="L11" s="123">
        <f t="shared" si="0"/>
        <v>0.89999999999999991</v>
      </c>
      <c r="M11" s="123">
        <f t="shared" si="0"/>
        <v>0.99999999999999989</v>
      </c>
    </row>
    <row r="12" spans="2:13" ht="15.75" x14ac:dyDescent="0.25">
      <c r="B12" s="86" t="s">
        <v>210</v>
      </c>
      <c r="C12" s="120">
        <f>C5</f>
        <v>15000</v>
      </c>
      <c r="D12" s="120">
        <f>C5</f>
        <v>15000</v>
      </c>
      <c r="E12" s="120">
        <f>C5</f>
        <v>15000</v>
      </c>
      <c r="F12" s="120">
        <f>C5</f>
        <v>15000</v>
      </c>
      <c r="G12" s="120">
        <f>C5</f>
        <v>15000</v>
      </c>
      <c r="H12" s="120">
        <f>C5</f>
        <v>15000</v>
      </c>
      <c r="I12" s="120">
        <f>C5</f>
        <v>15000</v>
      </c>
      <c r="J12" s="120">
        <f>C5</f>
        <v>15000</v>
      </c>
      <c r="K12" s="120">
        <f>C5</f>
        <v>15000</v>
      </c>
      <c r="L12" s="120">
        <f>C5</f>
        <v>15000</v>
      </c>
      <c r="M12" s="120">
        <f>C5</f>
        <v>15000</v>
      </c>
    </row>
    <row r="13" spans="2:13" ht="15.75" x14ac:dyDescent="0.25">
      <c r="B13" s="86" t="s">
        <v>211</v>
      </c>
      <c r="C13" s="120"/>
      <c r="D13" s="140">
        <f>M13*D11</f>
        <v>2500</v>
      </c>
      <c r="E13" s="140">
        <f>M13*E11</f>
        <v>5000</v>
      </c>
      <c r="F13" s="140">
        <f>M13*F11</f>
        <v>7500.0000000000009</v>
      </c>
      <c r="G13" s="140">
        <f>M13*G11</f>
        <v>10000</v>
      </c>
      <c r="H13" s="140">
        <f>M13*H11</f>
        <v>12500</v>
      </c>
      <c r="I13" s="140">
        <f>M13*I11</f>
        <v>15000</v>
      </c>
      <c r="J13" s="140">
        <f>M13*J11</f>
        <v>17500</v>
      </c>
      <c r="K13" s="140">
        <f>M13*K11</f>
        <v>20000</v>
      </c>
      <c r="L13" s="140">
        <f>M13*L11</f>
        <v>22499.999999999996</v>
      </c>
      <c r="M13" s="120">
        <f>C6</f>
        <v>25000</v>
      </c>
    </row>
    <row r="14" spans="2:13" ht="15.75" x14ac:dyDescent="0.25">
      <c r="B14" s="86" t="s">
        <v>212</v>
      </c>
      <c r="C14" s="86"/>
      <c r="D14" s="140">
        <f>M14*D11</f>
        <v>10000</v>
      </c>
      <c r="E14" s="140">
        <f>M14*E11</f>
        <v>20000</v>
      </c>
      <c r="F14" s="140">
        <f>M14*F11</f>
        <v>30000.000000000004</v>
      </c>
      <c r="G14" s="140">
        <f>M14*G11</f>
        <v>40000</v>
      </c>
      <c r="H14" s="140">
        <f>M14*H11</f>
        <v>50000</v>
      </c>
      <c r="I14" s="140">
        <f>M14*I11</f>
        <v>60000</v>
      </c>
      <c r="J14" s="140">
        <f>M14*J11</f>
        <v>70000</v>
      </c>
      <c r="K14" s="140">
        <f>M14*K11</f>
        <v>80000</v>
      </c>
      <c r="L14" s="140">
        <f>M14*L11</f>
        <v>89999.999999999985</v>
      </c>
      <c r="M14" s="120">
        <f>C7</f>
        <v>100000</v>
      </c>
    </row>
    <row r="15" spans="2:13" ht="15.75" x14ac:dyDescent="0.25">
      <c r="B15" s="104" t="s">
        <v>220</v>
      </c>
      <c r="C15" s="101">
        <v>15000</v>
      </c>
      <c r="D15" s="125">
        <f>D12+D13</f>
        <v>17500</v>
      </c>
      <c r="E15" s="125">
        <f>E12+E13</f>
        <v>20000</v>
      </c>
      <c r="F15" s="125">
        <f t="shared" ref="F15:M15" si="1">F12+F13</f>
        <v>22500</v>
      </c>
      <c r="G15" s="125">
        <f t="shared" si="1"/>
        <v>25000</v>
      </c>
      <c r="H15" s="125">
        <f t="shared" si="1"/>
        <v>27500</v>
      </c>
      <c r="I15" s="125">
        <f t="shared" si="1"/>
        <v>30000</v>
      </c>
      <c r="J15" s="125">
        <f t="shared" si="1"/>
        <v>32500</v>
      </c>
      <c r="K15" s="125">
        <f t="shared" si="1"/>
        <v>35000</v>
      </c>
      <c r="L15" s="125">
        <f t="shared" si="1"/>
        <v>37500</v>
      </c>
      <c r="M15" s="125">
        <f t="shared" si="1"/>
        <v>40000</v>
      </c>
    </row>
    <row r="16" spans="2:13" ht="15.75" x14ac:dyDescent="0.25">
      <c r="B16" s="104" t="s">
        <v>219</v>
      </c>
      <c r="C16" s="101"/>
      <c r="D16" s="125">
        <f>M16*D11</f>
        <v>5</v>
      </c>
      <c r="E16" s="125">
        <f>M16*E11</f>
        <v>10</v>
      </c>
      <c r="F16" s="125">
        <f>M16*F11</f>
        <v>15.000000000000002</v>
      </c>
      <c r="G16" s="125">
        <f>M16*G11</f>
        <v>20</v>
      </c>
      <c r="H16" s="125">
        <f>M16*H11</f>
        <v>25</v>
      </c>
      <c r="I16" s="125">
        <f>M16*J11</f>
        <v>35</v>
      </c>
      <c r="J16" s="125">
        <f>M16*K11</f>
        <v>40</v>
      </c>
      <c r="K16" s="125">
        <f>M16*L11</f>
        <v>44.999999999999993</v>
      </c>
      <c r="L16" s="125">
        <f>M16*L11</f>
        <v>44.999999999999993</v>
      </c>
      <c r="M16" s="118">
        <f>C8</f>
        <v>50</v>
      </c>
    </row>
    <row r="17" spans="2:13" x14ac:dyDescent="0.25"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</vt:i4>
      </vt:variant>
    </vt:vector>
  </HeadingPairs>
  <TitlesOfParts>
    <vt:vector size="14" baseType="lpstr">
      <vt:lpstr>Лист1(1)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'Лист1(1)'!Извлечь</vt:lpstr>
      <vt:lpstr>Лист2!Извлечь</vt:lpstr>
      <vt:lpstr>'Лист1(1)'!Критерии</vt:lpstr>
      <vt:lpstr>Лист2!Критерии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Acer</cp:lastModifiedBy>
  <dcterms:created xsi:type="dcterms:W3CDTF">2016-03-23T19:09:38Z</dcterms:created>
  <dcterms:modified xsi:type="dcterms:W3CDTF">2019-11-12T22:29:46Z</dcterms:modified>
</cp:coreProperties>
</file>