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87" activeTab="11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4.2" sheetId="5" r:id="rId5"/>
    <sheet name="Задача 5" sheetId="6" r:id="rId6"/>
    <sheet name="Задача 6" sheetId="7" r:id="rId7"/>
    <sheet name="Задача 6.2" sheetId="8" r:id="rId8"/>
    <sheet name="Задача 7" sheetId="9" r:id="rId9"/>
    <sheet name="Задача 8" sheetId="10" r:id="rId10"/>
    <sheet name="Задача 9" sheetId="11" state="hidden" r:id="rId11"/>
    <sheet name="Задача 9(1)" sheetId="13" r:id="rId12"/>
    <sheet name="Лист3" sheetId="14" state="hidden" r:id="rId13"/>
  </sheets>
  <externalReferences>
    <externalReference r:id="rId14"/>
  </externalReferences>
  <definedNames>
    <definedName name="solver_adj" localSheetId="10" hidden="1">'Задача 9'!$L$2:$L$13</definedName>
    <definedName name="solver_cvg" localSheetId="10" hidden="1">0.0001</definedName>
    <definedName name="solver_drv" localSheetId="10" hidden="1">2</definedName>
    <definedName name="solver_eng" localSheetId="3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3" hidden="1">1</definedName>
    <definedName name="solver_neg" localSheetId="10" hidden="1">2</definedName>
    <definedName name="solver_nod" localSheetId="10" hidden="1">2147483647</definedName>
    <definedName name="solver_num" localSheetId="3" hidden="1">0</definedName>
    <definedName name="solver_num" localSheetId="10" hidden="1">0</definedName>
    <definedName name="solver_nwt" localSheetId="10" hidden="1">1</definedName>
    <definedName name="solver_opt" localSheetId="3" hidden="1">'Задача 4'!$J$58</definedName>
    <definedName name="solver_opt" localSheetId="10" hidden="1">'Задача 9'!$L$14</definedName>
    <definedName name="solver_pre" localSheetId="10" hidden="1">0.000001</definedName>
    <definedName name="solver_rbv" localSheetId="10" hidden="1">2</definedName>
    <definedName name="solver_rlx" localSheetId="10" hidden="1">2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3" hidden="1">1</definedName>
    <definedName name="solver_typ" localSheetId="10" hidden="1">3</definedName>
    <definedName name="solver_val" localSheetId="3" hidden="1">0</definedName>
    <definedName name="solver_val" localSheetId="10" hidden="1">0</definedName>
    <definedName name="solver_ver" localSheetId="3" hidden="1">3</definedName>
    <definedName name="solver_ver" localSheetId="10" hidden="1">3</definedName>
  </definedNames>
  <calcPr calcId="162913"/>
</workbook>
</file>

<file path=xl/calcChain.xml><?xml version="1.0" encoding="utf-8"?>
<calcChain xmlns="http://schemas.openxmlformats.org/spreadsheetml/2006/main">
  <c r="M4" i="13" l="1"/>
  <c r="M5" i="13"/>
  <c r="M2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" i="13"/>
  <c r="M4" i="1"/>
  <c r="L6" i="1"/>
  <c r="K3" i="13"/>
  <c r="K4" i="13"/>
  <c r="K5" i="13"/>
  <c r="K6" i="13"/>
  <c r="K7" i="13"/>
  <c r="K8" i="13"/>
  <c r="K9" i="13"/>
  <c r="K10" i="13"/>
  <c r="K11" i="13"/>
  <c r="K12" i="13"/>
  <c r="K13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3" i="13"/>
  <c r="O14" i="11"/>
  <c r="Z3" i="13"/>
  <c r="Z4" i="13"/>
  <c r="Z5" i="13"/>
  <c r="Z6" i="13"/>
  <c r="Z7" i="13"/>
  <c r="AC7" i="13" s="1"/>
  <c r="Z8" i="13"/>
  <c r="Z9" i="13"/>
  <c r="Z10" i="13"/>
  <c r="Z11" i="13"/>
  <c r="Z12" i="13"/>
  <c r="Z13" i="13"/>
  <c r="Z14" i="13"/>
  <c r="O2" i="11"/>
  <c r="O3" i="11"/>
  <c r="O4" i="11"/>
  <c r="O5" i="11"/>
  <c r="O6" i="11"/>
  <c r="O7" i="11"/>
  <c r="O8" i="11"/>
  <c r="O9" i="11"/>
  <c r="O10" i="11"/>
  <c r="O11" i="11"/>
  <c r="O12" i="11"/>
  <c r="O13" i="11"/>
  <c r="AC12" i="13"/>
  <c r="AC9" i="13"/>
  <c r="AC8" i="13"/>
  <c r="AC4" i="13"/>
  <c r="U4" i="13"/>
  <c r="AC13" i="13"/>
  <c r="AB14" i="13"/>
  <c r="AB10" i="13"/>
  <c r="AC6" i="13"/>
  <c r="AC3" i="13"/>
  <c r="K15" i="11"/>
  <c r="E37" i="13"/>
  <c r="D37" i="13"/>
  <c r="E36" i="13"/>
  <c r="D36" i="13"/>
  <c r="E35" i="13"/>
  <c r="D35" i="13"/>
  <c r="E34" i="13"/>
  <c r="D34" i="13"/>
  <c r="E33" i="13"/>
  <c r="D33" i="13"/>
  <c r="E32" i="13"/>
  <c r="D32" i="13"/>
  <c r="E31" i="13"/>
  <c r="D31" i="13"/>
  <c r="E30" i="13"/>
  <c r="D30" i="13"/>
  <c r="E29" i="13"/>
  <c r="D29" i="13"/>
  <c r="E28" i="13"/>
  <c r="D28" i="13"/>
  <c r="E27" i="13"/>
  <c r="D27" i="13"/>
  <c r="E26" i="13"/>
  <c r="D26" i="13"/>
  <c r="E25" i="13"/>
  <c r="F25" i="13" s="1"/>
  <c r="D25" i="13"/>
  <c r="G25" i="13" s="1"/>
  <c r="E24" i="13"/>
  <c r="F24" i="13" s="1"/>
  <c r="D24" i="13"/>
  <c r="G24" i="13" s="1"/>
  <c r="E23" i="13"/>
  <c r="V12" i="13" s="1"/>
  <c r="D23" i="13"/>
  <c r="G23" i="13" s="1"/>
  <c r="E22" i="13"/>
  <c r="D22" i="13"/>
  <c r="G22" i="13" s="1"/>
  <c r="E21" i="13"/>
  <c r="F21" i="13" s="1"/>
  <c r="D21" i="13"/>
  <c r="G21" i="13" s="1"/>
  <c r="E20" i="13"/>
  <c r="F20" i="13" s="1"/>
  <c r="D20" i="13"/>
  <c r="G20" i="13" s="1"/>
  <c r="E19" i="13"/>
  <c r="V8" i="13" s="1"/>
  <c r="D19" i="13"/>
  <c r="G19" i="13" s="1"/>
  <c r="E18" i="13"/>
  <c r="D18" i="13"/>
  <c r="G18" i="13" s="1"/>
  <c r="E17" i="13"/>
  <c r="F17" i="13" s="1"/>
  <c r="D17" i="13"/>
  <c r="G17" i="13" s="1"/>
  <c r="F16" i="13"/>
  <c r="E16" i="13"/>
  <c r="D16" i="13"/>
  <c r="G16" i="13" s="1"/>
  <c r="E15" i="13"/>
  <c r="F15" i="13" s="1"/>
  <c r="D15" i="13"/>
  <c r="G15" i="13" s="1"/>
  <c r="V14" i="13"/>
  <c r="G14" i="13"/>
  <c r="E14" i="13"/>
  <c r="D14" i="13"/>
  <c r="V13" i="13"/>
  <c r="G13" i="13"/>
  <c r="F13" i="13"/>
  <c r="E13" i="13"/>
  <c r="D13" i="13"/>
  <c r="G12" i="13"/>
  <c r="E12" i="13"/>
  <c r="U13" i="13" s="1"/>
  <c r="D12" i="13"/>
  <c r="V11" i="13"/>
  <c r="E11" i="13"/>
  <c r="F11" i="13" s="1"/>
  <c r="D11" i="13"/>
  <c r="G11" i="13" s="1"/>
  <c r="V10" i="13"/>
  <c r="G10" i="13"/>
  <c r="E10" i="13"/>
  <c r="F10" i="13" s="1"/>
  <c r="D10" i="13"/>
  <c r="G9" i="13"/>
  <c r="F9" i="13"/>
  <c r="E9" i="13"/>
  <c r="U10" i="13" s="1"/>
  <c r="D9" i="13"/>
  <c r="G8" i="13"/>
  <c r="E8" i="13"/>
  <c r="U9" i="13" s="1"/>
  <c r="D8" i="13"/>
  <c r="V7" i="13"/>
  <c r="E7" i="13"/>
  <c r="F7" i="13" s="1"/>
  <c r="D7" i="13"/>
  <c r="G7" i="13" s="1"/>
  <c r="V6" i="13"/>
  <c r="G6" i="13"/>
  <c r="E6" i="13"/>
  <c r="F6" i="13" s="1"/>
  <c r="D6" i="13"/>
  <c r="V5" i="13"/>
  <c r="G5" i="13"/>
  <c r="F5" i="13"/>
  <c r="E5" i="13"/>
  <c r="U6" i="13" s="1"/>
  <c r="D5" i="13"/>
  <c r="V4" i="13"/>
  <c r="G4" i="13"/>
  <c r="E4" i="13"/>
  <c r="U5" i="13" s="1"/>
  <c r="D4" i="13"/>
  <c r="U3" i="13"/>
  <c r="E3" i="13"/>
  <c r="F3" i="13" s="1"/>
  <c r="D3" i="13"/>
  <c r="G3" i="13" s="1"/>
  <c r="E2" i="13"/>
  <c r="F2" i="13" s="1"/>
  <c r="D2" i="13"/>
  <c r="G2" i="13" s="1"/>
  <c r="AB11" i="13" l="1"/>
  <c r="AC11" i="13"/>
  <c r="AC10" i="13"/>
  <c r="AB6" i="13"/>
  <c r="AC5" i="13"/>
  <c r="AC14" i="13"/>
  <c r="AB7" i="13"/>
  <c r="AB4" i="13"/>
  <c r="AB8" i="13"/>
  <c r="AB12" i="13"/>
  <c r="AB5" i="13"/>
  <c r="AB9" i="13"/>
  <c r="AB13" i="13"/>
  <c r="X13" i="13"/>
  <c r="W13" i="13"/>
  <c r="X10" i="13"/>
  <c r="W10" i="13"/>
  <c r="X5" i="13"/>
  <c r="W5" i="13"/>
  <c r="X6" i="13"/>
  <c r="W6" i="13"/>
  <c r="F4" i="13"/>
  <c r="F8" i="13"/>
  <c r="V9" i="13"/>
  <c r="X9" i="13" s="1"/>
  <c r="F12" i="13"/>
  <c r="U14" i="13"/>
  <c r="U7" i="13"/>
  <c r="U11" i="13"/>
  <c r="V3" i="13"/>
  <c r="X3" i="13" s="1"/>
  <c r="U8" i="13"/>
  <c r="U12" i="13"/>
  <c r="F14" i="13"/>
  <c r="F18" i="13"/>
  <c r="F19" i="13"/>
  <c r="F22" i="13"/>
  <c r="F23" i="13"/>
  <c r="AC15" i="13" l="1"/>
  <c r="AC16" i="13"/>
  <c r="AD3" i="13" s="1"/>
  <c r="X12" i="13"/>
  <c r="W12" i="13"/>
  <c r="W9" i="13"/>
  <c r="X4" i="13"/>
  <c r="W4" i="13"/>
  <c r="W11" i="13"/>
  <c r="X11" i="13"/>
  <c r="X14" i="13"/>
  <c r="W14" i="13"/>
  <c r="W3" i="13"/>
  <c r="X8" i="13"/>
  <c r="W8" i="13"/>
  <c r="W7" i="13"/>
  <c r="X7" i="13"/>
  <c r="AD9" i="13" l="1"/>
  <c r="AD6" i="13"/>
  <c r="AD13" i="13"/>
  <c r="AD11" i="13"/>
  <c r="AD8" i="13"/>
  <c r="AD5" i="13"/>
  <c r="AD7" i="13"/>
  <c r="AD12" i="13"/>
  <c r="AD10" i="13"/>
  <c r="AD14" i="13"/>
  <c r="AD4" i="13"/>
  <c r="X15" i="13"/>
  <c r="X16" i="13" s="1"/>
  <c r="Y14" i="13" s="1"/>
  <c r="Y4" i="13" l="1"/>
  <c r="H3" i="13"/>
  <c r="I3" i="13" s="1"/>
  <c r="J3" i="13" s="1"/>
  <c r="C27" i="13"/>
  <c r="C37" i="13"/>
  <c r="H13" i="13"/>
  <c r="I13" i="13" s="1"/>
  <c r="J13" i="13" s="1"/>
  <c r="Y9" i="13"/>
  <c r="Y6" i="13"/>
  <c r="Y3" i="13"/>
  <c r="Y10" i="13"/>
  <c r="Y5" i="13"/>
  <c r="Y13" i="13"/>
  <c r="Y11" i="13"/>
  <c r="Y12" i="13"/>
  <c r="Y8" i="13"/>
  <c r="Y7" i="13"/>
  <c r="AD15" i="13"/>
  <c r="J15" i="11"/>
  <c r="L2" i="11"/>
  <c r="K13" i="11"/>
  <c r="K2" i="11"/>
  <c r="E2" i="11"/>
  <c r="N10" i="10"/>
  <c r="N9" i="10"/>
  <c r="L7" i="10"/>
  <c r="J8" i="10"/>
  <c r="F7" i="10"/>
  <c r="E7" i="10"/>
  <c r="K2" i="9"/>
  <c r="E4" i="9"/>
  <c r="D3" i="9"/>
  <c r="F2" i="8"/>
  <c r="D2" i="8"/>
  <c r="D46" i="4"/>
  <c r="G8" i="4"/>
  <c r="G9" i="4" s="1"/>
  <c r="G10" i="4" s="1"/>
  <c r="G11" i="4" s="1"/>
  <c r="G12" i="4" s="1"/>
  <c r="G13" i="4" s="1"/>
  <c r="G14" i="4" s="1"/>
  <c r="G15" i="4" s="1"/>
  <c r="G7" i="4"/>
  <c r="D9" i="4"/>
  <c r="D10" i="4"/>
  <c r="D11" i="4"/>
  <c r="D12" i="4"/>
  <c r="D13" i="4"/>
  <c r="D14" i="4"/>
  <c r="D15" i="4"/>
  <c r="D16" i="4"/>
  <c r="D4" i="3"/>
  <c r="D5" i="3" s="1"/>
  <c r="D6" i="3" s="1"/>
  <c r="D7" i="3" s="1"/>
  <c r="D8" i="3" s="1"/>
  <c r="D9" i="3" s="1"/>
  <c r="D10" i="3" s="1"/>
  <c r="D11" i="3" s="1"/>
  <c r="D3" i="3"/>
  <c r="C3" i="3"/>
  <c r="C4" i="3"/>
  <c r="C5" i="3"/>
  <c r="C6" i="3"/>
  <c r="C7" i="3"/>
  <c r="C8" i="3"/>
  <c r="C9" i="3"/>
  <c r="C10" i="3"/>
  <c r="C11" i="3"/>
  <c r="G2" i="2"/>
  <c r="F2" i="2"/>
  <c r="E2" i="2"/>
  <c r="D3" i="2"/>
  <c r="D2" i="2"/>
  <c r="C11" i="2"/>
  <c r="C3" i="2"/>
  <c r="C2" i="2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C35" i="13" l="1"/>
  <c r="H11" i="13"/>
  <c r="I11" i="13" s="1"/>
  <c r="J11" i="13" s="1"/>
  <c r="C34" i="13"/>
  <c r="H10" i="13"/>
  <c r="I10" i="13" s="1"/>
  <c r="J10" i="13" s="1"/>
  <c r="Y15" i="13"/>
  <c r="C26" i="13"/>
  <c r="H2" i="13"/>
  <c r="I2" i="13" s="1"/>
  <c r="J2" i="13" s="1"/>
  <c r="C30" i="13"/>
  <c r="H6" i="13"/>
  <c r="I6" i="13" s="1"/>
  <c r="J6" i="13" s="1"/>
  <c r="H12" i="13"/>
  <c r="I12" i="13" s="1"/>
  <c r="J12" i="13" s="1"/>
  <c r="C36" i="13"/>
  <c r="C29" i="13"/>
  <c r="H5" i="13"/>
  <c r="I5" i="13" s="1"/>
  <c r="J5" i="13" s="1"/>
  <c r="C33" i="13"/>
  <c r="H9" i="13"/>
  <c r="I9" i="13" s="1"/>
  <c r="J9" i="13" s="1"/>
  <c r="C31" i="13"/>
  <c r="H7" i="13"/>
  <c r="I7" i="13" s="1"/>
  <c r="J7" i="13" s="1"/>
  <c r="H4" i="13"/>
  <c r="I4" i="13" s="1"/>
  <c r="J4" i="13" s="1"/>
  <c r="C28" i="13"/>
  <c r="C32" i="13"/>
  <c r="H8" i="13"/>
  <c r="I8" i="13" s="1"/>
  <c r="J8" i="13" s="1"/>
  <c r="N3" i="11" l="1"/>
  <c r="N4" i="11"/>
  <c r="N5" i="11"/>
  <c r="N6" i="11"/>
  <c r="N7" i="11"/>
  <c r="N8" i="11"/>
  <c r="N9" i="11"/>
  <c r="N10" i="11"/>
  <c r="N11" i="11"/>
  <c r="N12" i="11"/>
  <c r="N13" i="11"/>
  <c r="N14" i="11"/>
  <c r="N15" i="11"/>
  <c r="O15" i="11" s="1"/>
  <c r="N16" i="11"/>
  <c r="O16" i="11" s="1"/>
  <c r="N17" i="11"/>
  <c r="O17" i="11" s="1"/>
  <c r="N18" i="11"/>
  <c r="O18" i="11" s="1"/>
  <c r="N19" i="11"/>
  <c r="O19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2" i="11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D28" i="11" l="1"/>
  <c r="D29" i="11"/>
  <c r="D30" i="11"/>
  <c r="D31" i="11"/>
  <c r="D32" i="11"/>
  <c r="D33" i="11"/>
  <c r="D34" i="11"/>
  <c r="D35" i="11"/>
  <c r="D36" i="11"/>
  <c r="D37" i="11"/>
  <c r="D27" i="11"/>
  <c r="D26" i="11"/>
  <c r="K3" i="11" l="1"/>
  <c r="K4" i="11"/>
  <c r="K5" i="11"/>
  <c r="K6" i="11"/>
  <c r="K7" i="11"/>
  <c r="K8" i="11"/>
  <c r="K9" i="11"/>
  <c r="K10" i="11"/>
  <c r="K11" i="11"/>
  <c r="K12" i="11"/>
  <c r="J3" i="11"/>
  <c r="J4" i="11"/>
  <c r="J5" i="11"/>
  <c r="J6" i="11"/>
  <c r="J7" i="11"/>
  <c r="J8" i="11"/>
  <c r="J9" i="11"/>
  <c r="J10" i="11"/>
  <c r="J11" i="11"/>
  <c r="J12" i="11"/>
  <c r="J13" i="11"/>
  <c r="J2" i="11"/>
  <c r="E6" i="11"/>
  <c r="E10" i="11"/>
  <c r="D3" i="11"/>
  <c r="E3" i="11" s="1"/>
  <c r="D4" i="11"/>
  <c r="E4" i="11" s="1"/>
  <c r="D5" i="11"/>
  <c r="E5" i="11" s="1"/>
  <c r="D6" i="11"/>
  <c r="D7" i="11"/>
  <c r="E7" i="11" s="1"/>
  <c r="D8" i="11"/>
  <c r="E8" i="11" s="1"/>
  <c r="D9" i="11"/>
  <c r="E9" i="11" s="1"/>
  <c r="D10" i="11"/>
  <c r="D11" i="11"/>
  <c r="E11" i="11" s="1"/>
  <c r="D12" i="11"/>
  <c r="E12" i="11" s="1"/>
  <c r="D13" i="11"/>
  <c r="E13" i="11" s="1"/>
  <c r="D14" i="11"/>
  <c r="E14" i="11" s="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E21" i="11" s="1"/>
  <c r="D22" i="11"/>
  <c r="E22" i="11" s="1"/>
  <c r="D23" i="11"/>
  <c r="E23" i="11" s="1"/>
  <c r="D24" i="11"/>
  <c r="E24" i="11" s="1"/>
  <c r="D25" i="11"/>
  <c r="E25" i="11" s="1"/>
  <c r="D2" i="11"/>
  <c r="L5" i="11" l="1"/>
  <c r="L12" i="11"/>
  <c r="L4" i="11"/>
  <c r="L11" i="11"/>
  <c r="L7" i="11"/>
  <c r="L10" i="11"/>
  <c r="L6" i="11"/>
  <c r="K14" i="11"/>
  <c r="L13" i="11" s="1"/>
  <c r="I60" i="11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8" i="10"/>
  <c r="K8" i="10"/>
  <c r="M7" i="10"/>
  <c r="K7" i="10"/>
  <c r="E3" i="10" a="1"/>
  <c r="E3" i="10" s="1"/>
  <c r="E4" i="10" s="1"/>
  <c r="F3" i="10" l="1"/>
  <c r="F4" i="10" s="1"/>
  <c r="E43" i="10" s="1"/>
  <c r="F43" i="10" s="1"/>
  <c r="L9" i="11"/>
  <c r="L3" i="11"/>
  <c r="L8" i="11"/>
  <c r="E21" i="10"/>
  <c r="F21" i="10" s="1"/>
  <c r="E35" i="10"/>
  <c r="F35" i="10" s="1"/>
  <c r="E66" i="10"/>
  <c r="F66" i="10" s="1"/>
  <c r="E64" i="10"/>
  <c r="F64" i="10" s="1"/>
  <c r="E62" i="10"/>
  <c r="F62" i="10" s="1"/>
  <c r="E58" i="10"/>
  <c r="F58" i="10" s="1"/>
  <c r="E56" i="10"/>
  <c r="F56" i="10" s="1"/>
  <c r="E54" i="10"/>
  <c r="F54" i="10" s="1"/>
  <c r="E50" i="10"/>
  <c r="F50" i="10" s="1"/>
  <c r="E48" i="10"/>
  <c r="F48" i="10" s="1"/>
  <c r="E46" i="10"/>
  <c r="F46" i="10" s="1"/>
  <c r="E42" i="10"/>
  <c r="F42" i="10" s="1"/>
  <c r="E40" i="10"/>
  <c r="F40" i="10" s="1"/>
  <c r="E38" i="10"/>
  <c r="F38" i="10" s="1"/>
  <c r="E34" i="10"/>
  <c r="F34" i="10" s="1"/>
  <c r="E32" i="10"/>
  <c r="F32" i="10" s="1"/>
  <c r="E27" i="10"/>
  <c r="F27" i="10" s="1"/>
  <c r="E19" i="10"/>
  <c r="F19" i="10" s="1"/>
  <c r="E17" i="10"/>
  <c r="F17" i="10" s="1"/>
  <c r="E15" i="10"/>
  <c r="F15" i="10" s="1"/>
  <c r="E11" i="10"/>
  <c r="F11" i="10" s="1"/>
  <c r="E9" i="10"/>
  <c r="F9" i="10" s="1"/>
  <c r="E65" i="10"/>
  <c r="F65" i="10" s="1"/>
  <c r="E57" i="10"/>
  <c r="F57" i="10" s="1"/>
  <c r="E53" i="10"/>
  <c r="F53" i="10" s="1"/>
  <c r="E49" i="10"/>
  <c r="F49" i="10" s="1"/>
  <c r="E41" i="10"/>
  <c r="F41" i="10" s="1"/>
  <c r="E37" i="10"/>
  <c r="F37" i="10" s="1"/>
  <c r="E25" i="10"/>
  <c r="F25" i="10" s="1"/>
  <c r="E31" i="10"/>
  <c r="F31" i="10" s="1"/>
  <c r="E30" i="10"/>
  <c r="F30" i="10" s="1"/>
  <c r="E23" i="10"/>
  <c r="F23" i="10" s="1"/>
  <c r="E22" i="10"/>
  <c r="F22" i="10" s="1"/>
  <c r="E18" i="10"/>
  <c r="F18" i="10" s="1"/>
  <c r="E16" i="10"/>
  <c r="F16" i="10" s="1"/>
  <c r="E14" i="10"/>
  <c r="F14" i="10" s="1"/>
  <c r="E12" i="10"/>
  <c r="F12" i="10" s="1"/>
  <c r="E10" i="10"/>
  <c r="F10" i="10" s="1"/>
  <c r="E8" i="10"/>
  <c r="F8" i="10" s="1"/>
  <c r="E63" i="10"/>
  <c r="F63" i="10" s="1"/>
  <c r="E59" i="10"/>
  <c r="F59" i="10" s="1"/>
  <c r="E55" i="10"/>
  <c r="F55" i="10" s="1"/>
  <c r="E51" i="10"/>
  <c r="F51" i="10" s="1"/>
  <c r="E28" i="10"/>
  <c r="F28" i="10" s="1"/>
  <c r="E39" i="10"/>
  <c r="F39" i="10" s="1"/>
  <c r="K9" i="10"/>
  <c r="L8" i="10"/>
  <c r="E20" i="10"/>
  <c r="F20" i="10" s="1"/>
  <c r="E33" i="10"/>
  <c r="F33" i="10" s="1"/>
  <c r="E29" i="10"/>
  <c r="F29" i="10" s="1"/>
  <c r="E47" i="10"/>
  <c r="F47" i="10" s="1"/>
  <c r="F2" i="9"/>
  <c r="G3" i="9" s="1"/>
  <c r="D15" i="9" a="1"/>
  <c r="D15" i="9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26" i="6"/>
  <c r="O27" i="6" s="1"/>
  <c r="F3" i="6"/>
  <c r="G3" i="6" s="1"/>
  <c r="E5" i="6"/>
  <c r="D3" i="6"/>
  <c r="E3" i="6" s="1"/>
  <c r="D4" i="6"/>
  <c r="E4" i="6" s="1"/>
  <c r="D5" i="6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F4" i="6" l="1"/>
  <c r="F5" i="6" s="1"/>
  <c r="E24" i="10"/>
  <c r="F24" i="10" s="1"/>
  <c r="G12" i="10" s="1"/>
  <c r="E45" i="10"/>
  <c r="F45" i="10" s="1"/>
  <c r="E61" i="10"/>
  <c r="F61" i="10" s="1"/>
  <c r="E13" i="10"/>
  <c r="F13" i="10" s="1"/>
  <c r="G13" i="10" s="1"/>
  <c r="E26" i="10"/>
  <c r="F26" i="10" s="1"/>
  <c r="E36" i="10"/>
  <c r="F36" i="10" s="1"/>
  <c r="E44" i="10"/>
  <c r="F44" i="10" s="1"/>
  <c r="E52" i="10"/>
  <c r="F52" i="10" s="1"/>
  <c r="G16" i="10" s="1"/>
  <c r="E60" i="10"/>
  <c r="F60" i="10" s="1"/>
  <c r="G7" i="10"/>
  <c r="L14" i="11"/>
  <c r="L9" i="10"/>
  <c r="K10" i="10"/>
  <c r="G8" i="10"/>
  <c r="G9" i="10"/>
  <c r="G17" i="10"/>
  <c r="G10" i="10"/>
  <c r="G18" i="10"/>
  <c r="G11" i="10"/>
  <c r="G14" i="10"/>
  <c r="G15" i="10"/>
  <c r="G10" i="9"/>
  <c r="G9" i="9"/>
  <c r="G2" i="9"/>
  <c r="G6" i="9"/>
  <c r="G13" i="9"/>
  <c r="G5" i="9"/>
  <c r="G12" i="9"/>
  <c r="G8" i="9"/>
  <c r="G4" i="9"/>
  <c r="G11" i="9"/>
  <c r="G7" i="9"/>
  <c r="E15" i="9"/>
  <c r="E3" i="9" s="1"/>
  <c r="F6" i="6"/>
  <c r="G5" i="6"/>
  <c r="E33" i="6"/>
  <c r="G4" i="6"/>
  <c r="H7" i="10" l="1"/>
  <c r="K11" i="10"/>
  <c r="L10" i="10"/>
  <c r="J16" i="10"/>
  <c r="D5" i="9"/>
  <c r="E5" i="9" s="1"/>
  <c r="D2" i="9"/>
  <c r="E2" i="9" s="1"/>
  <c r="J2" i="9"/>
  <c r="D9" i="9"/>
  <c r="E9" i="9" s="1"/>
  <c r="D7" i="9"/>
  <c r="E7" i="9" s="1"/>
  <c r="D4" i="9"/>
  <c r="H2" i="9"/>
  <c r="D11" i="9"/>
  <c r="E11" i="9" s="1"/>
  <c r="D6" i="9"/>
  <c r="E6" i="9" s="1"/>
  <c r="D12" i="9"/>
  <c r="E12" i="9" s="1"/>
  <c r="D10" i="9"/>
  <c r="E10" i="9" s="1"/>
  <c r="D8" i="9"/>
  <c r="E8" i="9" s="1"/>
  <c r="D13" i="9"/>
  <c r="E13" i="9" s="1"/>
  <c r="J3" i="9"/>
  <c r="K3" i="9" s="1"/>
  <c r="J4" i="9"/>
  <c r="K4" i="9" s="1"/>
  <c r="F7" i="6"/>
  <c r="G6" i="6"/>
  <c r="G45" i="4"/>
  <c r="H45" i="4" s="1"/>
  <c r="I45" i="4" s="1"/>
  <c r="D54" i="4"/>
  <c r="E54" i="4" s="1"/>
  <c r="F54" i="4" s="1"/>
  <c r="D53" i="4"/>
  <c r="D52" i="4"/>
  <c r="E52" i="4" s="1"/>
  <c r="F52" i="4" s="1"/>
  <c r="D51" i="4"/>
  <c r="E51" i="4" s="1"/>
  <c r="F51" i="4" s="1"/>
  <c r="D50" i="4"/>
  <c r="D49" i="4"/>
  <c r="D48" i="4"/>
  <c r="E48" i="4" s="1"/>
  <c r="F48" i="4" s="1"/>
  <c r="D47" i="4"/>
  <c r="E47" i="4" s="1"/>
  <c r="F47" i="4" s="1"/>
  <c r="E46" i="4"/>
  <c r="F46" i="4" s="1"/>
  <c r="E53" i="4"/>
  <c r="F53" i="4" s="1"/>
  <c r="E50" i="4"/>
  <c r="F50" i="4" s="1"/>
  <c r="E49" i="4"/>
  <c r="F49" i="4" s="1"/>
  <c r="E10" i="4"/>
  <c r="F10" i="4" s="1"/>
  <c r="E11" i="4"/>
  <c r="F11" i="4" s="1"/>
  <c r="E14" i="4"/>
  <c r="F14" i="4" s="1"/>
  <c r="E15" i="4"/>
  <c r="F15" i="4" s="1"/>
  <c r="E9" i="4"/>
  <c r="F9" i="4" s="1"/>
  <c r="E12" i="4"/>
  <c r="F12" i="4" s="1"/>
  <c r="E13" i="4"/>
  <c r="F13" i="4" s="1"/>
  <c r="H15" i="4"/>
  <c r="I15" i="4" s="1"/>
  <c r="H7" i="4"/>
  <c r="I7" i="4" s="1"/>
  <c r="S10" i="2"/>
  <c r="T10" i="2" s="1"/>
  <c r="U10" i="2" s="1"/>
  <c r="S9" i="2"/>
  <c r="T9" i="2" s="1"/>
  <c r="U9" i="2" s="1"/>
  <c r="S8" i="2"/>
  <c r="T8" i="2" s="1"/>
  <c r="U8" i="2" s="1"/>
  <c r="S7" i="2"/>
  <c r="T7" i="2" s="1"/>
  <c r="U7" i="2" s="1"/>
  <c r="S6" i="2"/>
  <c r="T6" i="2" s="1"/>
  <c r="U6" i="2" s="1"/>
  <c r="S5" i="2"/>
  <c r="T5" i="2" s="1"/>
  <c r="U5" i="2" s="1"/>
  <c r="S4" i="2"/>
  <c r="T4" i="2" s="1"/>
  <c r="U4" i="2" s="1"/>
  <c r="S3" i="2"/>
  <c r="T3" i="2" s="1"/>
  <c r="U3" i="2" s="1"/>
  <c r="S2" i="2"/>
  <c r="T2" i="2" s="1"/>
  <c r="U2" i="2" s="1"/>
  <c r="N10" i="2"/>
  <c r="O10" i="2" s="1"/>
  <c r="P10" i="2" s="1"/>
  <c r="N9" i="2"/>
  <c r="O9" i="2" s="1"/>
  <c r="P9" i="2" s="1"/>
  <c r="N8" i="2"/>
  <c r="N7" i="2"/>
  <c r="O7" i="2" s="1"/>
  <c r="P7" i="2" s="1"/>
  <c r="N6" i="2"/>
  <c r="O6" i="2" s="1"/>
  <c r="P6" i="2" s="1"/>
  <c r="N5" i="2"/>
  <c r="O5" i="2" s="1"/>
  <c r="P5" i="2" s="1"/>
  <c r="N4" i="2"/>
  <c r="N3" i="2"/>
  <c r="O3" i="2" s="1"/>
  <c r="P3" i="2" s="1"/>
  <c r="N2" i="2"/>
  <c r="O2" i="2" s="1"/>
  <c r="P2" i="2" s="1"/>
  <c r="I10" i="2"/>
  <c r="J10" i="2" s="1"/>
  <c r="K10" i="2" s="1"/>
  <c r="I9" i="2"/>
  <c r="J9" i="2" s="1"/>
  <c r="K9" i="2" s="1"/>
  <c r="I8" i="2"/>
  <c r="I7" i="2"/>
  <c r="I6" i="2"/>
  <c r="J6" i="2" s="1"/>
  <c r="K6" i="2" s="1"/>
  <c r="I5" i="2"/>
  <c r="J5" i="2" s="1"/>
  <c r="K5" i="2" s="1"/>
  <c r="I4" i="2"/>
  <c r="I3" i="2"/>
  <c r="I2" i="2"/>
  <c r="J2" i="2" s="1"/>
  <c r="K2" i="2" s="1"/>
  <c r="D11" i="2"/>
  <c r="B11" i="2" s="1"/>
  <c r="D10" i="2"/>
  <c r="E10" i="2" s="1"/>
  <c r="F10" i="2" s="1"/>
  <c r="D9" i="2"/>
  <c r="E9" i="2" s="1"/>
  <c r="F9" i="2" s="1"/>
  <c r="D8" i="2"/>
  <c r="E8" i="2" s="1"/>
  <c r="F8" i="2" s="1"/>
  <c r="D7" i="2"/>
  <c r="E7" i="2" s="1"/>
  <c r="F7" i="2" s="1"/>
  <c r="D6" i="2"/>
  <c r="E6" i="2" s="1"/>
  <c r="F6" i="2" s="1"/>
  <c r="D5" i="2"/>
  <c r="E5" i="2" s="1"/>
  <c r="F5" i="2" s="1"/>
  <c r="D4" i="2"/>
  <c r="E4" i="2" s="1"/>
  <c r="F4" i="2" s="1"/>
  <c r="E3" i="2"/>
  <c r="F3" i="2" s="1"/>
  <c r="J3" i="2"/>
  <c r="K3" i="2" s="1"/>
  <c r="C4" i="2"/>
  <c r="O4" i="2" s="1"/>
  <c r="P4" i="2" s="1"/>
  <c r="C5" i="2"/>
  <c r="C6" i="2"/>
  <c r="C7" i="2"/>
  <c r="J7" i="2" s="1"/>
  <c r="K7" i="2" s="1"/>
  <c r="C8" i="2"/>
  <c r="O8" i="2" s="1"/>
  <c r="P8" i="2" s="1"/>
  <c r="C9" i="2"/>
  <c r="C10" i="2"/>
  <c r="H2" i="2" l="1"/>
  <c r="H8" i="4"/>
  <c r="I8" i="4" s="1"/>
  <c r="H12" i="4"/>
  <c r="I12" i="4" s="1"/>
  <c r="J8" i="2"/>
  <c r="K8" i="2" s="1"/>
  <c r="J4" i="2"/>
  <c r="K4" i="2" s="1"/>
  <c r="L2" i="2" s="1"/>
  <c r="M2" i="2" s="1"/>
  <c r="H11" i="4"/>
  <c r="I11" i="4" s="1"/>
  <c r="H14" i="4"/>
  <c r="I14" i="4" s="1"/>
  <c r="H10" i="4"/>
  <c r="I10" i="4" s="1"/>
  <c r="G46" i="4"/>
  <c r="G47" i="4" s="1"/>
  <c r="G48" i="4" s="1"/>
  <c r="G49" i="4" s="1"/>
  <c r="G50" i="4" s="1"/>
  <c r="G51" i="4" s="1"/>
  <c r="G52" i="4" s="1"/>
  <c r="G53" i="4" s="1"/>
  <c r="G54" i="4" s="1"/>
  <c r="H54" i="4" s="1"/>
  <c r="I54" i="4" s="1"/>
  <c r="H13" i="4"/>
  <c r="I13" i="4" s="1"/>
  <c r="H9" i="4"/>
  <c r="I9" i="4" s="1"/>
  <c r="J9" i="10"/>
  <c r="L11" i="10"/>
  <c r="N11" i="10" s="1"/>
  <c r="K12" i="10"/>
  <c r="J15" i="10"/>
  <c r="J11" i="10"/>
  <c r="J17" i="10"/>
  <c r="J12" i="10"/>
  <c r="J13" i="10"/>
  <c r="J7" i="10"/>
  <c r="N7" i="10" s="1"/>
  <c r="J14" i="10"/>
  <c r="J18" i="10"/>
  <c r="N8" i="10"/>
  <c r="J10" i="10"/>
  <c r="F8" i="6"/>
  <c r="G7" i="6"/>
  <c r="H47" i="4"/>
  <c r="I47" i="4" s="1"/>
  <c r="H46" i="4"/>
  <c r="I46" i="4" s="1"/>
  <c r="F16" i="4"/>
  <c r="V2" i="2"/>
  <c r="W2" i="2" s="1"/>
  <c r="Q2" i="2"/>
  <c r="R2" i="2" s="1"/>
  <c r="J7" i="1"/>
  <c r="K7" i="1" s="1"/>
  <c r="L7" i="1" s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 s="1"/>
  <c r="L27" i="1" s="1"/>
  <c r="J28" i="1"/>
  <c r="K28" i="1" s="1"/>
  <c r="L28" i="1" s="1"/>
  <c r="J29" i="1"/>
  <c r="K29" i="1" s="1"/>
  <c r="L29" i="1" s="1"/>
  <c r="J30" i="1"/>
  <c r="K30" i="1" s="1"/>
  <c r="L30" i="1" s="1"/>
  <c r="J31" i="1"/>
  <c r="K31" i="1" s="1"/>
  <c r="L31" i="1" s="1"/>
  <c r="J6" i="1"/>
  <c r="K6" i="1" s="1"/>
  <c r="I16" i="4" l="1"/>
  <c r="N7" i="1"/>
  <c r="K13" i="10"/>
  <c r="L12" i="10"/>
  <c r="N12" i="10" s="1"/>
  <c r="F9" i="6"/>
  <c r="G8" i="6"/>
  <c r="H48" i="4"/>
  <c r="I48" i="4" s="1"/>
  <c r="L13" i="10" l="1"/>
  <c r="N13" i="10" s="1"/>
  <c r="K14" i="10"/>
  <c r="F10" i="6"/>
  <c r="G9" i="6"/>
  <c r="H49" i="4"/>
  <c r="I49" i="4" s="1"/>
  <c r="K15" i="10" l="1"/>
  <c r="L14" i="10"/>
  <c r="N14" i="10" s="1"/>
  <c r="F11" i="6"/>
  <c r="G10" i="6"/>
  <c r="H50" i="4"/>
  <c r="I50" i="4" s="1"/>
  <c r="L15" i="10" l="1"/>
  <c r="N15" i="10" s="1"/>
  <c r="K16" i="10"/>
  <c r="F12" i="6"/>
  <c r="G11" i="6"/>
  <c r="H51" i="4"/>
  <c r="I51" i="4" s="1"/>
  <c r="K17" i="10" l="1"/>
  <c r="L16" i="10"/>
  <c r="N16" i="10" s="1"/>
  <c r="F13" i="6"/>
  <c r="G12" i="6"/>
  <c r="H53" i="4"/>
  <c r="I53" i="4" s="1"/>
  <c r="H52" i="4"/>
  <c r="I52" i="4" s="1"/>
  <c r="L17" i="10" l="1"/>
  <c r="N17" i="10" s="1"/>
  <c r="K18" i="10"/>
  <c r="F14" i="6"/>
  <c r="G13" i="6"/>
  <c r="K19" i="10" l="1"/>
  <c r="L18" i="10"/>
  <c r="N18" i="10" s="1"/>
  <c r="F15" i="6"/>
  <c r="G14" i="6"/>
  <c r="L19" i="10" l="1"/>
  <c r="N19" i="10" s="1"/>
  <c r="K20" i="10"/>
  <c r="F16" i="6"/>
  <c r="G15" i="6"/>
  <c r="K21" i="10" l="1"/>
  <c r="L20" i="10"/>
  <c r="N20" i="10" s="1"/>
  <c r="F17" i="6"/>
  <c r="G16" i="6"/>
  <c r="L21" i="10" l="1"/>
  <c r="N21" i="10" s="1"/>
  <c r="K22" i="10"/>
  <c r="F18" i="6"/>
  <c r="G17" i="6"/>
  <c r="K23" i="10" l="1"/>
  <c r="L22" i="10"/>
  <c r="N22" i="10" s="1"/>
  <c r="F19" i="6"/>
  <c r="G18" i="6"/>
  <c r="L23" i="10" l="1"/>
  <c r="N23" i="10" s="1"/>
  <c r="K24" i="10"/>
  <c r="F20" i="6"/>
  <c r="G19" i="6"/>
  <c r="K25" i="10" l="1"/>
  <c r="L24" i="10"/>
  <c r="N24" i="10" s="1"/>
  <c r="F21" i="6"/>
  <c r="G20" i="6"/>
  <c r="L25" i="10" l="1"/>
  <c r="N25" i="10" s="1"/>
  <c r="K26" i="10"/>
  <c r="F22" i="6"/>
  <c r="G21" i="6"/>
  <c r="K27" i="10" l="1"/>
  <c r="L26" i="10"/>
  <c r="N26" i="10" s="1"/>
  <c r="F23" i="6"/>
  <c r="G22" i="6"/>
  <c r="L27" i="10" l="1"/>
  <c r="N27" i="10" s="1"/>
  <c r="K28" i="10"/>
  <c r="F24" i="6"/>
  <c r="G23" i="6"/>
  <c r="K29" i="10" l="1"/>
  <c r="L28" i="10"/>
  <c r="N28" i="10" s="1"/>
  <c r="F25" i="6"/>
  <c r="G24" i="6"/>
  <c r="L29" i="10" l="1"/>
  <c r="N29" i="10" s="1"/>
  <c r="K30" i="10"/>
  <c r="F26" i="6"/>
  <c r="G25" i="6"/>
  <c r="K31" i="10" l="1"/>
  <c r="L30" i="10"/>
  <c r="N30" i="10" s="1"/>
  <c r="F27" i="6"/>
  <c r="G26" i="6"/>
  <c r="L31" i="10" l="1"/>
  <c r="N31" i="10" s="1"/>
  <c r="K32" i="10"/>
  <c r="F28" i="6"/>
  <c r="G27" i="6"/>
  <c r="K33" i="10" l="1"/>
  <c r="L33" i="10" s="1"/>
  <c r="N33" i="10" s="1"/>
  <c r="L32" i="10"/>
  <c r="N32" i="10" s="1"/>
  <c r="F29" i="6"/>
  <c r="G28" i="6"/>
  <c r="F30" i="6" l="1"/>
  <c r="G29" i="6"/>
  <c r="F31" i="6" l="1"/>
  <c r="G30" i="6"/>
  <c r="F32" i="6" l="1"/>
  <c r="G32" i="6" s="1"/>
  <c r="G31" i="6"/>
  <c r="G33" i="6" l="1"/>
</calcChain>
</file>

<file path=xl/sharedStrings.xml><?xml version="1.0" encoding="utf-8"?>
<sst xmlns="http://schemas.openxmlformats.org/spreadsheetml/2006/main" count="595" uniqueCount="166">
  <si>
    <t>МАРЕ</t>
  </si>
  <si>
    <t>=</t>
  </si>
  <si>
    <t>MAPE</t>
  </si>
  <si>
    <t>#Н/Д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</si>
  <si>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</si>
  <si>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</si>
  <si>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</si>
  <si>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</si>
  <si>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</si>
  <si>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</si>
  <si>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</si>
  <si>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</si>
  <si>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</si>
  <si>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</si>
  <si>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</si>
  <si>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</si>
  <si>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</si>
  <si>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</si>
  <si>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</si>
  <si>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</si>
  <si>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</si>
  <si>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</si>
  <si>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</si>
  <si>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</si>
  <si>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</si>
  <si>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</si>
  <si>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</si>
  <si>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</si>
  <si>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</si>
  <si>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</si>
  <si>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</si>
  <si>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</si>
  <si>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</si>
  <si>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Прогнозирование продаж и денежных потоков</t>
  </si>
  <si>
    <t>Оценка продаж для ОАО "МТС"</t>
  </si>
  <si>
    <t>Дата</t>
  </si>
  <si>
    <t>Q1</t>
  </si>
  <si>
    <t>Q2</t>
  </si>
  <si>
    <t>Q3</t>
  </si>
  <si>
    <t>Q4</t>
  </si>
  <si>
    <t>Квартал</t>
  </si>
  <si>
    <t>Переменная X 2</t>
  </si>
  <si>
    <t>Переменная X 3</t>
  </si>
  <si>
    <t>Переменная X 4</t>
  </si>
  <si>
    <t>b</t>
  </si>
  <si>
    <t>a</t>
  </si>
  <si>
    <t>X</t>
  </si>
  <si>
    <t>4. Среднее отклонение для каждого месяца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</si>
  <si>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</si>
  <si>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</si>
  <si>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</si>
  <si>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</si>
  <si>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</si>
  <si>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</si>
  <si>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</si>
  <si>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</si>
  <si>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</si>
  <si>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</si>
  <si>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</si>
  <si>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</si>
  <si>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№п.п.</t>
  </si>
  <si>
    <t>1-й сезон</t>
  </si>
  <si>
    <t>2-й сезон</t>
  </si>
  <si>
    <t>1. Вихідні дані</t>
  </si>
  <si>
    <t>Об'єм продаж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</si>
  <si>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</si>
  <si>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</si>
  <si>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</si>
  <si>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</si>
  <si>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</si>
  <si>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</si>
  <si>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</si>
  <si>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</si>
  <si>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</si>
  <si>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</si>
  <si>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</si>
  <si>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</si>
  <si>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Місяць</t>
  </si>
  <si>
    <t>Ковзне середнє</t>
  </si>
  <si>
    <t>Помилка прогнозу</t>
  </si>
  <si>
    <t>Помилка по модулю</t>
  </si>
  <si>
    <t>Абсолютна помилка</t>
  </si>
  <si>
    <t>Точність прогнозу</t>
  </si>
  <si>
    <t>Прогноз на червень</t>
  </si>
  <si>
    <t>Об'єм реалізації за місяць</t>
  </si>
  <si>
    <t>Об'єм реалізації з початку року</t>
  </si>
  <si>
    <t>Розрахунок по формулі</t>
  </si>
  <si>
    <t>Точність</t>
  </si>
  <si>
    <t>Лінійна</t>
  </si>
  <si>
    <t>Логарифмічна</t>
  </si>
  <si>
    <t>Поліноміальна зі ступенем 2</t>
  </si>
  <si>
    <t>Ступенева</t>
  </si>
  <si>
    <t>Реклама (тис. $)</t>
  </si>
  <si>
    <t>Продажі (тис. шт)</t>
  </si>
  <si>
    <t xml:space="preserve">Ковзне середнє </t>
  </si>
  <si>
    <t>Експоненціальне згладжування</t>
  </si>
  <si>
    <t>Прогнозування продажів та грошових потоків</t>
  </si>
  <si>
    <t>Оцінка продажів для ВАТ "МТС"</t>
  </si>
  <si>
    <t>Виручка (обсяг продажів)</t>
  </si>
  <si>
    <t>Грошовий потік CF</t>
  </si>
  <si>
    <t>ковзне середнє</t>
  </si>
  <si>
    <t>експоненціальне згладжування</t>
  </si>
  <si>
    <t>Виручка (обсяг продажів) з лагом 1</t>
  </si>
  <si>
    <t>Грошовий потік CF з лагом 1</t>
  </si>
  <si>
    <t>Курс євро</t>
  </si>
  <si>
    <t>Курс долара</t>
  </si>
  <si>
    <t>Квартальні обсяги продаж</t>
  </si>
  <si>
    <t>Рік</t>
  </si>
  <si>
    <t>Обсяг продаж</t>
  </si>
  <si>
    <t>Log10 (Обсяг продаж)</t>
  </si>
  <si>
    <t>Індекс кварталу</t>
  </si>
  <si>
    <t>Обсяг продаж (у)</t>
  </si>
  <si>
    <t>Періоди (х)</t>
  </si>
  <si>
    <t>Значення тренда</t>
  </si>
  <si>
    <t>Середнє продажів за рік</t>
  </si>
  <si>
    <t>Індекс сезонності по місяцям</t>
  </si>
  <si>
    <t>загальний індекс сезонності</t>
  </si>
  <si>
    <t>Періоди для прогнозу</t>
  </si>
  <si>
    <t>Значення тренду на наступні 3 місяці</t>
  </si>
  <si>
    <t>Прогноз на наступні 3 місяця з урахуванням сезонності</t>
  </si>
  <si>
    <t>Лінійний тренд:</t>
  </si>
  <si>
    <t>Продажі</t>
  </si>
  <si>
    <t>Коеф. сезон.</t>
  </si>
  <si>
    <t>1. Розраховуємо значення функції y=bx+a</t>
  </si>
  <si>
    <t>Продажі грн.</t>
  </si>
  <si>
    <t>2. Значення тренду</t>
  </si>
  <si>
    <t>2. Обчислення коефіцієнтів сезонності</t>
  </si>
  <si>
    <t>3. Відхилення фактичних значень від значень тренду</t>
  </si>
  <si>
    <t>5. Загальний індекс сезонності</t>
  </si>
  <si>
    <t>для якого місяця коефіцієнт</t>
  </si>
  <si>
    <t>6. Коефіцієнти сезонності очищені від зростання</t>
  </si>
  <si>
    <t>7. задаємо період, на який хочемо розрахувати прогноз</t>
  </si>
  <si>
    <t>8. Розраховуємо значення тренда для майбутніх періодів</t>
  </si>
  <si>
    <t>Для якого місяця будемо брати коефіцієнт</t>
  </si>
  <si>
    <t>9. розрахунок прогнозу</t>
  </si>
  <si>
    <t>3. розрахунок прогнозу</t>
  </si>
  <si>
    <t>Обсяг продаж (грн.)</t>
  </si>
  <si>
    <t>Поліноміальний тренд</t>
  </si>
  <si>
    <t>Сезонна компонента</t>
  </si>
  <si>
    <t>Місяці</t>
  </si>
  <si>
    <t>Всього</t>
  </si>
  <si>
    <t>Середнє</t>
  </si>
  <si>
    <t>Лінійний тренд</t>
  </si>
  <si>
    <t>Сума</t>
  </si>
  <si>
    <t xml:space="preserve">кориг. Коефіцієнти: </t>
  </si>
  <si>
    <t>П</t>
  </si>
  <si>
    <t>Л</t>
  </si>
  <si>
    <t>1 сезон</t>
  </si>
  <si>
    <t>2 сезон</t>
  </si>
  <si>
    <t>Помилки поліном. моделі E</t>
  </si>
  <si>
    <t>Помилки лінійн. моделі E</t>
  </si>
  <si>
    <t>Нескоректіровання сезонна компонента (поліноміальний тренд)</t>
  </si>
  <si>
    <t>Сума відхилень по 2 сезонах</t>
  </si>
  <si>
    <t>Середнє значення</t>
  </si>
  <si>
    <t>Сума:</t>
  </si>
  <si>
    <t>Коригувал. Коеф.</t>
  </si>
  <si>
    <t>Нескоректіровання сезонна компонента (лінійний тренд)</t>
  </si>
  <si>
    <t>Сезонна компонента, S</t>
  </si>
  <si>
    <t>Сезонна компонента, T</t>
  </si>
  <si>
    <t>T+S</t>
  </si>
  <si>
    <t>Обсяг продаж (грн.), I</t>
  </si>
  <si>
    <t>E=Y-(T+S)</t>
  </si>
  <si>
    <t>Y-S=T+E</t>
  </si>
  <si>
    <t>MAPE=</t>
  </si>
  <si>
    <t>MAD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</si>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</sst>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&quot;₴&quot;_-;\-* #,##0.00&quot;₴&quot;_-;_-* &quot;-&quot;??&quot;₴&quot;_-;_-@_-"/>
    <numFmt numFmtId="165" formatCode="_-* #,##0.00_₴_-;\-* #,##0.00_₴_-;_-* &quot;-&quot;??_₴_-;_-@_-"/>
    <numFmt numFmtId="166" formatCode="0.0000"/>
    <numFmt numFmtId="167" formatCode="0.00000"/>
    <numFmt numFmtId="168" formatCode="0.000"/>
    <numFmt numFmtId="169" formatCode="0.0000000"/>
    <numFmt numFmtId="170" formatCode="_-* #,##0&quot;р.&quot;_-;\-* #,##0&quot;р.&quot;_-;_-* &quot;-&quot;??&quot;р.&quot;_-;_-@_-"/>
    <numFmt numFmtId="171" formatCode="_-* #,##0_р_._-;\-* #,##0_р_._-;_-* &quot;-&quot;??_р_._-;_-@_-"/>
    <numFmt numFmtId="172" formatCode="#,##0.00_ ;[Red]\-#,##0.00\ "/>
    <numFmt numFmtId="173" formatCode="#,##0.00000000_ ;[Red]\-#,##0.000000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8" borderId="53" applyNumberFormat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2" fontId="0" fillId="0" borderId="1" xfId="0" applyNumberFormat="1" applyBorder="1"/>
    <xf numFmtId="0" fontId="4" fillId="6" borderId="1" xfId="0" applyFont="1" applyFill="1" applyBorder="1" applyAlignment="1">
      <alignment horizontal="center"/>
    </xf>
    <xf numFmtId="9" fontId="4" fillId="6" borderId="1" xfId="1" applyFont="1" applyFill="1" applyBorder="1"/>
    <xf numFmtId="0" fontId="6" fillId="2" borderId="1" xfId="0" applyFont="1" applyFill="1" applyBorder="1"/>
    <xf numFmtId="9" fontId="6" fillId="0" borderId="1" xfId="1" applyFont="1" applyBorder="1"/>
    <xf numFmtId="0" fontId="0" fillId="4" borderId="0" xfId="0" applyFill="1" applyAlignment="1">
      <alignment horizontal="center" vertical="center" wrapText="1"/>
    </xf>
    <xf numFmtId="0" fontId="0" fillId="0" borderId="3" xfId="0" applyBorder="1"/>
    <xf numFmtId="0" fontId="0" fillId="4" borderId="1" xfId="0" applyFill="1" applyBorder="1" applyAlignment="1">
      <alignment horizontal="center" vertical="center" wrapText="1"/>
    </xf>
    <xf numFmtId="166" fontId="0" fillId="0" borderId="1" xfId="0" applyNumberFormat="1" applyBorder="1"/>
    <xf numFmtId="1" fontId="0" fillId="0" borderId="3" xfId="0" applyNumberFormat="1" applyBorder="1"/>
    <xf numFmtId="0" fontId="0" fillId="0" borderId="10" xfId="0" applyBorder="1"/>
    <xf numFmtId="0" fontId="0" fillId="4" borderId="11" xfId="0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1" fontId="0" fillId="0" borderId="17" xfId="0" applyNumberFormat="1" applyBorder="1"/>
    <xf numFmtId="167" fontId="0" fillId="0" borderId="1" xfId="0" applyNumberFormat="1" applyBorder="1"/>
    <xf numFmtId="9" fontId="4" fillId="6" borderId="1" xfId="1" applyNumberFormat="1" applyFont="1" applyFill="1" applyBorder="1"/>
    <xf numFmtId="1" fontId="0" fillId="0" borderId="21" xfId="0" applyNumberFormat="1" applyBorder="1"/>
    <xf numFmtId="167" fontId="0" fillId="0" borderId="21" xfId="0" applyNumberFormat="1" applyBorder="1"/>
    <xf numFmtId="0" fontId="4" fillId="4" borderId="25" xfId="0" applyFont="1" applyFill="1" applyBorder="1" applyAlignment="1">
      <alignment horizontal="center" vertical="center" wrapText="1"/>
    </xf>
    <xf numFmtId="9" fontId="4" fillId="2" borderId="26" xfId="0" applyNumberFormat="1" applyFont="1" applyFill="1" applyBorder="1"/>
    <xf numFmtId="1" fontId="0" fillId="0" borderId="5" xfId="0" applyNumberFormat="1" applyBorder="1"/>
    <xf numFmtId="1" fontId="0" fillId="0" borderId="27" xfId="0" applyNumberFormat="1" applyBorder="1"/>
    <xf numFmtId="166" fontId="0" fillId="0" borderId="21" xfId="0" applyNumberFormat="1" applyBorder="1"/>
    <xf numFmtId="0" fontId="0" fillId="0" borderId="5" xfId="0" applyBorder="1"/>
    <xf numFmtId="0" fontId="0" fillId="0" borderId="27" xfId="0" applyBorder="1"/>
    <xf numFmtId="0" fontId="0" fillId="4" borderId="26" xfId="0" applyFill="1" applyBorder="1" applyAlignment="1">
      <alignment horizontal="center" vertical="center" wrapText="1"/>
    </xf>
    <xf numFmtId="0" fontId="0" fillId="0" borderId="26" xfId="0" applyBorder="1"/>
    <xf numFmtId="1" fontId="0" fillId="0" borderId="26" xfId="0" applyNumberFormat="1" applyBorder="1"/>
    <xf numFmtId="1" fontId="0" fillId="0" borderId="28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8" xfId="0" applyFill="1" applyBorder="1" applyAlignment="1"/>
    <xf numFmtId="0" fontId="9" fillId="0" borderId="29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Continuous"/>
    </xf>
    <xf numFmtId="0" fontId="0" fillId="4" borderId="31" xfId="0" applyFill="1" applyBorder="1" applyAlignment="1">
      <alignment horizontal="center" vertical="center" wrapText="1"/>
    </xf>
    <xf numFmtId="166" fontId="0" fillId="0" borderId="15" xfId="0" applyNumberFormat="1" applyBorder="1"/>
    <xf numFmtId="166" fontId="0" fillId="0" borderId="32" xfId="0" applyNumberFormat="1" applyBorder="1"/>
    <xf numFmtId="166" fontId="0" fillId="0" borderId="33" xfId="0" applyNumberFormat="1" applyBorder="1"/>
    <xf numFmtId="0" fontId="0" fillId="6" borderId="9" xfId="0" applyFill="1" applyBorder="1"/>
    <xf numFmtId="9" fontId="0" fillId="6" borderId="9" xfId="1" applyFont="1" applyFill="1" applyBorder="1"/>
    <xf numFmtId="9" fontId="0" fillId="2" borderId="9" xfId="1" applyFont="1" applyFill="1" applyBorder="1"/>
    <xf numFmtId="0" fontId="4" fillId="0" borderId="30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15" xfId="0" applyBorder="1"/>
    <xf numFmtId="166" fontId="0" fillId="0" borderId="36" xfId="0" applyNumberFormat="1" applyBorder="1"/>
    <xf numFmtId="0" fontId="0" fillId="0" borderId="35" xfId="0" applyBorder="1"/>
    <xf numFmtId="1" fontId="0" fillId="0" borderId="37" xfId="0" applyNumberFormat="1" applyBorder="1"/>
    <xf numFmtId="166" fontId="0" fillId="0" borderId="38" xfId="0" applyNumberFormat="1" applyBorder="1"/>
    <xf numFmtId="1" fontId="0" fillId="0" borderId="40" xfId="0" applyNumberFormat="1" applyBorder="1"/>
    <xf numFmtId="166" fontId="0" fillId="0" borderId="41" xfId="0" applyNumberFormat="1" applyBorder="1"/>
    <xf numFmtId="0" fontId="0" fillId="0" borderId="40" xfId="0" applyBorder="1"/>
    <xf numFmtId="1" fontId="0" fillId="0" borderId="41" xfId="0" applyNumberFormat="1" applyBorder="1"/>
    <xf numFmtId="0" fontId="0" fillId="0" borderId="43" xfId="0" applyBorder="1"/>
    <xf numFmtId="1" fontId="0" fillId="0" borderId="44" xfId="0" applyNumberFormat="1" applyFill="1" applyBorder="1"/>
    <xf numFmtId="1" fontId="0" fillId="0" borderId="42" xfId="0" applyNumberFormat="1" applyBorder="1"/>
    <xf numFmtId="1" fontId="0" fillId="0" borderId="39" xfId="0" applyNumberFormat="1" applyBorder="1"/>
    <xf numFmtId="1" fontId="0" fillId="0" borderId="7" xfId="0" applyNumberFormat="1" applyBorder="1"/>
    <xf numFmtId="1" fontId="0" fillId="0" borderId="15" xfId="0" applyNumberFormat="1" applyBorder="1"/>
    <xf numFmtId="0" fontId="0" fillId="0" borderId="45" xfId="0" applyBorder="1"/>
    <xf numFmtId="0" fontId="0" fillId="0" borderId="46" xfId="0" applyBorder="1"/>
    <xf numFmtId="0" fontId="0" fillId="0" borderId="0" xfId="0" applyFill="1" applyBorder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8" fontId="0" fillId="0" borderId="0" xfId="0" applyNumberFormat="1"/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8" fontId="0" fillId="0" borderId="1" xfId="0" applyNumberFormat="1" applyBorder="1"/>
    <xf numFmtId="2" fontId="0" fillId="0" borderId="14" xfId="0" applyNumberFormat="1" applyBorder="1"/>
    <xf numFmtId="168" fontId="0" fillId="0" borderId="15" xfId="0" applyNumberFormat="1" applyBorder="1"/>
    <xf numFmtId="168" fontId="0" fillId="0" borderId="3" xfId="0" applyNumberFormat="1" applyBorder="1"/>
    <xf numFmtId="0" fontId="4" fillId="6" borderId="16" xfId="0" applyFont="1" applyFill="1" applyBorder="1"/>
    <xf numFmtId="10" fontId="4" fillId="6" borderId="48" xfId="1" applyNumberFormat="1" applyFont="1" applyFill="1" applyBorder="1"/>
    <xf numFmtId="10" fontId="4" fillId="6" borderId="33" xfId="1" applyNumberFormat="1" applyFont="1" applyFill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4" fillId="6" borderId="9" xfId="0" applyFont="1" applyFill="1" applyBorder="1" applyAlignment="1">
      <alignment horizontal="center" vertical="center"/>
    </xf>
    <xf numFmtId="9" fontId="4" fillId="5" borderId="9" xfId="1" applyFont="1" applyFill="1" applyBorder="1"/>
    <xf numFmtId="168" fontId="0" fillId="0" borderId="0" xfId="0" applyNumberFormat="1" applyFill="1" applyBorder="1" applyAlignment="1"/>
    <xf numFmtId="168" fontId="0" fillId="0" borderId="18" xfId="0" applyNumberFormat="1" applyFill="1" applyBorder="1" applyAlignment="1"/>
    <xf numFmtId="166" fontId="0" fillId="0" borderId="0" xfId="0" applyNumberFormat="1" applyFill="1" applyBorder="1" applyAlignment="1"/>
    <xf numFmtId="166" fontId="0" fillId="0" borderId="18" xfId="0" applyNumberFormat="1" applyFill="1" applyBorder="1" applyAlignment="1"/>
    <xf numFmtId="167" fontId="0" fillId="0" borderId="0" xfId="0" applyNumberFormat="1" applyFill="1" applyBorder="1" applyAlignment="1"/>
    <xf numFmtId="167" fontId="0" fillId="0" borderId="18" xfId="0" applyNumberFormat="1" applyFill="1" applyBorder="1" applyAlignment="1"/>
    <xf numFmtId="0" fontId="0" fillId="0" borderId="52" xfId="0" applyFill="1" applyBorder="1"/>
    <xf numFmtId="0" fontId="0" fillId="7" borderId="1" xfId="0" applyFill="1" applyBorder="1"/>
    <xf numFmtId="0" fontId="10" fillId="0" borderId="1" xfId="0" applyFont="1" applyFill="1" applyBorder="1"/>
    <xf numFmtId="2" fontId="10" fillId="0" borderId="1" xfId="0" applyNumberFormat="1" applyFont="1" applyFill="1" applyBorder="1"/>
    <xf numFmtId="0" fontId="11" fillId="8" borderId="53" xfId="4"/>
    <xf numFmtId="0" fontId="11" fillId="8" borderId="53" xfId="4" applyAlignment="1">
      <alignment horizontal="center" vertical="center" wrapText="1"/>
    </xf>
    <xf numFmtId="0" fontId="11" fillId="8" borderId="54" xfId="4" applyBorder="1" applyAlignment="1">
      <alignment horizontal="center" vertical="center" wrapText="1"/>
    </xf>
    <xf numFmtId="0" fontId="11" fillId="8" borderId="54" xfId="4" applyBorder="1"/>
    <xf numFmtId="169" fontId="0" fillId="0" borderId="1" xfId="0" applyNumberFormat="1" applyBorder="1"/>
    <xf numFmtId="170" fontId="2" fillId="0" borderId="0" xfId="3" applyNumberFormat="1" applyFont="1"/>
    <xf numFmtId="0" fontId="13" fillId="0" borderId="0" xfId="5" applyAlignment="1" applyProtection="1"/>
    <xf numFmtId="171" fontId="2" fillId="0" borderId="0" xfId="2" applyNumberFormat="1" applyFont="1" applyAlignment="1">
      <alignment horizontal="center"/>
    </xf>
    <xf numFmtId="171" fontId="2" fillId="0" borderId="0" xfId="2" applyNumberFormat="1" applyFont="1"/>
    <xf numFmtId="172" fontId="0" fillId="0" borderId="58" xfId="0" applyNumberFormat="1" applyBorder="1"/>
    <xf numFmtId="170" fontId="2" fillId="0" borderId="59" xfId="3" applyNumberFormat="1" applyFont="1" applyBorder="1"/>
    <xf numFmtId="171" fontId="2" fillId="0" borderId="62" xfId="2" applyNumberFormat="1" applyFont="1" applyBorder="1"/>
    <xf numFmtId="0" fontId="0" fillId="0" borderId="62" xfId="0" applyBorder="1"/>
    <xf numFmtId="173" fontId="0" fillId="10" borderId="62" xfId="0" applyNumberFormat="1" applyFill="1" applyBorder="1"/>
    <xf numFmtId="173" fontId="0" fillId="0" borderId="62" xfId="0" applyNumberFormat="1" applyBorder="1"/>
    <xf numFmtId="2" fontId="0" fillId="0" borderId="63" xfId="0" applyNumberFormat="1" applyBorder="1"/>
    <xf numFmtId="0" fontId="0" fillId="0" borderId="63" xfId="0" applyBorder="1"/>
    <xf numFmtId="171" fontId="0" fillId="0" borderId="0" xfId="0" applyNumberFormat="1" applyBorder="1"/>
    <xf numFmtId="171" fontId="0" fillId="0" borderId="64" xfId="0" applyNumberFormat="1" applyBorder="1"/>
    <xf numFmtId="172" fontId="0" fillId="0" borderId="65" xfId="0" applyNumberFormat="1" applyBorder="1"/>
    <xf numFmtId="172" fontId="0" fillId="0" borderId="66" xfId="0" applyNumberFormat="1" applyBorder="1"/>
    <xf numFmtId="170" fontId="2" fillId="0" borderId="67" xfId="3" applyNumberFormat="1" applyFont="1" applyBorder="1"/>
    <xf numFmtId="173" fontId="0" fillId="10" borderId="68" xfId="0" applyNumberFormat="1" applyFill="1" applyBorder="1"/>
    <xf numFmtId="0" fontId="0" fillId="0" borderId="68" xfId="0" applyBorder="1"/>
    <xf numFmtId="2" fontId="0" fillId="0" borderId="69" xfId="0" applyNumberFormat="1" applyBorder="1"/>
    <xf numFmtId="0" fontId="0" fillId="0" borderId="69" xfId="0" applyBorder="1"/>
    <xf numFmtId="171" fontId="0" fillId="0" borderId="18" xfId="0" applyNumberFormat="1" applyBorder="1"/>
    <xf numFmtId="0" fontId="0" fillId="0" borderId="18" xfId="0" applyBorder="1"/>
    <xf numFmtId="171" fontId="0" fillId="0" borderId="70" xfId="0" applyNumberFormat="1" applyBorder="1"/>
    <xf numFmtId="172" fontId="0" fillId="0" borderId="71" xfId="0" applyNumberFormat="1" applyBorder="1"/>
    <xf numFmtId="172" fontId="0" fillId="0" borderId="72" xfId="0" applyNumberFormat="1" applyBorder="1"/>
    <xf numFmtId="170" fontId="2" fillId="0" borderId="73" xfId="3" applyNumberFormat="1" applyFont="1" applyBorder="1"/>
    <xf numFmtId="171" fontId="12" fillId="5" borderId="60" xfId="2" applyNumberFormat="1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2" fillId="5" borderId="62" xfId="0" applyFont="1" applyFill="1" applyBorder="1" applyAlignment="1">
      <alignment horizontal="center" vertical="center" wrapText="1"/>
    </xf>
    <xf numFmtId="172" fontId="0" fillId="0" borderId="58" xfId="0" applyNumberFormat="1" applyBorder="1" applyAlignment="1">
      <alignment horizontal="center" vertical="center"/>
    </xf>
    <xf numFmtId="2" fontId="0" fillId="0" borderId="0" xfId="0" applyNumberFormat="1" applyFill="1" applyBorder="1" applyAlignment="1"/>
    <xf numFmtId="2" fontId="0" fillId="0" borderId="18" xfId="0" applyNumberFormat="1" applyFill="1" applyBorder="1" applyAlignment="1"/>
    <xf numFmtId="0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" fontId="0" fillId="0" borderId="0" xfId="0" applyNumberFormat="1"/>
    <xf numFmtId="0" fontId="5" fillId="5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170" fontId="1" fillId="0" borderId="59" xfId="3" applyNumberFormat="1" applyFont="1" applyBorder="1" applyAlignment="1">
      <alignment horizontal="center" vertical="center"/>
    </xf>
    <xf numFmtId="0" fontId="0" fillId="0" borderId="58" xfId="0" applyNumberFormat="1" applyBorder="1"/>
    <xf numFmtId="0" fontId="0" fillId="0" borderId="62" xfId="0" applyBorder="1" applyAlignment="1">
      <alignment horizontal="right" vertical="center"/>
    </xf>
    <xf numFmtId="166" fontId="0" fillId="0" borderId="52" xfId="0" applyNumberFormat="1" applyFill="1" applyBorder="1"/>
    <xf numFmtId="0" fontId="0" fillId="0" borderId="0" xfId="0" applyAlignment="1">
      <alignment wrapText="1"/>
    </xf>
    <xf numFmtId="166" fontId="0" fillId="0" borderId="0" xfId="0" applyNumberFormat="1"/>
    <xf numFmtId="0" fontId="15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4" fillId="2" borderId="1" xfId="0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9" fontId="0" fillId="0" borderId="0" xfId="1" applyFont="1"/>
    <xf numFmtId="165" fontId="0" fillId="0" borderId="0" xfId="2" applyNumberFormat="1" applyFont="1"/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 textRotation="135"/>
    </xf>
    <xf numFmtId="0" fontId="8" fillId="0" borderId="22" xfId="0" applyFont="1" applyBorder="1" applyAlignment="1">
      <alignment horizontal="center" vertical="center" textRotation="135"/>
    </xf>
    <xf numFmtId="0" fontId="8" fillId="0" borderId="8" xfId="0" applyFont="1" applyBorder="1" applyAlignment="1">
      <alignment horizontal="center" vertical="center" textRotation="135"/>
    </xf>
    <xf numFmtId="0" fontId="8" fillId="0" borderId="23" xfId="0" applyFont="1" applyBorder="1" applyAlignment="1">
      <alignment horizontal="center" vertical="center" textRotation="135"/>
    </xf>
    <xf numFmtId="0" fontId="8" fillId="0" borderId="20" xfId="0" applyFont="1" applyBorder="1" applyAlignment="1">
      <alignment horizontal="center" vertical="center" textRotation="135"/>
    </xf>
    <xf numFmtId="0" fontId="8" fillId="0" borderId="24" xfId="0" applyFont="1" applyBorder="1" applyAlignment="1">
      <alignment horizontal="center" vertical="center" textRotation="135"/>
    </xf>
    <xf numFmtId="0" fontId="7" fillId="0" borderId="19" xfId="0" applyFont="1" applyBorder="1" applyAlignment="1">
      <alignment horizontal="center" vertical="center" textRotation="135" wrapText="1"/>
    </xf>
    <xf numFmtId="0" fontId="7" fillId="0" borderId="22" xfId="0" applyFont="1" applyBorder="1" applyAlignment="1">
      <alignment horizontal="center" vertical="center" textRotation="135" wrapText="1"/>
    </xf>
    <xf numFmtId="0" fontId="7" fillId="0" borderId="8" xfId="0" applyFont="1" applyBorder="1" applyAlignment="1">
      <alignment horizontal="center" vertical="center" textRotation="135" wrapText="1"/>
    </xf>
    <xf numFmtId="0" fontId="7" fillId="0" borderId="23" xfId="0" applyFont="1" applyBorder="1" applyAlignment="1">
      <alignment horizontal="center" vertical="center" textRotation="135" wrapText="1"/>
    </xf>
    <xf numFmtId="0" fontId="7" fillId="0" borderId="20" xfId="0" applyFont="1" applyBorder="1" applyAlignment="1">
      <alignment horizontal="center" vertical="center" textRotation="135" wrapText="1"/>
    </xf>
    <xf numFmtId="0" fontId="7" fillId="0" borderId="24" xfId="0" applyFont="1" applyBorder="1" applyAlignment="1">
      <alignment horizontal="center" vertical="center" textRotation="135" wrapText="1"/>
    </xf>
    <xf numFmtId="0" fontId="8" fillId="0" borderId="19" xfId="0" applyFont="1" applyBorder="1" applyAlignment="1">
      <alignment horizontal="center" vertical="center" textRotation="135" wrapText="1"/>
    </xf>
    <xf numFmtId="0" fontId="8" fillId="0" borderId="22" xfId="0" applyFont="1" applyBorder="1" applyAlignment="1">
      <alignment horizontal="center" vertical="center" textRotation="135" wrapText="1"/>
    </xf>
    <xf numFmtId="0" fontId="8" fillId="0" borderId="8" xfId="0" applyFont="1" applyBorder="1" applyAlignment="1">
      <alignment horizontal="center" vertical="center" textRotation="135" wrapText="1"/>
    </xf>
    <xf numFmtId="0" fontId="8" fillId="0" borderId="23" xfId="0" applyFont="1" applyBorder="1" applyAlignment="1">
      <alignment horizontal="center" vertical="center" textRotation="135" wrapText="1"/>
    </xf>
    <xf numFmtId="0" fontId="8" fillId="0" borderId="20" xfId="0" applyFont="1" applyBorder="1" applyAlignment="1">
      <alignment horizontal="center" vertical="center" textRotation="135" wrapText="1"/>
    </xf>
    <xf numFmtId="0" fontId="8" fillId="0" borderId="24" xfId="0" applyFont="1" applyBorder="1" applyAlignment="1">
      <alignment horizontal="center" vertical="center" textRotation="135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77" xfId="0" applyBorder="1" applyAlignment="1">
      <alignment horizontal="center" wrapText="1"/>
    </xf>
    <xf numFmtId="171" fontId="12" fillId="5" borderId="0" xfId="2" applyNumberFormat="1" applyFont="1" applyFill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4" fillId="9" borderId="55" xfId="0" applyFont="1" applyFill="1" applyBorder="1" applyAlignment="1">
      <alignment horizontal="center"/>
    </xf>
    <xf numFmtId="0" fontId="4" fillId="9" borderId="56" xfId="0" applyFont="1" applyFill="1" applyBorder="1" applyAlignment="1">
      <alignment horizontal="center"/>
    </xf>
    <xf numFmtId="0" fontId="4" fillId="9" borderId="57" xfId="0" applyFont="1" applyFill="1" applyBorder="1" applyAlignment="1">
      <alignment horizontal="center"/>
    </xf>
  </cellXfs>
  <cellStyles count="6">
    <cellStyle name="Вывод" xfId="4" builtinId="21"/>
    <cellStyle name="Гиперссылка" xfId="5" builtinId="8"/>
    <cellStyle name="Денежный" xfId="3" builtinId="4"/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'Задача 1'!$G$2</c:f>
              <c:strCache>
                <c:ptCount val="1"/>
                <c:pt idx="0">
                  <c:v>Об'єм продаж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1'!$F$3:$F$32</c:f>
              <c:strCache>
                <c:ptCount val="30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  <c:pt idx="15">
                  <c:v>Квітень</c:v>
                </c:pt>
                <c:pt idx="16">
                  <c:v>Травень</c:v>
                </c:pt>
                <c:pt idx="17">
                  <c:v>Червень</c:v>
                </c:pt>
                <c:pt idx="18">
                  <c:v>Липень</c:v>
                </c:pt>
                <c:pt idx="19">
                  <c:v>Серпень</c:v>
                </c:pt>
                <c:pt idx="20">
                  <c:v>Вересень</c:v>
                </c:pt>
                <c:pt idx="21">
                  <c:v>Жовтень</c:v>
                </c:pt>
                <c:pt idx="22">
                  <c:v>Листопад</c:v>
                </c:pt>
                <c:pt idx="23">
                  <c:v>Грудень</c:v>
                </c:pt>
                <c:pt idx="24">
                  <c:v>Січень</c:v>
                </c:pt>
                <c:pt idx="25">
                  <c:v>Лютий</c:v>
                </c:pt>
                <c:pt idx="26">
                  <c:v>Березень</c:v>
                </c:pt>
                <c:pt idx="27">
                  <c:v>Квітень</c:v>
                </c:pt>
                <c:pt idx="28">
                  <c:v>Травень</c:v>
                </c:pt>
                <c:pt idx="29">
                  <c:v>Прогноз на червень</c:v>
                </c:pt>
              </c:strCache>
            </c:strRef>
          </c:cat>
          <c:val>
            <c:numRef>
              <c:f>'Задача 1'!$G$3:$G$32</c:f>
              <c:numCache>
                <c:formatCode>General</c:formatCode>
                <c:ptCount val="30"/>
                <c:pt idx="0">
                  <c:v>420</c:v>
                </c:pt>
                <c:pt idx="1">
                  <c:v>480</c:v>
                </c:pt>
                <c:pt idx="2">
                  <c:v>500</c:v>
                </c:pt>
                <c:pt idx="3">
                  <c:v>520</c:v>
                </c:pt>
                <c:pt idx="4">
                  <c:v>560</c:v>
                </c:pt>
                <c:pt idx="5">
                  <c:v>570</c:v>
                </c:pt>
                <c:pt idx="6">
                  <c:v>700</c:v>
                </c:pt>
                <c:pt idx="7">
                  <c:v>730</c:v>
                </c:pt>
                <c:pt idx="8">
                  <c:v>740</c:v>
                </c:pt>
                <c:pt idx="9">
                  <c:v>790</c:v>
                </c:pt>
                <c:pt idx="10">
                  <c:v>810</c:v>
                </c:pt>
                <c:pt idx="11">
                  <c:v>800</c:v>
                </c:pt>
                <c:pt idx="12">
                  <c:v>830</c:v>
                </c:pt>
                <c:pt idx="13">
                  <c:v>836</c:v>
                </c:pt>
                <c:pt idx="14">
                  <c:v>825</c:v>
                </c:pt>
                <c:pt idx="15">
                  <c:v>810</c:v>
                </c:pt>
                <c:pt idx="16">
                  <c:v>680</c:v>
                </c:pt>
                <c:pt idx="17">
                  <c:v>650</c:v>
                </c:pt>
                <c:pt idx="18">
                  <c:v>660</c:v>
                </c:pt>
                <c:pt idx="19">
                  <c:v>590</c:v>
                </c:pt>
                <c:pt idx="20">
                  <c:v>590</c:v>
                </c:pt>
                <c:pt idx="21">
                  <c:v>480</c:v>
                </c:pt>
                <c:pt idx="22">
                  <c:v>460</c:v>
                </c:pt>
                <c:pt idx="23">
                  <c:v>450</c:v>
                </c:pt>
                <c:pt idx="24">
                  <c:v>430</c:v>
                </c:pt>
                <c:pt idx="25">
                  <c:v>420</c:v>
                </c:pt>
                <c:pt idx="26">
                  <c:v>415</c:v>
                </c:pt>
                <c:pt idx="27">
                  <c:v>410</c:v>
                </c:pt>
                <c:pt idx="28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1-4EA6-A888-9186A58C815F}"/>
            </c:ext>
          </c:extLst>
        </c:ser>
        <c:ser>
          <c:idx val="1"/>
          <c:order val="1"/>
          <c:tx>
            <c:strRef>
              <c:f>'Задача 1'!$H$2</c:f>
              <c:strCache>
                <c:ptCount val="1"/>
                <c:pt idx="0">
                  <c:v>Ковзне середнє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'Задача 1'!$F$3:$F$32</c:f>
              <c:strCache>
                <c:ptCount val="30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  <c:pt idx="15">
                  <c:v>Квітень</c:v>
                </c:pt>
                <c:pt idx="16">
                  <c:v>Травень</c:v>
                </c:pt>
                <c:pt idx="17">
                  <c:v>Червень</c:v>
                </c:pt>
                <c:pt idx="18">
                  <c:v>Липень</c:v>
                </c:pt>
                <c:pt idx="19">
                  <c:v>Серпень</c:v>
                </c:pt>
                <c:pt idx="20">
                  <c:v>Вересень</c:v>
                </c:pt>
                <c:pt idx="21">
                  <c:v>Жовтень</c:v>
                </c:pt>
                <c:pt idx="22">
                  <c:v>Листопад</c:v>
                </c:pt>
                <c:pt idx="23">
                  <c:v>Грудень</c:v>
                </c:pt>
                <c:pt idx="24">
                  <c:v>Січень</c:v>
                </c:pt>
                <c:pt idx="25">
                  <c:v>Лютий</c:v>
                </c:pt>
                <c:pt idx="26">
                  <c:v>Березень</c:v>
                </c:pt>
                <c:pt idx="27">
                  <c:v>Квітень</c:v>
                </c:pt>
                <c:pt idx="28">
                  <c:v>Травень</c:v>
                </c:pt>
                <c:pt idx="29">
                  <c:v>Прогноз на червень</c:v>
                </c:pt>
              </c:strCache>
            </c:strRef>
          </c:cat>
          <c:val>
            <c:numRef>
              <c:f>'Задача 1'!$H$3:$H$32</c:f>
              <c:numCache>
                <c:formatCode>General</c:formatCode>
                <c:ptCount val="30"/>
                <c:pt idx="3" formatCode="0">
                  <c:v>466.66666666666669</c:v>
                </c:pt>
                <c:pt idx="4" formatCode="0">
                  <c:v>500</c:v>
                </c:pt>
                <c:pt idx="5" formatCode="0">
                  <c:v>526.66666666666663</c:v>
                </c:pt>
                <c:pt idx="6" formatCode="0">
                  <c:v>550</c:v>
                </c:pt>
                <c:pt idx="7" formatCode="0">
                  <c:v>610</c:v>
                </c:pt>
                <c:pt idx="8" formatCode="0">
                  <c:v>666.66666666666663</c:v>
                </c:pt>
                <c:pt idx="9" formatCode="0">
                  <c:v>723.33333333333337</c:v>
                </c:pt>
                <c:pt idx="10" formatCode="0">
                  <c:v>753.33333333333337</c:v>
                </c:pt>
                <c:pt idx="11" formatCode="0">
                  <c:v>780</c:v>
                </c:pt>
                <c:pt idx="12" formatCode="0">
                  <c:v>800</c:v>
                </c:pt>
                <c:pt idx="13" formatCode="0">
                  <c:v>813.33333333333337</c:v>
                </c:pt>
                <c:pt idx="14" formatCode="0">
                  <c:v>822</c:v>
                </c:pt>
                <c:pt idx="15" formatCode="0">
                  <c:v>830.33333333333337</c:v>
                </c:pt>
                <c:pt idx="16" formatCode="0">
                  <c:v>823.66666666666663</c:v>
                </c:pt>
                <c:pt idx="17" formatCode="0">
                  <c:v>771.66666666666663</c:v>
                </c:pt>
                <c:pt idx="18" formatCode="0">
                  <c:v>713.33333333333337</c:v>
                </c:pt>
                <c:pt idx="19" formatCode="0">
                  <c:v>663.33333333333337</c:v>
                </c:pt>
                <c:pt idx="20" formatCode="0">
                  <c:v>633.33333333333337</c:v>
                </c:pt>
                <c:pt idx="21" formatCode="0">
                  <c:v>613.33333333333337</c:v>
                </c:pt>
                <c:pt idx="22" formatCode="0">
                  <c:v>553.33333333333337</c:v>
                </c:pt>
                <c:pt idx="23" formatCode="0">
                  <c:v>510</c:v>
                </c:pt>
                <c:pt idx="24" formatCode="0">
                  <c:v>463.33333333333331</c:v>
                </c:pt>
                <c:pt idx="25" formatCode="0">
                  <c:v>446.66666666666669</c:v>
                </c:pt>
                <c:pt idx="26" formatCode="0">
                  <c:v>433.33333333333331</c:v>
                </c:pt>
                <c:pt idx="27" formatCode="0">
                  <c:v>421.66666666666669</c:v>
                </c:pt>
                <c:pt idx="28" formatCode="0">
                  <c:v>415</c:v>
                </c:pt>
                <c:pt idx="29" formatCode="0">
                  <c:v>408.33333333333331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1-4EA6-A888-9186A58C8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844536"/>
        <c:axId val="307845320"/>
      </c:lineChart>
      <c:catAx>
        <c:axId val="30784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45320"/>
        <c:crosses val="autoZero"/>
        <c:auto val="1"/>
        <c:lblAlgn val="ctr"/>
        <c:lblOffset val="100"/>
        <c:noMultiLvlLbl val="0"/>
      </c:catAx>
      <c:valAx>
        <c:axId val="30784532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4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Об'єм реалізації з початку року (Лінійна)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'Задача 2'!$C$1</c:f>
              <c:strCache>
                <c:ptCount val="1"/>
                <c:pt idx="0">
                  <c:v>Об'єм реалізації з початку року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'Задача 2'!$A$2:$A$10</c:f>
              <c:strCache>
                <c:ptCount val="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</c:strCache>
            </c:strRef>
          </c:cat>
          <c:val>
            <c:numRef>
              <c:f>'Задача 2'!$C$2:$C$10</c:f>
              <c:numCache>
                <c:formatCode>General</c:formatCode>
                <c:ptCount val="9"/>
                <c:pt idx="0">
                  <c:v>1000</c:v>
                </c:pt>
                <c:pt idx="1">
                  <c:v>1580</c:v>
                </c:pt>
                <c:pt idx="2">
                  <c:v>2100</c:v>
                </c:pt>
                <c:pt idx="3">
                  <c:v>2400</c:v>
                </c:pt>
                <c:pt idx="4">
                  <c:v>2650</c:v>
                </c:pt>
                <c:pt idx="5">
                  <c:v>2850</c:v>
                </c:pt>
                <c:pt idx="6">
                  <c:v>3190</c:v>
                </c:pt>
                <c:pt idx="7">
                  <c:v>3510</c:v>
                </c:pt>
                <c:pt idx="8" formatCode="0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B-43C7-B10C-D4DA20D34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876208"/>
        <c:axId val="307876600"/>
      </c:lineChart>
      <c:catAx>
        <c:axId val="30787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6600"/>
        <c:crosses val="autoZero"/>
        <c:auto val="1"/>
        <c:lblAlgn val="ctr"/>
        <c:lblOffset val="100"/>
        <c:noMultiLvlLbl val="0"/>
      </c:catAx>
      <c:valAx>
        <c:axId val="30787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Об'єм реалізації з початку року (Логарифмічна)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'Задача 2'!$C$1</c:f>
              <c:strCache>
                <c:ptCount val="1"/>
                <c:pt idx="0">
                  <c:v>Об'єм реалізації з початку року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094870163464803"/>
                  <c:y val="-1.16245522928936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'Задача 2'!$A$2:$A$10</c:f>
              <c:strCache>
                <c:ptCount val="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</c:strCache>
            </c:strRef>
          </c:cat>
          <c:val>
            <c:numRef>
              <c:f>'Задача 2'!$C$2:$C$10</c:f>
              <c:numCache>
                <c:formatCode>General</c:formatCode>
                <c:ptCount val="9"/>
                <c:pt idx="0">
                  <c:v>1000</c:v>
                </c:pt>
                <c:pt idx="1">
                  <c:v>1580</c:v>
                </c:pt>
                <c:pt idx="2">
                  <c:v>2100</c:v>
                </c:pt>
                <c:pt idx="3">
                  <c:v>2400</c:v>
                </c:pt>
                <c:pt idx="4">
                  <c:v>2650</c:v>
                </c:pt>
                <c:pt idx="5">
                  <c:v>2850</c:v>
                </c:pt>
                <c:pt idx="6">
                  <c:v>3190</c:v>
                </c:pt>
                <c:pt idx="7">
                  <c:v>3510</c:v>
                </c:pt>
                <c:pt idx="8" formatCode="0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0-4964-B503-D139DFF0E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878952"/>
        <c:axId val="307879344"/>
      </c:lineChart>
      <c:catAx>
        <c:axId val="3078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9344"/>
        <c:crosses val="autoZero"/>
        <c:auto val="1"/>
        <c:lblAlgn val="ctr"/>
        <c:lblOffset val="100"/>
        <c:noMultiLvlLbl val="0"/>
      </c:catAx>
      <c:valAx>
        <c:axId val="3078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8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Об'єм реалізації з початку року (Поліноміальна зі ступенем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'Задача 2'!$C$1</c:f>
              <c:strCache>
                <c:ptCount val="1"/>
                <c:pt idx="0">
                  <c:v>Об'єм реалізації з початку року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1051881829245891E-2"/>
                  <c:y val="4.831648054717020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'Задача 2'!$A$2:$A$10</c:f>
              <c:strCache>
                <c:ptCount val="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</c:strCache>
            </c:strRef>
          </c:cat>
          <c:val>
            <c:numRef>
              <c:f>'Задача 2'!$C$2:$C$10</c:f>
              <c:numCache>
                <c:formatCode>General</c:formatCode>
                <c:ptCount val="9"/>
                <c:pt idx="0">
                  <c:v>1000</c:v>
                </c:pt>
                <c:pt idx="1">
                  <c:v>1580</c:v>
                </c:pt>
                <c:pt idx="2">
                  <c:v>2100</c:v>
                </c:pt>
                <c:pt idx="3">
                  <c:v>2400</c:v>
                </c:pt>
                <c:pt idx="4">
                  <c:v>2650</c:v>
                </c:pt>
                <c:pt idx="5">
                  <c:v>2850</c:v>
                </c:pt>
                <c:pt idx="6">
                  <c:v>3190</c:v>
                </c:pt>
                <c:pt idx="7">
                  <c:v>3510</c:v>
                </c:pt>
                <c:pt idx="8" formatCode="0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D-470C-BFF2-A454362B3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878560"/>
        <c:axId val="307878168"/>
      </c:lineChart>
      <c:catAx>
        <c:axId val="30787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8168"/>
        <c:crosses val="autoZero"/>
        <c:auto val="1"/>
        <c:lblAlgn val="ctr"/>
        <c:lblOffset val="100"/>
        <c:noMultiLvlLbl val="0"/>
      </c:catAx>
      <c:valAx>
        <c:axId val="30787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Об'єм реалізації з початку року (Ступенева)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'Задача 2'!$C$1</c:f>
              <c:strCache>
                <c:ptCount val="1"/>
                <c:pt idx="0">
                  <c:v>Об'єм реалізації з початку року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3489522044161756"/>
                  <c:y val="-3.217158176943699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'Задача 2'!$A$2:$A$10</c:f>
              <c:strCache>
                <c:ptCount val="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</c:strCache>
            </c:strRef>
          </c:cat>
          <c:val>
            <c:numRef>
              <c:f>'Задача 2'!$C$2:$C$10</c:f>
              <c:numCache>
                <c:formatCode>General</c:formatCode>
                <c:ptCount val="9"/>
                <c:pt idx="0">
                  <c:v>1000</c:v>
                </c:pt>
                <c:pt idx="1">
                  <c:v>1580</c:v>
                </c:pt>
                <c:pt idx="2">
                  <c:v>2100</c:v>
                </c:pt>
                <c:pt idx="3">
                  <c:v>2400</c:v>
                </c:pt>
                <c:pt idx="4">
                  <c:v>2650</c:v>
                </c:pt>
                <c:pt idx="5">
                  <c:v>2850</c:v>
                </c:pt>
                <c:pt idx="6">
                  <c:v>3190</c:v>
                </c:pt>
                <c:pt idx="7">
                  <c:v>3510</c:v>
                </c:pt>
                <c:pt idx="8" formatCode="0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4-4386-9B60-05C734D89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880128"/>
        <c:axId val="307880520"/>
      </c:lineChart>
      <c:catAx>
        <c:axId val="30788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80520"/>
        <c:crosses val="autoZero"/>
        <c:auto val="1"/>
        <c:lblAlgn val="ctr"/>
        <c:lblOffset val="100"/>
        <c:noMultiLvlLbl val="0"/>
      </c:catAx>
      <c:valAx>
        <c:axId val="30788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8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Ковзне середнє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'Задача 3'!$B$2:$B$11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4-4210-A552-8FC01E444CD5}"/>
            </c:ext>
          </c:extLst>
        </c:ser>
        <c:ser>
          <c:idx val="1"/>
          <c:order val="1"/>
          <c:tx>
            <c:v>Прогноз</c:v>
          </c:tx>
          <c:val>
            <c:numRef>
              <c:f>'Задача 3'!$C$2:$C$11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19</c:v>
                </c:pt>
                <c:pt idx="3">
                  <c:v>30</c:v>
                </c:pt>
                <c:pt idx="4">
                  <c:v>37.5</c:v>
                </c:pt>
                <c:pt idx="5">
                  <c:v>42.5</c:v>
                </c:pt>
                <c:pt idx="6">
                  <c:v>46.5</c:v>
                </c:pt>
                <c:pt idx="7">
                  <c:v>49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4-4210-A552-8FC01E44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647983"/>
        <c:axId val="1425648399"/>
      </c:lineChart>
      <c:catAx>
        <c:axId val="1425647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425648399"/>
        <c:crosses val="autoZero"/>
        <c:auto val="1"/>
        <c:lblAlgn val="ctr"/>
        <c:lblOffset val="100"/>
        <c:noMultiLvlLbl val="0"/>
      </c:catAx>
      <c:valAx>
        <c:axId val="1425648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64798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Експоненціальне згладжування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'Задача 3'!$B$2:$B$11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6-4A71-B658-B190D3410B27}"/>
            </c:ext>
          </c:extLst>
        </c:ser>
        <c:ser>
          <c:idx val="1"/>
          <c:order val="1"/>
          <c:tx>
            <c:v>Прогноз</c:v>
          </c:tx>
          <c:val>
            <c:numRef>
              <c:f>'Задача 3'!$D$2:$D$11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20.5</c:v>
                </c:pt>
                <c:pt idx="4">
                  <c:v>30.65</c:v>
                </c:pt>
                <c:pt idx="5">
                  <c:v>37.195</c:v>
                </c:pt>
                <c:pt idx="6">
                  <c:v>42.658499999999997</c:v>
                </c:pt>
                <c:pt idx="7">
                  <c:v>46.397549999999995</c:v>
                </c:pt>
                <c:pt idx="8">
                  <c:v>48.919264999999996</c:v>
                </c:pt>
                <c:pt idx="9">
                  <c:v>51.075779499999996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F6-4A71-B658-B190D3410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642991"/>
        <c:axId val="1425643407"/>
      </c:lineChart>
      <c:catAx>
        <c:axId val="142564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425643407"/>
        <c:crosses val="autoZero"/>
        <c:auto val="1"/>
        <c:lblAlgn val="ctr"/>
        <c:lblOffset val="100"/>
        <c:noMultiLvlLbl val="0"/>
      </c:catAx>
      <c:valAx>
        <c:axId val="1425643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64299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Змінна </a:t>
            </a:r>
            <a:r>
              <a:rPr lang="en-US"/>
              <a:t>X 1 </a:t>
            </a:r>
            <a:r>
              <a:rPr lang="ru-RU"/>
              <a:t>Графік підбору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'Задача 3'!$A$2:$A$10</c:f>
              <c:numCache>
                <c:formatCode>General</c:formatCode>
                <c:ptCount val="9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</c:numCache>
            </c:numRef>
          </c:xVal>
          <c:yVal>
            <c:numRef>
              <c:f>'Задача 3'!$B$2:$B$10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1B-4B66-858A-85BFFFE0A2CA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'Задача 3'!$A$2:$A$10</c:f>
              <c:numCache>
                <c:formatCode>General</c:formatCode>
                <c:ptCount val="9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</c:numCache>
            </c:numRef>
          </c:xVal>
          <c:yVal>
            <c:numRef>
              <c:f>'Задача 3'!$D$36:$D$44</c:f>
              <c:numCache>
                <c:formatCode>General</c:formatCode>
                <c:ptCount val="9"/>
                <c:pt idx="0">
                  <c:v>10.355555555555565</c:v>
                </c:pt>
                <c:pt idx="1">
                  <c:v>16.405555555555562</c:v>
                </c:pt>
                <c:pt idx="2">
                  <c:v>22.455555555555559</c:v>
                </c:pt>
                <c:pt idx="3">
                  <c:v>28.50555555555556</c:v>
                </c:pt>
                <c:pt idx="4">
                  <c:v>34.555555555555557</c:v>
                </c:pt>
                <c:pt idx="5">
                  <c:v>40.605555555555554</c:v>
                </c:pt>
                <c:pt idx="6">
                  <c:v>46.655555555555551</c:v>
                </c:pt>
                <c:pt idx="7">
                  <c:v>52.705555555555549</c:v>
                </c:pt>
                <c:pt idx="8">
                  <c:v>58.755555555555553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B-4B66-858A-85BFFFE0A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643823"/>
        <c:axId val="1425644655"/>
      </c:scatterChart>
      <c:valAx>
        <c:axId val="142564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644655"/>
        <c:crosses val="autoZero"/>
        <c:crossBetween val="midCat"/>
      </c:valAx>
      <c:valAx>
        <c:axId val="1425644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64382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'Задача 4'!$A$5</c:f>
              <c:strCache>
                <c:ptCount val="1"/>
                <c:pt idx="0">
                  <c:v>Дата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B-4A7D-8358-6F5739553FE9}"/>
            </c:ext>
          </c:extLst>
        </c:ser>
        <c:ser>
          <c:idx val="1"/>
          <c:order val="1"/>
          <c:tx>
            <c:strRef>
              <c:f>'Задача 4'!$B$5</c:f>
              <c:strCache>
                <c:ptCount val="1"/>
                <c:pt idx="0">
                  <c:v>Виручка (обсяг продажів)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4'!$B$6:$B$15</c:f>
              <c:numCache>
                <c:formatCode>0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B-4A7D-8358-6F5739553FE9}"/>
            </c:ext>
          </c:extLst>
        </c:ser>
        <c:ser>
          <c:idx val="2"/>
          <c:order val="2"/>
          <c:tx>
            <c:strRef>
              <c:f>'Задача 4'!$C$5</c:f>
              <c:strCache>
                <c:ptCount val="1"/>
                <c:pt idx="0">
                  <c:v>Грошовий потік CF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4'!$C$6:$C$15</c:f>
              <c:numCache>
                <c:formatCode>0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B-4A7D-8358-6F5739553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07877384"/>
        <c:axId val="307882480"/>
      </c:lineChart>
      <c:catAx>
        <c:axId val="307877384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82480"/>
        <c:crosses val="autoZero"/>
        <c:auto val="1"/>
        <c:lblAlgn val="ctr"/>
        <c:lblOffset val="100"/>
        <c:noMultiLvlLbl val="0"/>
      </c:catAx>
      <c:valAx>
        <c:axId val="307882480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773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'Задача 4'!$B$6:$B$15</c:f>
              <c:numCache>
                <c:formatCode>0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2-4A84-BC1B-B1C334660FDB}"/>
            </c:ext>
          </c:extLst>
        </c:ser>
        <c:ser>
          <c:idx val="1"/>
          <c:order val="1"/>
          <c:tx>
            <c:v>Прогноз</c:v>
          </c:tx>
          <c:val>
            <c:numRef>
              <c:f>'Задача 4'!$D$7:$D$16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0">
                  <c:v>36187417.333333336</c:v>
                </c:pt>
                <c:pt idx="3" formatCode="0">
                  <c:v>48005808</c:v>
                </c:pt>
                <c:pt idx="4" formatCode="0">
                  <c:v>63021343</c:v>
                </c:pt>
                <c:pt idx="5" formatCode="0">
                  <c:v>85465311.666666672</c:v>
                </c:pt>
                <c:pt idx="6" formatCode="0">
                  <c:v>113984677</c:v>
                </c:pt>
                <c:pt idx="7" formatCode="0">
                  <c:v>150472102.33333334</c:v>
                </c:pt>
                <c:pt idx="8" formatCode="0">
                  <c:v>177846223.66666666</c:v>
                </c:pt>
                <c:pt idx="9" formatCode="0">
                  <c:v>200788627.33333334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22-4A84-BC1B-B1C334660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146639"/>
        <c:axId val="1328149135"/>
      </c:lineChart>
      <c:catAx>
        <c:axId val="1328146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328149135"/>
        <c:crosses val="autoZero"/>
        <c:auto val="1"/>
        <c:lblAlgn val="ctr"/>
        <c:lblOffset val="100"/>
        <c:noMultiLvlLbl val="0"/>
      </c:catAx>
      <c:valAx>
        <c:axId val="1328149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28146639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'Задача 4'!$B$6:$B$15</c:f>
              <c:numCache>
                <c:formatCode>0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1-4280-9AE3-FA6D1E50A88F}"/>
            </c:ext>
          </c:extLst>
        </c:ser>
        <c:ser>
          <c:idx val="1"/>
          <c:order val="1"/>
          <c:tx>
            <c:v>Прогноз</c:v>
          </c:tx>
          <c:val>
            <c:numRef>
              <c:f>'Задача 4'!$G$6:$G$15</c:f>
              <c:numCache>
                <c:formatCode>0</c:formatCode>
                <c:ptCount val="10"/>
                <c:pt idx="0" formatCode="General">
                  <c:v>0</c:v>
                </c:pt>
                <c:pt idx="1">
                  <c:v>26289557</c:v>
                </c:pt>
                <c:pt idx="2" formatCode="General">
                  <c:v>31736805.100000001</c:v>
                </c:pt>
                <c:pt idx="3" formatCode="General">
                  <c:v>43261990.030000001</c:v>
                </c:pt>
                <c:pt idx="4" formatCode="General">
                  <c:v>56199907.309</c:v>
                </c:pt>
                <c:pt idx="5" formatCode="General">
                  <c:v>72242533.692699999</c:v>
                </c:pt>
                <c:pt idx="6" formatCode="General">
                  <c:v>102546042.80780998</c:v>
                </c:pt>
                <c:pt idx="7" formatCode="General">
                  <c:v>133875790.34234299</c:v>
                </c:pt>
                <c:pt idx="8" formatCode="General">
                  <c:v>172168891.80270287</c:v>
                </c:pt>
                <c:pt idx="9" formatCode="General">
                  <c:v>190009605.04081085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11-4280-9AE3-FA6D1E50A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126671"/>
        <c:axId val="1328121263"/>
      </c:lineChart>
      <c:catAx>
        <c:axId val="1328126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328121263"/>
        <c:crosses val="autoZero"/>
        <c:auto val="1"/>
        <c:lblAlgn val="ctr"/>
        <c:lblOffset val="100"/>
        <c:noMultiLvlLbl val="0"/>
      </c:catAx>
      <c:valAx>
        <c:axId val="1328121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2812667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'Задача 4'!$C$6:$C$15</c:f>
              <c:numCache>
                <c:formatCode>0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xVal>
          <c:yVal>
            <c:numRef>
              <c:f>'Задача 4'!$B$6:$B$15</c:f>
              <c:numCache>
                <c:formatCode>0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36-4FB7-B3EB-391D4FF4A7C0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'Задача 4'!$C$6:$C$15</c:f>
              <c:numCache>
                <c:formatCode>0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xVal>
          <c:yVal>
            <c:numRef>
              <c:f>'Задача 4'!$K$30:$K$39</c:f>
              <c:numCache>
                <c:formatCode>General</c:formatCode>
                <c:ptCount val="10"/>
                <c:pt idx="0">
                  <c:v>90393169.336806312</c:v>
                </c:pt>
                <c:pt idx="1">
                  <c:v>93451940.258328766</c:v>
                </c:pt>
                <c:pt idx="2">
                  <c:v>94098153.363827571</c:v>
                </c:pt>
                <c:pt idx="3">
                  <c:v>96893409.116628706</c:v>
                </c:pt>
                <c:pt idx="4">
                  <c:v>91885596.856474996</c:v>
                </c:pt>
                <c:pt idx="5">
                  <c:v>105205751.73919268</c:v>
                </c:pt>
                <c:pt idx="6">
                  <c:v>108565835.1817604</c:v>
                </c:pt>
                <c:pt idx="7">
                  <c:v>110441280.18680036</c:v>
                </c:pt>
                <c:pt idx="8">
                  <c:v>221664757.07869986</c:v>
                </c:pt>
                <c:pt idx="9">
                  <c:v>102027000.88148032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36-4FB7-B3EB-391D4FF4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50383"/>
        <c:axId val="1328151631"/>
      </c:scatterChart>
      <c:valAx>
        <c:axId val="132815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28151631"/>
        <c:crosses val="autoZero"/>
        <c:crossBetween val="midCat"/>
      </c:valAx>
      <c:valAx>
        <c:axId val="1328151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2815038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'Задача 5'!$B$1</c:f>
              <c:strCache>
                <c:ptCount val="1"/>
                <c:pt idx="0">
                  <c:v>Курс долара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'Задача 5'!$B$2:$B$32</c:f>
              <c:numCache>
                <c:formatCode>0.00</c:formatCode>
                <c:ptCount val="31"/>
                <c:pt idx="0">
                  <c:v>23.39</c:v>
                </c:pt>
                <c:pt idx="1">
                  <c:v>22.65</c:v>
                </c:pt>
                <c:pt idx="2">
                  <c:v>22.39</c:v>
                </c:pt>
                <c:pt idx="3">
                  <c:v>21.95</c:v>
                </c:pt>
                <c:pt idx="4">
                  <c:v>21.81</c:v>
                </c:pt>
                <c:pt idx="5">
                  <c:v>21.81</c:v>
                </c:pt>
                <c:pt idx="6">
                  <c:v>21.81</c:v>
                </c:pt>
                <c:pt idx="7">
                  <c:v>21.5</c:v>
                </c:pt>
                <c:pt idx="8">
                  <c:v>20.97</c:v>
                </c:pt>
                <c:pt idx="9">
                  <c:v>21.05</c:v>
                </c:pt>
                <c:pt idx="10">
                  <c:v>21.05</c:v>
                </c:pt>
                <c:pt idx="11">
                  <c:v>21.05</c:v>
                </c:pt>
                <c:pt idx="12">
                  <c:v>21.05</c:v>
                </c:pt>
                <c:pt idx="13">
                  <c:v>21.05</c:v>
                </c:pt>
                <c:pt idx="14">
                  <c:v>20.75</c:v>
                </c:pt>
                <c:pt idx="15">
                  <c:v>20.94</c:v>
                </c:pt>
                <c:pt idx="16">
                  <c:v>21.53</c:v>
                </c:pt>
                <c:pt idx="17">
                  <c:v>22.33</c:v>
                </c:pt>
                <c:pt idx="18">
                  <c:v>24.21</c:v>
                </c:pt>
                <c:pt idx="19">
                  <c:v>24.21</c:v>
                </c:pt>
                <c:pt idx="20">
                  <c:v>25.21</c:v>
                </c:pt>
                <c:pt idx="21">
                  <c:v>29.98</c:v>
                </c:pt>
                <c:pt idx="22">
                  <c:v>29.98</c:v>
                </c:pt>
                <c:pt idx="23">
                  <c:v>29.74</c:v>
                </c:pt>
                <c:pt idx="24">
                  <c:v>29.98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29.55</c:v>
                </c:pt>
                <c:pt idx="29">
                  <c:v>29.66</c:v>
                </c:pt>
                <c:pt idx="30">
                  <c:v>29.38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6-4F64-B5DE-F323ABDA2B47}"/>
            </c:ext>
          </c:extLst>
        </c:ser>
        <c:ser>
          <c:idx val="1"/>
          <c:order val="1"/>
          <c:tx>
            <c:strRef>
              <c:f>'Задача 5'!$C$1</c:f>
              <c:strCache>
                <c:ptCount val="1"/>
                <c:pt idx="0">
                  <c:v>Курс євро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'Задача 5'!$C$2:$C$32</c:f>
              <c:numCache>
                <c:formatCode>0.00</c:formatCode>
                <c:ptCount val="31"/>
                <c:pt idx="0">
                  <c:v>34.64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31.51</c:v>
                </c:pt>
                <c:pt idx="17">
                  <c:v>31.05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6-4F64-B5DE-F323ABDA2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883264"/>
        <c:axId val="310532816"/>
      </c:lineChart>
      <c:catAx>
        <c:axId val="30788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2816"/>
        <c:crosses val="autoZero"/>
        <c:auto val="1"/>
        <c:lblAlgn val="ctr"/>
        <c:lblOffset val="100"/>
        <c:noMultiLvlLbl val="0"/>
      </c:catAx>
      <c:valAx>
        <c:axId val="3105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88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0" i="0" u="none" strike="noStrike" baseline="0">
                <a:effectLst/>
              </a:rPr>
              <a:t>Квартальні обсяги продаж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'Задача 6'!$A$8:$B$23</c:f>
              <c:multiLvlStrCache>
                <c:ptCount val="1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</c:lvl>
              </c:multiLvlStrCache>
            </c:multiLvlStrRef>
          </c:cat>
          <c:val>
            <c:numRef>
              <c:f>'Задача 6'!$C$8:$C$23</c:f>
              <c:numCache>
                <c:formatCode>General</c:formatCode>
                <c:ptCount val="16"/>
                <c:pt idx="0">
                  <c:v>25</c:v>
                </c:pt>
                <c:pt idx="1">
                  <c:v>20</c:v>
                </c:pt>
                <c:pt idx="2">
                  <c:v>22</c:v>
                </c:pt>
                <c:pt idx="3">
                  <c:v>36</c:v>
                </c:pt>
                <c:pt idx="4">
                  <c:v>30</c:v>
                </c:pt>
                <c:pt idx="5">
                  <c:v>28</c:v>
                </c:pt>
                <c:pt idx="6">
                  <c:v>31</c:v>
                </c:pt>
                <c:pt idx="7">
                  <c:v>48</c:v>
                </c:pt>
                <c:pt idx="8">
                  <c:v>41</c:v>
                </c:pt>
                <c:pt idx="9">
                  <c:v>40</c:v>
                </c:pt>
                <c:pt idx="10">
                  <c:v>47</c:v>
                </c:pt>
                <c:pt idx="11">
                  <c:v>61</c:v>
                </c:pt>
                <c:pt idx="12">
                  <c:v>54</c:v>
                </c:pt>
                <c:pt idx="13">
                  <c:v>50</c:v>
                </c:pt>
                <c:pt idx="1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0-44C8-A4F4-C390F8D049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'Задача 6'!$A$7</c:f>
              <c:strCache>
                <c:ptCount val="1"/>
                <c:pt idx="0">
                  <c:v>Квартальні обсяги продаж</c:v>
                </c:pt>
              </c:strCache>
            </c:strRef>
          </c:cat>
          <c:val>
            <c:numRef>
              <c:f>'Задача 6'!$B$7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0-44C8-A4F4-C390F8D0497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'Задача 6'!$A$7</c:f>
              <c:strCache>
                <c:ptCount val="1"/>
                <c:pt idx="0">
                  <c:v>Квартальні обсяги продаж</c:v>
                </c:pt>
              </c:strCache>
            </c:strRef>
          </c:cat>
          <c:val>
            <c:numRef>
              <c:f>'Задача 6'!$C$7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0-44C8-A4F4-C390F8D04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533992"/>
        <c:axId val="310534384"/>
      </c:lineChart>
      <c:catAx>
        <c:axId val="31053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4384"/>
        <c:crosses val="autoZero"/>
        <c:auto val="1"/>
        <c:lblAlgn val="ctr"/>
        <c:lblOffset val="100"/>
        <c:noMultiLvlLbl val="0"/>
      </c:catAx>
      <c:valAx>
        <c:axId val="3105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Продажі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31750" cap="rnd">
                <a:solidFill>
                  <a:srgbClr val="FFFF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04-4ADF-8969-D4F543209BA8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31750" cap="rnd">
                <a:solidFill>
                  <a:srgbClr val="FFFF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04-4ADF-8969-D4F543209BA8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31750" cap="rnd">
                <a:solidFill>
                  <a:srgbClr val="FFFF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04-4ADF-8969-D4F543209BA8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strRef>
              <c:f>'Задача 7'!$A$17:$A$32</c:f>
              <c:strCache>
                <c:ptCount val="16"/>
                <c:pt idx="0">
                  <c:v>Місяць</c:v>
                </c:pt>
                <c:pt idx="1">
                  <c:v>Січень</c:v>
                </c:pt>
                <c:pt idx="2">
                  <c:v>Лютий</c:v>
                </c:pt>
                <c:pt idx="3">
                  <c:v>Березень</c:v>
                </c:pt>
                <c:pt idx="4">
                  <c:v>Квітень</c:v>
                </c:pt>
                <c:pt idx="5">
                  <c:v>Травень</c:v>
                </c:pt>
                <c:pt idx="6">
                  <c:v>Червень</c:v>
                </c:pt>
                <c:pt idx="7">
                  <c:v>Липень</c:v>
                </c:pt>
                <c:pt idx="8">
                  <c:v>Серпень</c:v>
                </c:pt>
                <c:pt idx="9">
                  <c:v>Вересень</c:v>
                </c:pt>
                <c:pt idx="10">
                  <c:v>Жовтень</c:v>
                </c:pt>
                <c:pt idx="11">
                  <c:v>Листопад</c:v>
                </c:pt>
                <c:pt idx="12">
                  <c:v>Грудень</c:v>
                </c:pt>
                <c:pt idx="13">
                  <c:v>Січень</c:v>
                </c:pt>
                <c:pt idx="14">
                  <c:v>Лютий</c:v>
                </c:pt>
                <c:pt idx="15">
                  <c:v>Березень</c:v>
                </c:pt>
              </c:strCache>
            </c:strRef>
          </c:xVal>
          <c:yVal>
            <c:numRef>
              <c:f>'Задача 7'!$B$18:$B$32</c:f>
              <c:numCache>
                <c:formatCode>General</c:formatCode>
                <c:ptCount val="15"/>
                <c:pt idx="0">
                  <c:v>17986229</c:v>
                </c:pt>
                <c:pt idx="1">
                  <c:v>23571965</c:v>
                </c:pt>
                <c:pt idx="2">
                  <c:v>25537589</c:v>
                </c:pt>
                <c:pt idx="3">
                  <c:v>24630951</c:v>
                </c:pt>
                <c:pt idx="4">
                  <c:v>24429696</c:v>
                </c:pt>
                <c:pt idx="5">
                  <c:v>26116377</c:v>
                </c:pt>
                <c:pt idx="6">
                  <c:v>27931501</c:v>
                </c:pt>
                <c:pt idx="7">
                  <c:v>25914893</c:v>
                </c:pt>
                <c:pt idx="8">
                  <c:v>24904130</c:v>
                </c:pt>
                <c:pt idx="9">
                  <c:v>22360354</c:v>
                </c:pt>
                <c:pt idx="10">
                  <c:v>23825299</c:v>
                </c:pt>
                <c:pt idx="11">
                  <c:v>22241744</c:v>
                </c:pt>
                <c:pt idx="12">
                  <c:v>18570675.651912916</c:v>
                </c:pt>
                <c:pt idx="13">
                  <c:v>24455753.71305836</c:v>
                </c:pt>
                <c:pt idx="14">
                  <c:v>26622740.109485909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04-4ADF-8969-D4F54320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34776"/>
        <c:axId val="310535168"/>
      </c:scatterChart>
      <c:valAx>
        <c:axId val="310534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5168"/>
        <c:crosses val="autoZero"/>
        <c:crossBetween val="midCat"/>
        <c:majorUnit val="1"/>
      </c:valAx>
      <c:valAx>
        <c:axId val="310535168"/>
        <c:scaling>
          <c:orientation val="minMax"/>
          <c:min val="15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Сезонність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91-42C6-B41C-331596CA306E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91-42C6-B41C-331596CA306E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91-42C6-B41C-331596CA306E}"/>
              </c:ext>
            </c:extLst>
          </c:dPt>
          <c:cat>
            <c:strRef>
              <c:f>'Задача 7'!$A$18:$A$32</c:f>
              <c:strCache>
                <c:ptCount val="15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</c:strCache>
            </c:strRef>
          </c:cat>
          <c:val>
            <c:numRef>
              <c:f>'Задача 7'!$C$18:$C$32</c:f>
              <c:numCache>
                <c:formatCode>0.00</c:formatCode>
                <c:ptCount val="15"/>
                <c:pt idx="0">
                  <c:v>0.74567008171421834</c:v>
                </c:pt>
                <c:pt idx="1">
                  <c:v>0.97724259308133443</c:v>
                </c:pt>
                <c:pt idx="2">
                  <c:v>1.0587331050001711</c:v>
                </c:pt>
                <c:pt idx="3">
                  <c:v>1.0211458580266553</c:v>
                </c:pt>
                <c:pt idx="4">
                  <c:v>1.0128022618067141</c:v>
                </c:pt>
                <c:pt idx="5">
                  <c:v>1.0827284013602481</c:v>
                </c:pt>
                <c:pt idx="6">
                  <c:v>1.157979509383027</c:v>
                </c:pt>
                <c:pt idx="7">
                  <c:v>1.0743753112965051</c:v>
                </c:pt>
                <c:pt idx="8">
                  <c:v>1.032471267441414</c:v>
                </c:pt>
                <c:pt idx="9">
                  <c:v>0.92701182634441326</c:v>
                </c:pt>
                <c:pt idx="10">
                  <c:v>0.98774527179631066</c:v>
                </c:pt>
                <c:pt idx="11">
                  <c:v>0.92209451274898846</c:v>
                </c:pt>
                <c:pt idx="12">
                  <c:v>0.74567008171421834</c:v>
                </c:pt>
                <c:pt idx="13">
                  <c:v>0.97724259308133443</c:v>
                </c:pt>
                <c:pt idx="14">
                  <c:v>1.0587331050001711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91-42C6-B41C-331596CA3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535952"/>
        <c:axId val="310536344"/>
      </c:barChart>
      <c:catAx>
        <c:axId val="31053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6344"/>
        <c:crosses val="autoZero"/>
        <c:auto val="1"/>
        <c:lblAlgn val="ctr"/>
        <c:lblOffset val="100"/>
        <c:noMultiLvlLbl val="0"/>
      </c:catAx>
      <c:valAx>
        <c:axId val="31053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Логарифмический тренд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814763779527558"/>
                  <c:y val="0.1594572032662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multiLvlStrRef>
              <c:f>'Задача 9'!$A$2:$B$25</c:f>
              <c:multiLvlStrCache>
                <c:ptCount val="24"/>
                <c:lvl>
                  <c:pt idx="0">
                    <c:v>Липень</c:v>
                  </c:pt>
                  <c:pt idx="1">
                    <c:v>Серпень</c:v>
                  </c:pt>
                  <c:pt idx="2">
                    <c:v>Вересень</c:v>
                  </c:pt>
                  <c:pt idx="3">
                    <c:v>Жовтень</c:v>
                  </c:pt>
                  <c:pt idx="4">
                    <c:v>Листопад</c:v>
                  </c:pt>
                  <c:pt idx="5">
                    <c:v>Грудень</c:v>
                  </c:pt>
                  <c:pt idx="6">
                    <c:v>Січень</c:v>
                  </c:pt>
                  <c:pt idx="7">
                    <c:v>Лютий</c:v>
                  </c:pt>
                  <c:pt idx="8">
                    <c:v>Березень</c:v>
                  </c:pt>
                  <c:pt idx="9">
                    <c:v>Квітень</c:v>
                  </c:pt>
                  <c:pt idx="10">
                    <c:v>Травень</c:v>
                  </c:pt>
                  <c:pt idx="11">
                    <c:v>Червень</c:v>
                  </c:pt>
                  <c:pt idx="12">
                    <c:v>Липень</c:v>
                  </c:pt>
                  <c:pt idx="13">
                    <c:v>Серпень</c:v>
                  </c:pt>
                  <c:pt idx="14">
                    <c:v>Вересень</c:v>
                  </c:pt>
                  <c:pt idx="15">
                    <c:v>Жовтень</c:v>
                  </c:pt>
                  <c:pt idx="16">
                    <c:v>Листопад</c:v>
                  </c:pt>
                  <c:pt idx="17">
                    <c:v>Грудень</c:v>
                  </c:pt>
                  <c:pt idx="18">
                    <c:v>Січень</c:v>
                  </c:pt>
                  <c:pt idx="19">
                    <c:v>Лютий</c:v>
                  </c:pt>
                  <c:pt idx="20">
                    <c:v>Березень</c:v>
                  </c:pt>
                  <c:pt idx="21">
                    <c:v>Квітень</c:v>
                  </c:pt>
                  <c:pt idx="22">
                    <c:v>Травень</c:v>
                  </c:pt>
                  <c:pt idx="23">
                    <c:v>Червень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</c:multiLvlStrCache>
            </c:multiLvlStrRef>
          </c:xVal>
          <c:y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F-4E63-B483-8DB55C1F8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37520"/>
        <c:axId val="310537912"/>
      </c:scatterChart>
      <c:valAx>
        <c:axId val="3105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7912"/>
        <c:crosses val="autoZero"/>
        <c:crossBetween val="midCat"/>
      </c:valAx>
      <c:valAx>
        <c:axId val="31053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Степенной тренд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605052493438322"/>
                  <c:y val="0.13717118693496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multiLvlStrRef>
              <c:f>'Задача 9'!$A$2:$B$25</c:f>
              <c:multiLvlStrCache>
                <c:ptCount val="24"/>
                <c:lvl>
                  <c:pt idx="0">
                    <c:v>Липень</c:v>
                  </c:pt>
                  <c:pt idx="1">
                    <c:v>Серпень</c:v>
                  </c:pt>
                  <c:pt idx="2">
                    <c:v>Вересень</c:v>
                  </c:pt>
                  <c:pt idx="3">
                    <c:v>Жовтень</c:v>
                  </c:pt>
                  <c:pt idx="4">
                    <c:v>Листопад</c:v>
                  </c:pt>
                  <c:pt idx="5">
                    <c:v>Грудень</c:v>
                  </c:pt>
                  <c:pt idx="6">
                    <c:v>Січень</c:v>
                  </c:pt>
                  <c:pt idx="7">
                    <c:v>Лютий</c:v>
                  </c:pt>
                  <c:pt idx="8">
                    <c:v>Березень</c:v>
                  </c:pt>
                  <c:pt idx="9">
                    <c:v>Квітень</c:v>
                  </c:pt>
                  <c:pt idx="10">
                    <c:v>Травень</c:v>
                  </c:pt>
                  <c:pt idx="11">
                    <c:v>Червень</c:v>
                  </c:pt>
                  <c:pt idx="12">
                    <c:v>Липень</c:v>
                  </c:pt>
                  <c:pt idx="13">
                    <c:v>Серпень</c:v>
                  </c:pt>
                  <c:pt idx="14">
                    <c:v>Вересень</c:v>
                  </c:pt>
                  <c:pt idx="15">
                    <c:v>Жовтень</c:v>
                  </c:pt>
                  <c:pt idx="16">
                    <c:v>Листопад</c:v>
                  </c:pt>
                  <c:pt idx="17">
                    <c:v>Грудень</c:v>
                  </c:pt>
                  <c:pt idx="18">
                    <c:v>Січень</c:v>
                  </c:pt>
                  <c:pt idx="19">
                    <c:v>Лютий</c:v>
                  </c:pt>
                  <c:pt idx="20">
                    <c:v>Березень</c:v>
                  </c:pt>
                  <c:pt idx="21">
                    <c:v>Квітень</c:v>
                  </c:pt>
                  <c:pt idx="22">
                    <c:v>Травень</c:v>
                  </c:pt>
                  <c:pt idx="23">
                    <c:v>Червень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</c:multiLvlStrCache>
            </c:multiLvlStrRef>
          </c:xVal>
          <c:y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6E-474D-861F-B0E4EB379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38696"/>
        <c:axId val="310539088"/>
      </c:scatterChart>
      <c:valAx>
        <c:axId val="31053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9088"/>
        <c:crosses val="autoZero"/>
        <c:crossBetween val="midCat"/>
      </c:valAx>
      <c:valAx>
        <c:axId val="3105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8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Экспоненциальный тренд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5107830271216097"/>
                  <c:y val="0.15091827063283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multiLvlStrRef>
              <c:f>'Задача 9'!$A$2:$B$25</c:f>
              <c:multiLvlStrCache>
                <c:ptCount val="24"/>
                <c:lvl>
                  <c:pt idx="0">
                    <c:v>Липень</c:v>
                  </c:pt>
                  <c:pt idx="1">
                    <c:v>Серпень</c:v>
                  </c:pt>
                  <c:pt idx="2">
                    <c:v>Вересень</c:v>
                  </c:pt>
                  <c:pt idx="3">
                    <c:v>Жовтень</c:v>
                  </c:pt>
                  <c:pt idx="4">
                    <c:v>Листопад</c:v>
                  </c:pt>
                  <c:pt idx="5">
                    <c:v>Грудень</c:v>
                  </c:pt>
                  <c:pt idx="6">
                    <c:v>Січень</c:v>
                  </c:pt>
                  <c:pt idx="7">
                    <c:v>Лютий</c:v>
                  </c:pt>
                  <c:pt idx="8">
                    <c:v>Березень</c:v>
                  </c:pt>
                  <c:pt idx="9">
                    <c:v>Квітень</c:v>
                  </c:pt>
                  <c:pt idx="10">
                    <c:v>Травень</c:v>
                  </c:pt>
                  <c:pt idx="11">
                    <c:v>Червень</c:v>
                  </c:pt>
                  <c:pt idx="12">
                    <c:v>Липень</c:v>
                  </c:pt>
                  <c:pt idx="13">
                    <c:v>Серпень</c:v>
                  </c:pt>
                  <c:pt idx="14">
                    <c:v>Вересень</c:v>
                  </c:pt>
                  <c:pt idx="15">
                    <c:v>Жовтень</c:v>
                  </c:pt>
                  <c:pt idx="16">
                    <c:v>Листопад</c:v>
                  </c:pt>
                  <c:pt idx="17">
                    <c:v>Грудень</c:v>
                  </c:pt>
                  <c:pt idx="18">
                    <c:v>Січень</c:v>
                  </c:pt>
                  <c:pt idx="19">
                    <c:v>Лютий</c:v>
                  </c:pt>
                  <c:pt idx="20">
                    <c:v>Березень</c:v>
                  </c:pt>
                  <c:pt idx="21">
                    <c:v>Квітень</c:v>
                  </c:pt>
                  <c:pt idx="22">
                    <c:v>Травень</c:v>
                  </c:pt>
                  <c:pt idx="23">
                    <c:v>Червень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</c:multiLvlStrCache>
            </c:multiLvlStrRef>
          </c:xVal>
          <c:y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1-4795-A9F9-2F3C4BEE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39872"/>
        <c:axId val="310540264"/>
      </c:scatterChart>
      <c:valAx>
        <c:axId val="310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40264"/>
        <c:crosses val="autoZero"/>
        <c:crossBetween val="midCat"/>
      </c:valAx>
      <c:valAx>
        <c:axId val="31054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5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Полиномиальный тренд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>
                    <a:alpha val="97000"/>
                  </a:srgbClr>
                </a:solidFill>
                <a:prstDash val="solid"/>
                <a:round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52830745554396"/>
                  <c:y val="0.592996402606223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multiLvlStrRef>
              <c:f>'Задача 9'!$A$2:$B$25</c:f>
              <c:multiLvlStrCache>
                <c:ptCount val="24"/>
                <c:lvl>
                  <c:pt idx="0">
                    <c:v>Липень</c:v>
                  </c:pt>
                  <c:pt idx="1">
                    <c:v>Серпень</c:v>
                  </c:pt>
                  <c:pt idx="2">
                    <c:v>Вересень</c:v>
                  </c:pt>
                  <c:pt idx="3">
                    <c:v>Жовтень</c:v>
                  </c:pt>
                  <c:pt idx="4">
                    <c:v>Листопад</c:v>
                  </c:pt>
                  <c:pt idx="5">
                    <c:v>Грудень</c:v>
                  </c:pt>
                  <c:pt idx="6">
                    <c:v>Січень</c:v>
                  </c:pt>
                  <c:pt idx="7">
                    <c:v>Лютий</c:v>
                  </c:pt>
                  <c:pt idx="8">
                    <c:v>Березень</c:v>
                  </c:pt>
                  <c:pt idx="9">
                    <c:v>Квітень</c:v>
                  </c:pt>
                  <c:pt idx="10">
                    <c:v>Травень</c:v>
                  </c:pt>
                  <c:pt idx="11">
                    <c:v>Червень</c:v>
                  </c:pt>
                  <c:pt idx="12">
                    <c:v>Липень</c:v>
                  </c:pt>
                  <c:pt idx="13">
                    <c:v>Серпень</c:v>
                  </c:pt>
                  <c:pt idx="14">
                    <c:v>Вересень</c:v>
                  </c:pt>
                  <c:pt idx="15">
                    <c:v>Жовтень</c:v>
                  </c:pt>
                  <c:pt idx="16">
                    <c:v>Листопад</c:v>
                  </c:pt>
                  <c:pt idx="17">
                    <c:v>Грудень</c:v>
                  </c:pt>
                  <c:pt idx="18">
                    <c:v>Січень</c:v>
                  </c:pt>
                  <c:pt idx="19">
                    <c:v>Лютий</c:v>
                  </c:pt>
                  <c:pt idx="20">
                    <c:v>Березень</c:v>
                  </c:pt>
                  <c:pt idx="21">
                    <c:v>Квітень</c:v>
                  </c:pt>
                  <c:pt idx="22">
                    <c:v>Травень</c:v>
                  </c:pt>
                  <c:pt idx="23">
                    <c:v>Червень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</c:multiLvlStrCache>
            </c:multiLvlStrRef>
          </c:xVal>
          <c:y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B-44E3-B9EA-0B497235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144608"/>
        <c:axId val="309145000"/>
      </c:scatterChart>
      <c:valAx>
        <c:axId val="30914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9145000"/>
        <c:crosses val="autoZero"/>
        <c:crossBetween val="midCat"/>
      </c:valAx>
      <c:valAx>
        <c:axId val="3091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914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Линейный тренд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multiLvlStrRef>
              <c:f>'[1]Задача 9'!$A$2:$B$25</c:f>
              <c:multiLvlStrCache>
                <c:ptCount val="24"/>
                <c:lvl>
                  <c:pt idx="0">
                    <c:v>#ССЫЛКА!</c:v>
                  </c:pt>
                  <c:pt idx="1">
                    <c:v>#ССЫЛКА!</c:v>
                  </c:pt>
                  <c:pt idx="2">
                    <c:v>#ССЫЛКА!</c:v>
                  </c:pt>
                  <c:pt idx="3">
                    <c:v>#ССЫЛКА!</c:v>
                  </c:pt>
                  <c:pt idx="4">
                    <c:v>#ССЫЛКА!</c:v>
                  </c:pt>
                  <c:pt idx="5">
                    <c:v>#ССЫЛКА!</c:v>
                  </c:pt>
                  <c:pt idx="6">
                    <c:v>#ССЫЛКА!</c:v>
                  </c:pt>
                  <c:pt idx="7">
                    <c:v>#ССЫЛКА!</c:v>
                  </c:pt>
                  <c:pt idx="8">
                    <c:v>#ССЫЛКА!</c:v>
                  </c:pt>
                  <c:pt idx="9">
                    <c:v>#ССЫЛКА!</c:v>
                  </c:pt>
                  <c:pt idx="10">
                    <c:v>#ССЫЛКА!</c:v>
                  </c:pt>
                  <c:pt idx="11">
                    <c:v>#ССЫЛКА!</c:v>
                  </c:pt>
                  <c:pt idx="12">
                    <c:v>#ССЫЛКА!</c:v>
                  </c:pt>
                  <c:pt idx="13">
                    <c:v>#ССЫЛКА!</c:v>
                  </c:pt>
                  <c:pt idx="14">
                    <c:v>#ССЫЛКА!</c:v>
                  </c:pt>
                  <c:pt idx="15">
                    <c:v>#ССЫЛКА!</c:v>
                  </c:pt>
                  <c:pt idx="16">
                    <c:v>#ССЫЛКА!</c:v>
                  </c:pt>
                  <c:pt idx="17">
                    <c:v>#ССЫЛКА!</c:v>
                  </c:pt>
                  <c:pt idx="18">
                    <c:v>#ССЫЛКА!</c:v>
                  </c:pt>
                  <c:pt idx="19">
                    <c:v>#ССЫЛКА!</c:v>
                  </c:pt>
                  <c:pt idx="20">
                    <c:v>#ССЫЛКА!</c:v>
                  </c:pt>
                  <c:pt idx="21">
                    <c:v>#ССЫЛКА!</c:v>
                  </c:pt>
                  <c:pt idx="22">
                    <c:v>#ССЫЛКА!</c:v>
                  </c:pt>
                  <c:pt idx="23">
                    <c:v>#ССЫЛКА!</c:v>
                  </c:pt>
                </c:lvl>
                <c:lvl>
                  <c:pt idx="0">
                    <c:v>#ССЫЛКА!</c:v>
                  </c:pt>
                  <c:pt idx="1">
                    <c:v>#ССЫЛКА!</c:v>
                  </c:pt>
                  <c:pt idx="2">
                    <c:v>#ССЫЛКА!</c:v>
                  </c:pt>
                  <c:pt idx="3">
                    <c:v>#ССЫЛКА!</c:v>
                  </c:pt>
                  <c:pt idx="4">
                    <c:v>#ССЫЛКА!</c:v>
                  </c:pt>
                  <c:pt idx="5">
                    <c:v>#ССЫЛКА!</c:v>
                  </c:pt>
                  <c:pt idx="6">
                    <c:v>#ССЫЛКА!</c:v>
                  </c:pt>
                  <c:pt idx="7">
                    <c:v>#ССЫЛКА!</c:v>
                  </c:pt>
                  <c:pt idx="8">
                    <c:v>#ССЫЛКА!</c:v>
                  </c:pt>
                  <c:pt idx="9">
                    <c:v>#ССЫЛКА!</c:v>
                  </c:pt>
                  <c:pt idx="10">
                    <c:v>#ССЫЛКА!</c:v>
                  </c:pt>
                  <c:pt idx="11">
                    <c:v>#ССЫЛКА!</c:v>
                  </c:pt>
                  <c:pt idx="12">
                    <c:v>#ССЫЛКА!</c:v>
                  </c:pt>
                  <c:pt idx="13">
                    <c:v>#ССЫЛКА!</c:v>
                  </c:pt>
                  <c:pt idx="14">
                    <c:v>#ССЫЛКА!</c:v>
                  </c:pt>
                  <c:pt idx="15">
                    <c:v>#ССЫЛКА!</c:v>
                  </c:pt>
                  <c:pt idx="16">
                    <c:v>#ССЫЛКА!</c:v>
                  </c:pt>
                  <c:pt idx="17">
                    <c:v>#ССЫЛКА!</c:v>
                  </c:pt>
                  <c:pt idx="18">
                    <c:v>#ССЫЛКА!</c:v>
                  </c:pt>
                  <c:pt idx="19">
                    <c:v>#ССЫЛКА!</c:v>
                  </c:pt>
                  <c:pt idx="20">
                    <c:v>#ССЫЛКА!</c:v>
                  </c:pt>
                  <c:pt idx="21">
                    <c:v>#ССЫЛКА!</c:v>
                  </c:pt>
                  <c:pt idx="22">
                    <c:v>#ССЫЛКА!</c:v>
                  </c:pt>
                  <c:pt idx="23">
                    <c:v>#ССЫЛКА!</c:v>
                  </c:pt>
                </c:lvl>
              </c:multiLvlStrCache>
            </c:multiLvlStrRef>
          </c:xVal>
          <c:y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6-4D68-BD71-EFFD13304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28144"/>
        <c:axId val="438728536"/>
      </c:scatterChart>
      <c:valAx>
        <c:axId val="4387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28536"/>
        <c:crosses val="autoZero"/>
        <c:crossBetween val="midCat"/>
      </c:valAx>
      <c:valAx>
        <c:axId val="4387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og"/>
            <c:dispRSqr val="1"/>
            <c:dispEq val="1"/>
            <c:trendlineLbl>
              <c:layout>
                <c:manualLayout>
                  <c:x val="2.829767491184814E-2"/>
                  <c:y val="-0.53503737032870891"/>
                </c:manualLayout>
              </c:layout>
              <c:numFmt formatCode="General" sourceLinked="0"/>
            </c:trendlineLbl>
          </c:trendline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4FD-4DD9-996A-98883C67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23328"/>
        <c:axId val="137124864"/>
      </c:lineChart>
      <c:catAx>
        <c:axId val="13712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124864"/>
        <c:crosses val="autoZero"/>
        <c:auto val="1"/>
        <c:lblAlgn val="ctr"/>
        <c:lblOffset val="100"/>
        <c:noMultiLvlLbl val="0"/>
      </c:catAx>
      <c:valAx>
        <c:axId val="13712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1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wer"/>
            <c:dispRSqr val="1"/>
            <c:dispEq val="1"/>
            <c:trendlineLbl>
              <c:layout>
                <c:manualLayout>
                  <c:x val="2.5985489187588924E-2"/>
                  <c:y val="-0.56699162604674425"/>
                </c:manualLayout>
              </c:layout>
              <c:numFmt formatCode="General" sourceLinked="0"/>
            </c:trendlineLbl>
          </c:trendline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7F9-472C-BA19-AF7912569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53536"/>
        <c:axId val="137167616"/>
      </c:lineChart>
      <c:catAx>
        <c:axId val="1371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167616"/>
        <c:crosses val="autoZero"/>
        <c:auto val="1"/>
        <c:lblAlgn val="ctr"/>
        <c:lblOffset val="100"/>
        <c:noMultiLvlLbl val="0"/>
      </c:catAx>
      <c:valAx>
        <c:axId val="13716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153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2.829767491184814E-2"/>
                  <c:y val="-0.53503737032870891"/>
                </c:manualLayout>
              </c:layout>
              <c:numFmt formatCode="General" sourceLinked="0"/>
            </c:trendlineLbl>
          </c:trendline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008-4E25-910B-782E5A635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88096"/>
        <c:axId val="137189632"/>
      </c:lineChart>
      <c:catAx>
        <c:axId val="13718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189632"/>
        <c:crosses val="autoZero"/>
        <c:auto val="1"/>
        <c:lblAlgn val="ctr"/>
        <c:lblOffset val="100"/>
        <c:noMultiLvlLbl val="0"/>
      </c:catAx>
      <c:valAx>
        <c:axId val="13718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18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5389591452583707E-4"/>
          <c:y val="3.17460317460317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5.4212289120425625E-2"/>
                  <c:y val="-0.17128058992625922"/>
                </c:manualLayout>
              </c:layout>
              <c:numFmt formatCode="General" sourceLinked="0"/>
            </c:trendlineLbl>
          </c:trendline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BFC-47F0-B03E-09A59525C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18304"/>
        <c:axId val="137228288"/>
      </c:lineChart>
      <c:catAx>
        <c:axId val="13721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228288"/>
        <c:crosses val="autoZero"/>
        <c:auto val="1"/>
        <c:lblAlgn val="ctr"/>
        <c:lblOffset val="100"/>
        <c:noMultiLvlLbl val="0"/>
      </c:catAx>
      <c:valAx>
        <c:axId val="13722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218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2.5985489187588924E-2"/>
                  <c:y val="-0.56699162604674491"/>
                </c:manualLayout>
              </c:layout>
              <c:numFmt formatCode="General" sourceLinked="0"/>
            </c:trendlineLbl>
          </c:trendline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1FE-4A2F-84B7-09D6A20D5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62880"/>
        <c:axId val="138364416"/>
      </c:lineChart>
      <c:catAx>
        <c:axId val="1383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8364416"/>
        <c:crosses val="autoZero"/>
        <c:auto val="1"/>
        <c:lblAlgn val="ctr"/>
        <c:lblOffset val="100"/>
        <c:noMultiLvlLbl val="0"/>
      </c:catAx>
      <c:valAx>
        <c:axId val="13836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362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square"/>
            <c:size val="5"/>
          </c:marker>
          <c:val>
            <c:numRef>
              <c:f>'[2]Лист9 (2)'!$C$2:$C$25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(2)'!$C$1</c15:sqref>
                        </c15:formulaRef>
                      </c:ext>
                    </c:extLst>
                    <c:strCache>
                      <c:ptCount val="1"/>
                      <c:pt idx="0">
                        <c:v>Объем продаж (грн.)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C53-4E7A-9186-83500FC6E7D4}"/>
            </c:ext>
          </c:extLst>
        </c:ser>
        <c:ser>
          <c:idx val="1"/>
          <c:order val="1"/>
          <c:marker>
            <c:symbol val="square"/>
            <c:size val="5"/>
          </c:marker>
          <c:val>
            <c:numRef>
              <c:f>'[2]Лист9 (2)'!$E$2:$E$25</c:f>
              <c:numCache>
                <c:formatCode>General</c:formatCode>
                <c:ptCount val="24"/>
                <c:pt idx="0">
                  <c:v>7572.9026000000003</c:v>
                </c:pt>
                <c:pt idx="1">
                  <c:v>6153.9296000000013</c:v>
                </c:pt>
                <c:pt idx="2">
                  <c:v>4472.5950000000012</c:v>
                </c:pt>
                <c:pt idx="3">
                  <c:v>3017.0648000000028</c:v>
                </c:pt>
                <c:pt idx="4">
                  <c:v>2053.6250000000036</c:v>
                </c:pt>
                <c:pt idx="5">
                  <c:v>1677.1536000000033</c:v>
                </c:pt>
                <c:pt idx="6">
                  <c:v>1856.6966000000129</c:v>
                </c:pt>
                <c:pt idx="7">
                  <c:v>2476.1480000000047</c:v>
                </c:pt>
                <c:pt idx="8">
                  <c:v>3370.0337999999947</c:v>
                </c:pt>
                <c:pt idx="9">
                  <c:v>4354.4000000000142</c:v>
                </c:pt>
                <c:pt idx="10">
                  <c:v>5252.8045999999958</c:v>
                </c:pt>
                <c:pt idx="11">
                  <c:v>5917.4136000000371</c:v>
                </c:pt>
                <c:pt idx="12">
                  <c:v>6245.2009999999809</c:v>
                </c:pt>
                <c:pt idx="13">
                  <c:v>6189.2528000001148</c:v>
                </c:pt>
                <c:pt idx="14">
                  <c:v>5765.1750000000293</c:v>
                </c:pt>
                <c:pt idx="15">
                  <c:v>5052.6056000000517</c:v>
                </c:pt>
                <c:pt idx="16">
                  <c:v>4191.8306000000584</c:v>
                </c:pt>
                <c:pt idx="17">
                  <c:v>3375.503999999768</c:v>
                </c:pt>
                <c:pt idx="18">
                  <c:v>2835.4718000001321</c:v>
                </c:pt>
                <c:pt idx="19">
                  <c:v>2824.7000000000571</c:v>
                </c:pt>
                <c:pt idx="20">
                  <c:v>3594.3066000001454</c:v>
                </c:pt>
                <c:pt idx="21">
                  <c:v>5365.6975999997721</c:v>
                </c:pt>
                <c:pt idx="22">
                  <c:v>8297.8070000004573</c:v>
                </c:pt>
                <c:pt idx="23">
                  <c:v>12449.440800000732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'[2]Лист9 (2)'!$E$1</c15:sqref>
                        </c15:formulaRef>
                      </c:ext>
                    </c:extLst>
                    <c:strCache>
                      <c:ptCount val="1"/>
                      <c:pt idx="0">
                        <c:v>Полином. Тренд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C53-4E7A-9186-83500FC6E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09856"/>
        <c:axId val="138411392"/>
      </c:lineChart>
      <c:catAx>
        <c:axId val="13840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8411392"/>
        <c:crosses val="autoZero"/>
        <c:auto val="1"/>
        <c:lblAlgn val="ctr"/>
        <c:lblOffset val="100"/>
        <c:noMultiLvlLbl val="0"/>
      </c:catAx>
      <c:valAx>
        <c:axId val="13841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40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222251</xdr:colOff>
      <xdr:row>35</xdr:row>
      <xdr:rowOff>30690</xdr:rowOff>
    </xdr:from>
    <xdr:to>
      <xdr:col>15</xdr:col>
      <xdr:colOff>367393</xdr:colOff>
      <xdr:row>63</xdr:row>
      <xdr:rowOff>136071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519112</xdr:colOff>
      <xdr:row>13</xdr:row>
      <xdr:rowOff>47625</xdr:rowOff>
    </xdr:from>
    <xdr:to>
      <xdr:col>7</xdr:col>
      <xdr:colOff>304800</xdr:colOff>
      <xdr:row>31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13</xdr:row>
      <xdr:rowOff>123825</xdr:rowOff>
    </xdr:from>
    <xdr:to>
      <xdr:col>17</xdr:col>
      <xdr:colOff>500063</xdr:colOff>
      <xdr:row>32</xdr:row>
      <xdr:rowOff>57150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7</xdr:col>
      <xdr:colOff>395288</xdr:colOff>
      <xdr:row>52</xdr:row>
      <xdr:rowOff>123825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17</xdr:col>
      <xdr:colOff>519113</xdr:colOff>
      <xdr:row>52</xdr:row>
      <xdr:rowOff>123825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200025</xdr:rowOff>
    </xdr:from>
    <xdr:to>
      <xdr:col>10</xdr:col>
      <xdr:colOff>409575</xdr:colOff>
      <xdr:row>9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0</xdr:row>
      <xdr:rowOff>219075</xdr:rowOff>
    </xdr:from>
    <xdr:to>
      <xdr:col>20</xdr:col>
      <xdr:colOff>276225</xdr:colOff>
      <xdr:row>9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209549</xdr:colOff>
      <xdr:row>34</xdr:row>
      <xdr:rowOff>28575</xdr:rowOff>
    </xdr:from>
    <xdr:to>
      <xdr:col>10</xdr:col>
      <xdr:colOff>971549</xdr:colOff>
      <xdr:row>44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1104899</xdr:colOff>
      <xdr:row>92</xdr:row>
      <xdr:rowOff>157162</xdr:rowOff>
    </xdr:from>
    <xdr:to>
      <xdr:col>9</xdr:col>
      <xdr:colOff>333375</xdr:colOff>
      <xdr:row>115</xdr:row>
      <xdr:rowOff>133350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161925</xdr:rowOff>
    </xdr:from>
    <xdr:to>
      <xdr:col>7</xdr:col>
      <xdr:colOff>161925</xdr:colOff>
      <xdr:row>26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171450</xdr:rowOff>
    </xdr:from>
    <xdr:to>
      <xdr:col>7</xdr:col>
      <xdr:colOff>180975</xdr:colOff>
      <xdr:row>37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266699</xdr:colOff>
      <xdr:row>28</xdr:row>
      <xdr:rowOff>28575</xdr:rowOff>
    </xdr:from>
    <xdr:to>
      <xdr:col>18</xdr:col>
      <xdr:colOff>352424</xdr:colOff>
      <xdr:row>38</xdr:row>
      <xdr:rowOff>57150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36</xdr:row>
      <xdr:rowOff>100011</xdr:rowOff>
    </xdr:from>
    <xdr:to>
      <xdr:col>8</xdr:col>
      <xdr:colOff>314325</xdr:colOff>
      <xdr:row>54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71436</xdr:rowOff>
    </xdr:from>
    <xdr:to>
      <xdr:col>15</xdr:col>
      <xdr:colOff>323850</xdr:colOff>
      <xdr:row>23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17</xdr:row>
      <xdr:rowOff>142875</xdr:rowOff>
    </xdr:from>
    <xdr:to>
      <xdr:col>12</xdr:col>
      <xdr:colOff>187325</xdr:colOff>
      <xdr:row>32</xdr:row>
      <xdr:rowOff>76199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266699</xdr:colOff>
      <xdr:row>16</xdr:row>
      <xdr:rowOff>100011</xdr:rowOff>
    </xdr:from>
    <xdr:to>
      <xdr:col>21</xdr:col>
      <xdr:colOff>517525</xdr:colOff>
      <xdr:row>33</xdr:row>
      <xdr:rowOff>47624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42</xdr:row>
      <xdr:rowOff>100012</xdr:rowOff>
    </xdr:from>
    <xdr:to>
      <xdr:col>6</xdr:col>
      <xdr:colOff>76200</xdr:colOff>
      <xdr:row>56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56</xdr:row>
      <xdr:rowOff>19050</xdr:rowOff>
    </xdr:from>
    <xdr:to>
      <xdr:col>16</xdr:col>
      <xdr:colOff>133350</xdr:colOff>
      <xdr:row>70</xdr:row>
      <xdr:rowOff>95250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438150</xdr:colOff>
      <xdr:row>57</xdr:row>
      <xdr:rowOff>152400</xdr:rowOff>
    </xdr:from>
    <xdr:to>
      <xdr:col>7</xdr:col>
      <xdr:colOff>504825</xdr:colOff>
      <xdr:row>72</xdr:row>
      <xdr:rowOff>38100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1085850</xdr:colOff>
      <xdr:row>47</xdr:row>
      <xdr:rowOff>47624</xdr:rowOff>
    </xdr:from>
    <xdr:to>
      <xdr:col>25</xdr:col>
      <xdr:colOff>47625</xdr:colOff>
      <xdr:row>62</xdr:row>
      <xdr:rowOff>171449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1304925</xdr:colOff>
      <xdr:row>34</xdr:row>
      <xdr:rowOff>95250</xdr:rowOff>
    </xdr:from>
    <xdr:to>
      <xdr:col>12</xdr:col>
      <xdr:colOff>428625</xdr:colOff>
      <xdr:row>50</xdr:row>
      <xdr:rowOff>28575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38</xdr:row>
      <xdr:rowOff>0</xdr:rowOff>
    </xdr:from>
    <xdr:to>
      <xdr:col>7</xdr:col>
      <xdr:colOff>571500</xdr:colOff>
      <xdr:row>59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609600</xdr:colOff>
      <xdr:row>83</xdr:row>
      <xdr:rowOff>85725</xdr:rowOff>
    </xdr:from>
    <xdr:to>
      <xdr:col>30</xdr:col>
      <xdr:colOff>304800</xdr:colOff>
      <xdr:row>104</xdr:row>
      <xdr:rowOff>85725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59</xdr:row>
      <xdr:rowOff>133350</xdr:rowOff>
    </xdr:from>
    <xdr:to>
      <xdr:col>7</xdr:col>
      <xdr:colOff>552450</xdr:colOff>
      <xdr:row>80</xdr:row>
      <xdr:rowOff>133350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165100</xdr:colOff>
      <xdr:row>83</xdr:row>
      <xdr:rowOff>114300</xdr:rowOff>
    </xdr:from>
    <xdr:to>
      <xdr:col>17</xdr:col>
      <xdr:colOff>336550</xdr:colOff>
      <xdr:row>104</xdr:row>
      <xdr:rowOff>114300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81</xdr:row>
      <xdr:rowOff>66675</xdr:rowOff>
    </xdr:from>
    <xdr:to>
      <xdr:col>7</xdr:col>
      <xdr:colOff>581025</xdr:colOff>
      <xdr:row>102</xdr:row>
      <xdr:rowOff>66675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813707</xdr:colOff>
      <xdr:row>61</xdr:row>
      <xdr:rowOff>178252</xdr:rowOff>
    </xdr:from>
    <xdr:to>
      <xdr:col>20</xdr:col>
      <xdr:colOff>175532</xdr:colOff>
      <xdr:row>79</xdr:row>
      <xdr:rowOff>149677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72;&#1073;&#1086;&#1088;&#1072;&#1090;&#1086;&#1088;&#1085;&#1072;&#1103;%20&#8470;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ча 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70" zoomScaleNormal="70" workbookViewId="0">
      <selection activeCell="M5" sqref="M5"/>
    </sheetView>
  </sheetViews>
  <sheetFormatPr defaultRowHeight="15" x14ac:dyDescent="0.25"/>
  <cols>
    <col min="7" max="7" width="15" style="2" customWidth="1"/>
    <col min="8" max="8" width="20.5703125" bestFit="1" customWidth="1"/>
    <col min="10" max="10" width="17.28515625" bestFit="1" customWidth="1"/>
    <col min="11" max="11" width="19.140625" bestFit="1" customWidth="1"/>
    <col min="12" max="12" width="19.85546875" bestFit="1" customWidth="1"/>
    <col min="14" max="14" width="18.140625" bestFit="1" customWidth="1"/>
  </cols>
  <sheetData>
    <row r="1" spans="1:14" x14ac:dyDescent="0.25">
      <c r="A1" s="177" t="s">
        <v>63</v>
      </c>
      <c r="B1" s="177"/>
      <c r="C1" s="177"/>
      <c r="D1" s="177"/>
    </row>
    <row r="2" spans="1:14" x14ac:dyDescent="0.25">
      <c r="A2" s="1"/>
      <c r="B2" s="178" t="s">
        <v>64</v>
      </c>
      <c r="C2" s="179"/>
      <c r="D2" s="180"/>
      <c r="F2" s="3" t="s">
        <v>77</v>
      </c>
      <c r="G2" s="3" t="s">
        <v>64</v>
      </c>
      <c r="H2" s="3" t="s">
        <v>78</v>
      </c>
    </row>
    <row r="3" spans="1:14" x14ac:dyDescent="0.25">
      <c r="A3" s="1"/>
      <c r="B3" s="1">
        <v>2014</v>
      </c>
      <c r="C3" s="1">
        <v>2015</v>
      </c>
      <c r="D3" s="1">
        <v>2016</v>
      </c>
      <c r="F3" s="1" t="s">
        <v>65</v>
      </c>
      <c r="G3" s="3">
        <v>420</v>
      </c>
    </row>
    <row r="4" spans="1:14" x14ac:dyDescent="0.25">
      <c r="A4" s="1" t="s">
        <v>65</v>
      </c>
      <c r="B4" s="1">
        <v>420</v>
      </c>
      <c r="C4" s="1">
        <v>830</v>
      </c>
      <c r="D4" s="1">
        <v>430</v>
      </c>
      <c r="F4" s="1" t="s">
        <v>66</v>
      </c>
      <c r="G4" s="3">
        <v>480</v>
      </c>
      <c r="J4" s="181" t="s">
        <v>0</v>
      </c>
      <c r="K4" s="182"/>
      <c r="L4" s="7" t="s">
        <v>1</v>
      </c>
      <c r="M4" s="8">
        <f>AVERAGE(L6:L31)</f>
        <v>9.9115311827903202E-2</v>
      </c>
    </row>
    <row r="5" spans="1:14" x14ac:dyDescent="0.25">
      <c r="A5" s="1" t="s">
        <v>66</v>
      </c>
      <c r="B5" s="1">
        <v>480</v>
      </c>
      <c r="C5" s="1">
        <v>836</v>
      </c>
      <c r="D5" s="1">
        <v>420</v>
      </c>
      <c r="F5" s="1" t="s">
        <v>67</v>
      </c>
      <c r="G5" s="3">
        <v>500</v>
      </c>
      <c r="J5" s="1" t="s">
        <v>79</v>
      </c>
      <c r="K5" s="1" t="s">
        <v>80</v>
      </c>
      <c r="L5" s="1" t="s">
        <v>81</v>
      </c>
    </row>
    <row r="6" spans="1:14" x14ac:dyDescent="0.25">
      <c r="A6" s="1" t="s">
        <v>67</v>
      </c>
      <c r="B6" s="1">
        <v>500</v>
      </c>
      <c r="C6" s="1">
        <v>825</v>
      </c>
      <c r="D6" s="1">
        <v>415</v>
      </c>
      <c r="F6" s="1" t="s">
        <v>68</v>
      </c>
      <c r="G6" s="3">
        <v>520</v>
      </c>
      <c r="H6" s="155">
        <f t="shared" ref="H6:H32" si="0">AVERAGE(G3:G5)</f>
        <v>466.66666666666669</v>
      </c>
      <c r="J6" s="5">
        <f>G6-H6</f>
        <v>53.333333333333314</v>
      </c>
      <c r="K6" s="5">
        <f>ABS(J6)</f>
        <v>53.333333333333314</v>
      </c>
      <c r="L6" s="6">
        <f>K6/G6</f>
        <v>0.10256410256410253</v>
      </c>
      <c r="N6" s="9" t="s">
        <v>82</v>
      </c>
    </row>
    <row r="7" spans="1:14" x14ac:dyDescent="0.25">
      <c r="A7" s="1" t="s">
        <v>68</v>
      </c>
      <c r="B7" s="1">
        <v>520</v>
      </c>
      <c r="C7" s="1">
        <v>810</v>
      </c>
      <c r="D7" s="1">
        <v>410</v>
      </c>
      <c r="F7" s="1" t="s">
        <v>69</v>
      </c>
      <c r="G7" s="3">
        <v>560</v>
      </c>
      <c r="H7" s="155">
        <f t="shared" si="0"/>
        <v>500</v>
      </c>
      <c r="J7" s="5">
        <f t="shared" ref="J7:J31" si="1">G7-H7</f>
        <v>60</v>
      </c>
      <c r="K7" s="5">
        <f t="shared" ref="K7:K31" si="2">ABS(J7)</f>
        <v>60</v>
      </c>
      <c r="L7" s="6">
        <f t="shared" ref="L7:L31" si="3">K7/G7</f>
        <v>0.10714285714285714</v>
      </c>
      <c r="N7" s="10">
        <f>1-M4</f>
        <v>0.90088468817209677</v>
      </c>
    </row>
    <row r="8" spans="1:14" x14ac:dyDescent="0.25">
      <c r="A8" s="1" t="s">
        <v>69</v>
      </c>
      <c r="B8" s="1">
        <v>560</v>
      </c>
      <c r="C8" s="1">
        <v>680</v>
      </c>
      <c r="D8" s="1">
        <v>400</v>
      </c>
      <c r="F8" s="1" t="s">
        <v>70</v>
      </c>
      <c r="G8" s="3">
        <v>570</v>
      </c>
      <c r="H8" s="155">
        <f t="shared" si="0"/>
        <v>526.66666666666663</v>
      </c>
      <c r="J8" s="5">
        <f t="shared" si="1"/>
        <v>43.333333333333371</v>
      </c>
      <c r="K8" s="5">
        <f t="shared" si="2"/>
        <v>43.333333333333371</v>
      </c>
      <c r="L8" s="6">
        <f t="shared" si="3"/>
        <v>7.6023391812865562E-2</v>
      </c>
    </row>
    <row r="9" spans="1:14" x14ac:dyDescent="0.25">
      <c r="A9" s="1" t="s">
        <v>70</v>
      </c>
      <c r="B9" s="1">
        <v>570</v>
      </c>
      <c r="C9" s="1">
        <v>650</v>
      </c>
      <c r="D9" s="1"/>
      <c r="F9" s="1" t="s">
        <v>71</v>
      </c>
      <c r="G9" s="3">
        <v>700</v>
      </c>
      <c r="H9" s="155">
        <f t="shared" si="0"/>
        <v>550</v>
      </c>
      <c r="J9" s="5">
        <f t="shared" si="1"/>
        <v>150</v>
      </c>
      <c r="K9" s="5">
        <f t="shared" si="2"/>
        <v>150</v>
      </c>
      <c r="L9" s="6">
        <f t="shared" si="3"/>
        <v>0.21428571428571427</v>
      </c>
    </row>
    <row r="10" spans="1:14" x14ac:dyDescent="0.25">
      <c r="A10" s="1" t="s">
        <v>71</v>
      </c>
      <c r="B10" s="1">
        <v>700</v>
      </c>
      <c r="C10" s="1">
        <v>660</v>
      </c>
      <c r="D10" s="1"/>
      <c r="F10" s="1" t="s">
        <v>72</v>
      </c>
      <c r="G10" s="3">
        <v>730</v>
      </c>
      <c r="H10" s="155">
        <f t="shared" si="0"/>
        <v>610</v>
      </c>
      <c r="J10" s="5">
        <f t="shared" si="1"/>
        <v>120</v>
      </c>
      <c r="K10" s="5">
        <f t="shared" si="2"/>
        <v>120</v>
      </c>
      <c r="L10" s="6">
        <f t="shared" si="3"/>
        <v>0.16438356164383561</v>
      </c>
    </row>
    <row r="11" spans="1:14" x14ac:dyDescent="0.25">
      <c r="A11" s="1" t="s">
        <v>72</v>
      </c>
      <c r="B11" s="1">
        <v>730</v>
      </c>
      <c r="C11" s="1">
        <v>590</v>
      </c>
      <c r="D11" s="1"/>
      <c r="F11" s="1" t="s">
        <v>73</v>
      </c>
      <c r="G11" s="3">
        <v>740</v>
      </c>
      <c r="H11" s="155">
        <f t="shared" si="0"/>
        <v>666.66666666666663</v>
      </c>
      <c r="J11" s="5">
        <f t="shared" si="1"/>
        <v>73.333333333333371</v>
      </c>
      <c r="K11" s="5">
        <f t="shared" si="2"/>
        <v>73.333333333333371</v>
      </c>
      <c r="L11" s="6">
        <f t="shared" si="3"/>
        <v>9.9099099099099155E-2</v>
      </c>
    </row>
    <row r="12" spans="1:14" x14ac:dyDescent="0.25">
      <c r="A12" s="1" t="s">
        <v>73</v>
      </c>
      <c r="B12" s="1">
        <v>740</v>
      </c>
      <c r="C12" s="1">
        <v>590</v>
      </c>
      <c r="D12" s="1"/>
      <c r="F12" s="1" t="s">
        <v>74</v>
      </c>
      <c r="G12" s="3">
        <v>790</v>
      </c>
      <c r="H12" s="155">
        <f t="shared" si="0"/>
        <v>723.33333333333337</v>
      </c>
      <c r="J12" s="5">
        <f t="shared" si="1"/>
        <v>66.666666666666629</v>
      </c>
      <c r="K12" s="5">
        <f t="shared" si="2"/>
        <v>66.666666666666629</v>
      </c>
      <c r="L12" s="6">
        <f t="shared" si="3"/>
        <v>8.4388185654008394E-2</v>
      </c>
    </row>
    <row r="13" spans="1:14" x14ac:dyDescent="0.25">
      <c r="A13" s="1" t="s">
        <v>74</v>
      </c>
      <c r="B13" s="1">
        <v>790</v>
      </c>
      <c r="C13" s="1">
        <v>480</v>
      </c>
      <c r="D13" s="1"/>
      <c r="F13" s="1" t="s">
        <v>75</v>
      </c>
      <c r="G13" s="3">
        <v>810</v>
      </c>
      <c r="H13" s="155">
        <f t="shared" si="0"/>
        <v>753.33333333333337</v>
      </c>
      <c r="J13" s="5">
        <f t="shared" si="1"/>
        <v>56.666666666666629</v>
      </c>
      <c r="K13" s="5">
        <f t="shared" si="2"/>
        <v>56.666666666666629</v>
      </c>
      <c r="L13" s="6">
        <f t="shared" si="3"/>
        <v>6.9958847736625474E-2</v>
      </c>
    </row>
    <row r="14" spans="1:14" x14ac:dyDescent="0.25">
      <c r="A14" s="1" t="s">
        <v>75</v>
      </c>
      <c r="B14" s="1">
        <v>810</v>
      </c>
      <c r="C14" s="1">
        <v>460</v>
      </c>
      <c r="D14" s="1"/>
      <c r="F14" s="1" t="s">
        <v>76</v>
      </c>
      <c r="G14" s="3">
        <v>800</v>
      </c>
      <c r="H14" s="155">
        <f t="shared" si="0"/>
        <v>780</v>
      </c>
      <c r="J14" s="5">
        <f t="shared" si="1"/>
        <v>20</v>
      </c>
      <c r="K14" s="5">
        <f t="shared" si="2"/>
        <v>20</v>
      </c>
      <c r="L14" s="6">
        <f t="shared" si="3"/>
        <v>2.5000000000000001E-2</v>
      </c>
    </row>
    <row r="15" spans="1:14" x14ac:dyDescent="0.25">
      <c r="A15" s="1" t="s">
        <v>76</v>
      </c>
      <c r="B15" s="1">
        <v>800</v>
      </c>
      <c r="C15" s="1">
        <v>450</v>
      </c>
      <c r="D15" s="1"/>
      <c r="F15" s="1" t="s">
        <v>65</v>
      </c>
      <c r="G15" s="3">
        <v>830</v>
      </c>
      <c r="H15" s="155">
        <f t="shared" si="0"/>
        <v>800</v>
      </c>
      <c r="J15" s="5">
        <f t="shared" si="1"/>
        <v>30</v>
      </c>
      <c r="K15" s="5">
        <f t="shared" si="2"/>
        <v>30</v>
      </c>
      <c r="L15" s="6">
        <f t="shared" si="3"/>
        <v>3.614457831325301E-2</v>
      </c>
    </row>
    <row r="16" spans="1:14" x14ac:dyDescent="0.25">
      <c r="F16" s="1" t="s">
        <v>66</v>
      </c>
      <c r="G16" s="3">
        <v>836</v>
      </c>
      <c r="H16" s="155">
        <f t="shared" si="0"/>
        <v>813.33333333333337</v>
      </c>
      <c r="J16" s="5">
        <f t="shared" si="1"/>
        <v>22.666666666666629</v>
      </c>
      <c r="K16" s="5">
        <f t="shared" si="2"/>
        <v>22.666666666666629</v>
      </c>
      <c r="L16" s="6">
        <f t="shared" si="3"/>
        <v>2.7113237639553384E-2</v>
      </c>
    </row>
    <row r="17" spans="6:12" x14ac:dyDescent="0.25">
      <c r="F17" s="1" t="s">
        <v>67</v>
      </c>
      <c r="G17" s="3">
        <v>825</v>
      </c>
      <c r="H17" s="155">
        <f t="shared" si="0"/>
        <v>822</v>
      </c>
      <c r="J17" s="5">
        <f t="shared" si="1"/>
        <v>3</v>
      </c>
      <c r="K17" s="5">
        <f t="shared" si="2"/>
        <v>3</v>
      </c>
      <c r="L17" s="6">
        <f t="shared" si="3"/>
        <v>3.6363636363636364E-3</v>
      </c>
    </row>
    <row r="18" spans="6:12" x14ac:dyDescent="0.25">
      <c r="F18" s="1" t="s">
        <v>68</v>
      </c>
      <c r="G18" s="3">
        <v>810</v>
      </c>
      <c r="H18" s="155">
        <f t="shared" si="0"/>
        <v>830.33333333333337</v>
      </c>
      <c r="J18" s="5">
        <f t="shared" si="1"/>
        <v>-20.333333333333371</v>
      </c>
      <c r="K18" s="5">
        <f t="shared" si="2"/>
        <v>20.333333333333371</v>
      </c>
      <c r="L18" s="6">
        <f t="shared" si="3"/>
        <v>2.5102880658436261E-2</v>
      </c>
    </row>
    <row r="19" spans="6:12" x14ac:dyDescent="0.25">
      <c r="F19" s="1" t="s">
        <v>69</v>
      </c>
      <c r="G19" s="3">
        <v>680</v>
      </c>
      <c r="H19" s="155">
        <f t="shared" si="0"/>
        <v>823.66666666666663</v>
      </c>
      <c r="J19" s="5">
        <f t="shared" si="1"/>
        <v>-143.66666666666663</v>
      </c>
      <c r="K19" s="5">
        <f t="shared" si="2"/>
        <v>143.66666666666663</v>
      </c>
      <c r="L19" s="6">
        <f t="shared" si="3"/>
        <v>0.21127450980392151</v>
      </c>
    </row>
    <row r="20" spans="6:12" x14ac:dyDescent="0.25">
      <c r="F20" s="1" t="s">
        <v>70</v>
      </c>
      <c r="G20" s="3">
        <v>650</v>
      </c>
      <c r="H20" s="155">
        <f t="shared" si="0"/>
        <v>771.66666666666663</v>
      </c>
      <c r="J20" s="5">
        <f t="shared" si="1"/>
        <v>-121.66666666666663</v>
      </c>
      <c r="K20" s="5">
        <f t="shared" si="2"/>
        <v>121.66666666666663</v>
      </c>
      <c r="L20" s="6">
        <f t="shared" si="3"/>
        <v>0.18717948717948713</v>
      </c>
    </row>
    <row r="21" spans="6:12" x14ac:dyDescent="0.25">
      <c r="F21" s="1" t="s">
        <v>71</v>
      </c>
      <c r="G21" s="3">
        <v>660</v>
      </c>
      <c r="H21" s="155">
        <f t="shared" si="0"/>
        <v>713.33333333333337</v>
      </c>
      <c r="J21" s="5">
        <f t="shared" si="1"/>
        <v>-53.333333333333371</v>
      </c>
      <c r="K21" s="5">
        <f t="shared" si="2"/>
        <v>53.333333333333371</v>
      </c>
      <c r="L21" s="6">
        <f t="shared" si="3"/>
        <v>8.080808080808087E-2</v>
      </c>
    </row>
    <row r="22" spans="6:12" x14ac:dyDescent="0.25">
      <c r="F22" s="1" t="s">
        <v>72</v>
      </c>
      <c r="G22" s="3">
        <v>590</v>
      </c>
      <c r="H22" s="155">
        <f t="shared" si="0"/>
        <v>663.33333333333337</v>
      </c>
      <c r="J22" s="5">
        <f t="shared" si="1"/>
        <v>-73.333333333333371</v>
      </c>
      <c r="K22" s="5">
        <f t="shared" si="2"/>
        <v>73.333333333333371</v>
      </c>
      <c r="L22" s="6">
        <f t="shared" si="3"/>
        <v>0.12429378531073453</v>
      </c>
    </row>
    <row r="23" spans="6:12" x14ac:dyDescent="0.25">
      <c r="F23" s="1" t="s">
        <v>73</v>
      </c>
      <c r="G23" s="3">
        <v>590</v>
      </c>
      <c r="H23" s="155">
        <f t="shared" si="0"/>
        <v>633.33333333333337</v>
      </c>
      <c r="J23" s="5">
        <f t="shared" si="1"/>
        <v>-43.333333333333371</v>
      </c>
      <c r="K23" s="5">
        <f t="shared" si="2"/>
        <v>43.333333333333371</v>
      </c>
      <c r="L23" s="6">
        <f t="shared" si="3"/>
        <v>7.3446327683615878E-2</v>
      </c>
    </row>
    <row r="24" spans="6:12" x14ac:dyDescent="0.25">
      <c r="F24" s="1" t="s">
        <v>74</v>
      </c>
      <c r="G24" s="3">
        <v>480</v>
      </c>
      <c r="H24" s="155">
        <f t="shared" si="0"/>
        <v>613.33333333333337</v>
      </c>
      <c r="J24" s="5">
        <f t="shared" si="1"/>
        <v>-133.33333333333337</v>
      </c>
      <c r="K24" s="5">
        <f t="shared" si="2"/>
        <v>133.33333333333337</v>
      </c>
      <c r="L24" s="6">
        <f t="shared" si="3"/>
        <v>0.27777777777777785</v>
      </c>
    </row>
    <row r="25" spans="6:12" x14ac:dyDescent="0.25">
      <c r="F25" s="1" t="s">
        <v>75</v>
      </c>
      <c r="G25" s="3">
        <v>460</v>
      </c>
      <c r="H25" s="155">
        <f t="shared" si="0"/>
        <v>553.33333333333337</v>
      </c>
      <c r="J25" s="5">
        <f t="shared" si="1"/>
        <v>-93.333333333333371</v>
      </c>
      <c r="K25" s="5">
        <f t="shared" si="2"/>
        <v>93.333333333333371</v>
      </c>
      <c r="L25" s="6">
        <f t="shared" si="3"/>
        <v>0.20289855072463778</v>
      </c>
    </row>
    <row r="26" spans="6:12" x14ac:dyDescent="0.25">
      <c r="F26" s="1" t="s">
        <v>76</v>
      </c>
      <c r="G26" s="3">
        <v>450</v>
      </c>
      <c r="H26" s="155">
        <f t="shared" si="0"/>
        <v>510</v>
      </c>
      <c r="J26" s="5">
        <f t="shared" si="1"/>
        <v>-60</v>
      </c>
      <c r="K26" s="5">
        <f t="shared" si="2"/>
        <v>60</v>
      </c>
      <c r="L26" s="6">
        <f t="shared" si="3"/>
        <v>0.13333333333333333</v>
      </c>
    </row>
    <row r="27" spans="6:12" x14ac:dyDescent="0.25">
      <c r="F27" s="1" t="s">
        <v>65</v>
      </c>
      <c r="G27" s="3">
        <v>430</v>
      </c>
      <c r="H27" s="155">
        <f t="shared" si="0"/>
        <v>463.33333333333331</v>
      </c>
      <c r="J27" s="5">
        <f t="shared" si="1"/>
        <v>-33.333333333333314</v>
      </c>
      <c r="K27" s="5">
        <f t="shared" si="2"/>
        <v>33.333333333333314</v>
      </c>
      <c r="L27" s="6">
        <f t="shared" si="3"/>
        <v>7.7519379844961198E-2</v>
      </c>
    </row>
    <row r="28" spans="6:12" x14ac:dyDescent="0.25">
      <c r="F28" s="1" t="s">
        <v>66</v>
      </c>
      <c r="G28" s="3">
        <v>420</v>
      </c>
      <c r="H28" s="155">
        <f t="shared" si="0"/>
        <v>446.66666666666669</v>
      </c>
      <c r="J28" s="5">
        <f>G28-H28</f>
        <v>-26.666666666666686</v>
      </c>
      <c r="K28" s="5">
        <f t="shared" si="2"/>
        <v>26.666666666666686</v>
      </c>
      <c r="L28" s="6">
        <f t="shared" si="3"/>
        <v>6.3492063492063544E-2</v>
      </c>
    </row>
    <row r="29" spans="6:12" x14ac:dyDescent="0.25">
      <c r="F29" s="1" t="s">
        <v>67</v>
      </c>
      <c r="G29" s="3">
        <v>415</v>
      </c>
      <c r="H29" s="155">
        <f t="shared" si="0"/>
        <v>433.33333333333331</v>
      </c>
      <c r="J29" s="5">
        <f t="shared" si="1"/>
        <v>-18.333333333333314</v>
      </c>
      <c r="K29" s="5">
        <f t="shared" si="2"/>
        <v>18.333333333333314</v>
      </c>
      <c r="L29" s="6">
        <f t="shared" si="3"/>
        <v>4.417670682730919E-2</v>
      </c>
    </row>
    <row r="30" spans="6:12" x14ac:dyDescent="0.25">
      <c r="F30" s="1" t="s">
        <v>68</v>
      </c>
      <c r="G30" s="3">
        <v>410</v>
      </c>
      <c r="H30" s="155">
        <f t="shared" si="0"/>
        <v>421.66666666666669</v>
      </c>
      <c r="J30" s="5">
        <f t="shared" si="1"/>
        <v>-11.666666666666686</v>
      </c>
      <c r="K30" s="5">
        <f t="shared" si="2"/>
        <v>11.666666666666686</v>
      </c>
      <c r="L30" s="6">
        <f t="shared" si="3"/>
        <v>2.8455284552845576E-2</v>
      </c>
    </row>
    <row r="31" spans="6:12" x14ac:dyDescent="0.25">
      <c r="F31" s="1" t="s">
        <v>69</v>
      </c>
      <c r="G31" s="3">
        <v>400</v>
      </c>
      <c r="H31" s="155">
        <f t="shared" si="0"/>
        <v>415</v>
      </c>
      <c r="J31" s="5">
        <f t="shared" si="1"/>
        <v>-15</v>
      </c>
      <c r="K31" s="5">
        <f t="shared" si="2"/>
        <v>15</v>
      </c>
      <c r="L31" s="6">
        <f t="shared" si="3"/>
        <v>3.7499999999999999E-2</v>
      </c>
    </row>
    <row r="32" spans="6:12" x14ac:dyDescent="0.25">
      <c r="F32" s="156" t="s">
        <v>83</v>
      </c>
      <c r="G32" s="156"/>
      <c r="H32" s="155">
        <f t="shared" si="0"/>
        <v>408.33333333333331</v>
      </c>
    </row>
  </sheetData>
  <mergeCells count="3">
    <mergeCell ref="A1:D1"/>
    <mergeCell ref="B2:D2"/>
    <mergeCell ref="J4:K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zoomScale="80" zoomScaleNormal="80" workbookViewId="0">
      <selection activeCell="U32" sqref="U32"/>
    </sheetView>
  </sheetViews>
  <sheetFormatPr defaultRowHeight="15" x14ac:dyDescent="0.25"/>
  <cols>
    <col min="2" max="2" width="19.5703125" customWidth="1"/>
    <col min="3" max="3" width="22" customWidth="1"/>
    <col min="5" max="5" width="11.85546875" customWidth="1"/>
    <col min="6" max="6" width="12.42578125" customWidth="1"/>
    <col min="8" max="8" width="9.140625" bestFit="1" customWidth="1"/>
    <col min="17" max="17" width="10" customWidth="1"/>
    <col min="18" max="18" width="9.85546875" customWidth="1"/>
  </cols>
  <sheetData>
    <row r="1" spans="1:23" ht="45" x14ac:dyDescent="0.25">
      <c r="A1" s="11" t="s">
        <v>77</v>
      </c>
      <c r="B1" s="13" t="s">
        <v>84</v>
      </c>
      <c r="C1" s="33" t="s">
        <v>85</v>
      </c>
      <c r="D1" s="17" t="s">
        <v>86</v>
      </c>
      <c r="E1" s="17" t="s">
        <v>80</v>
      </c>
      <c r="F1" s="17" t="s">
        <v>81</v>
      </c>
      <c r="G1" s="18" t="s">
        <v>2</v>
      </c>
      <c r="H1" s="26" t="s">
        <v>87</v>
      </c>
      <c r="I1" s="17" t="s">
        <v>86</v>
      </c>
      <c r="J1" s="17" t="s">
        <v>80</v>
      </c>
      <c r="K1" s="17" t="s">
        <v>81</v>
      </c>
      <c r="L1" s="18" t="s">
        <v>2</v>
      </c>
      <c r="M1" s="26" t="s">
        <v>87</v>
      </c>
      <c r="N1" s="17" t="s">
        <v>86</v>
      </c>
      <c r="O1" s="17" t="s">
        <v>80</v>
      </c>
      <c r="P1" s="17" t="s">
        <v>81</v>
      </c>
      <c r="Q1" s="18" t="s">
        <v>2</v>
      </c>
      <c r="R1" s="26" t="s">
        <v>87</v>
      </c>
      <c r="S1" s="17" t="s">
        <v>86</v>
      </c>
      <c r="T1" s="17" t="s">
        <v>80</v>
      </c>
      <c r="U1" s="17" t="s">
        <v>81</v>
      </c>
      <c r="V1" s="18" t="s">
        <v>2</v>
      </c>
      <c r="W1" s="26" t="s">
        <v>87</v>
      </c>
    </row>
    <row r="2" spans="1:23" x14ac:dyDescent="0.25">
      <c r="A2" s="1" t="s">
        <v>65</v>
      </c>
      <c r="B2" s="1">
        <v>1000</v>
      </c>
      <c r="C2" s="34">
        <f>SUM($B$2:B2)</f>
        <v>1000</v>
      </c>
      <c r="D2" s="31">
        <f xml:space="preserve"> 319.67*1 + 953.89</f>
        <v>1273.56</v>
      </c>
      <c r="E2" s="5">
        <f xml:space="preserve"> ABS(D2-C2)</f>
        <v>273.55999999999995</v>
      </c>
      <c r="F2" s="14">
        <f>E2/C2</f>
        <v>0.27355999999999997</v>
      </c>
      <c r="G2" s="23">
        <f>AVERAGE(F2:F10)</f>
        <v>5.8267840690169471E-2</v>
      </c>
      <c r="H2" s="27">
        <f>1-G2</f>
        <v>0.94173215930983056</v>
      </c>
      <c r="I2" s="28">
        <f xml:space="preserve"> 1218.2*LN(1) + 819.4</f>
        <v>819.4</v>
      </c>
      <c r="J2" s="5">
        <f xml:space="preserve"> ABS(I2-C2)</f>
        <v>180.60000000000002</v>
      </c>
      <c r="K2" s="22">
        <f>J2/C2</f>
        <v>0.18060000000000001</v>
      </c>
      <c r="L2" s="23">
        <f>AVERAGE(K2:K10)</f>
        <v>5.6230710656256032E-2</v>
      </c>
      <c r="M2" s="27">
        <f>1-L2</f>
        <v>0.94376928934374393</v>
      </c>
      <c r="N2" s="28">
        <f xml:space="preserve"> -19.069*1^2 + 510.36*1 + 604.29</f>
        <v>1095.5809999999999</v>
      </c>
      <c r="O2" s="5">
        <f xml:space="preserve"> ABS(N2-C2)</f>
        <v>95.580999999999904</v>
      </c>
      <c r="P2" s="22">
        <f>O2/C2</f>
        <v>9.5580999999999902E-2</v>
      </c>
      <c r="Q2" s="23">
        <f>AVERAGE(P2:P10)</f>
        <v>3.3385861168982879E-2</v>
      </c>
      <c r="R2" s="27">
        <f>1-Q2</f>
        <v>0.9666141388310171</v>
      </c>
      <c r="S2" s="28">
        <f xml:space="preserve"> 1042.1*1^0.5817</f>
        <v>1042.0999999999999</v>
      </c>
      <c r="T2" s="5">
        <f xml:space="preserve"> ABS(S2-C2)</f>
        <v>42.099999999999909</v>
      </c>
      <c r="U2" s="22">
        <f>T2/C2</f>
        <v>4.2099999999999908E-2</v>
      </c>
      <c r="V2" s="23">
        <f>AVERAGE(U2:U10)</f>
        <v>2.3753612628985378E-2</v>
      </c>
      <c r="W2" s="27">
        <f>1-V2</f>
        <v>0.97624638737101466</v>
      </c>
    </row>
    <row r="3" spans="1:23" x14ac:dyDescent="0.25">
      <c r="A3" s="1" t="s">
        <v>66</v>
      </c>
      <c r="B3" s="1">
        <v>580</v>
      </c>
      <c r="C3" s="34">
        <f>SUM($B$2:B3)</f>
        <v>1580</v>
      </c>
      <c r="D3" s="31">
        <f xml:space="preserve"> 319.67*2 + 953.89</f>
        <v>1593.23</v>
      </c>
      <c r="E3" s="5">
        <f t="shared" ref="E3:E10" si="0" xml:space="preserve"> ABS(D3-C3)</f>
        <v>13.230000000000018</v>
      </c>
      <c r="F3" s="14">
        <f t="shared" ref="F3:F10" si="1">E3/C3</f>
        <v>8.3734177215189984E-3</v>
      </c>
      <c r="G3" s="183" t="s">
        <v>88</v>
      </c>
      <c r="H3" s="184"/>
      <c r="I3" s="28">
        <f xml:space="preserve"> 1218.2*LN(2) + 819.4</f>
        <v>1663.7918953581252</v>
      </c>
      <c r="J3" s="5">
        <f t="shared" ref="J3:J10" si="2" xml:space="preserve"> ABS(I3-C3)</f>
        <v>83.791895358125203</v>
      </c>
      <c r="K3" s="22">
        <f t="shared" ref="K3:K10" si="3">J3/C3</f>
        <v>5.3032845163370382E-2</v>
      </c>
      <c r="L3" s="183" t="s">
        <v>89</v>
      </c>
      <c r="M3" s="184"/>
      <c r="N3" s="28">
        <f xml:space="preserve"> -19.069*2^2 + 510.36*2 + 604.29</f>
        <v>1548.7339999999999</v>
      </c>
      <c r="O3" s="5">
        <f t="shared" ref="O3:O10" si="4" xml:space="preserve"> ABS(N3-C3)</f>
        <v>31.266000000000076</v>
      </c>
      <c r="P3" s="22">
        <f t="shared" ref="P3:P10" si="5">O3/C3</f>
        <v>1.9788607594936756E-2</v>
      </c>
      <c r="Q3" s="189" t="s">
        <v>90</v>
      </c>
      <c r="R3" s="190"/>
      <c r="S3" s="28">
        <f xml:space="preserve"> 1042.1*2^0.5817</f>
        <v>1559.6190971407807</v>
      </c>
      <c r="T3" s="5">
        <f t="shared" ref="T3:T10" si="6" xml:space="preserve"> ABS(S3-C3)</f>
        <v>20.380902859219304</v>
      </c>
      <c r="U3" s="22">
        <f t="shared" ref="U3:U10" si="7">T3/C3</f>
        <v>1.2899305607100826E-2</v>
      </c>
      <c r="V3" s="195" t="s">
        <v>91</v>
      </c>
      <c r="W3" s="196"/>
    </row>
    <row r="4" spans="1:23" ht="15" customHeight="1" x14ac:dyDescent="0.25">
      <c r="A4" s="1" t="s">
        <v>67</v>
      </c>
      <c r="B4" s="1">
        <v>520</v>
      </c>
      <c r="C4" s="34">
        <f>SUM($B$2:B4)</f>
        <v>2100</v>
      </c>
      <c r="D4" s="31">
        <f xml:space="preserve"> 319.67*3 + 953.89</f>
        <v>1912.9</v>
      </c>
      <c r="E4" s="5">
        <f t="shared" si="0"/>
        <v>187.09999999999991</v>
      </c>
      <c r="F4" s="14">
        <f t="shared" si="1"/>
        <v>8.9095238095238047E-2</v>
      </c>
      <c r="G4" s="185"/>
      <c r="H4" s="186"/>
      <c r="I4" s="28">
        <f xml:space="preserve"> 1218.2*LN(3) + 819.4</f>
        <v>2157.7294900554912</v>
      </c>
      <c r="J4" s="5">
        <f t="shared" si="2"/>
        <v>57.729490055491169</v>
      </c>
      <c r="K4" s="22">
        <f t="shared" si="3"/>
        <v>2.7490233359757699E-2</v>
      </c>
      <c r="L4" s="185"/>
      <c r="M4" s="186"/>
      <c r="N4" s="28">
        <f xml:space="preserve"> -19.069*3^2 + 510.36*3 + 604.29</f>
        <v>1963.7489999999998</v>
      </c>
      <c r="O4" s="5">
        <f t="shared" si="4"/>
        <v>136.2510000000002</v>
      </c>
      <c r="P4" s="22">
        <f t="shared" si="5"/>
        <v>6.4881428571428673E-2</v>
      </c>
      <c r="Q4" s="191"/>
      <c r="R4" s="192"/>
      <c r="S4" s="28">
        <f xml:space="preserve"> 1042.1*3^0.5817</f>
        <v>1974.4713197860876</v>
      </c>
      <c r="T4" s="5">
        <f t="shared" si="6"/>
        <v>125.52868021391237</v>
      </c>
      <c r="U4" s="22">
        <f t="shared" si="7"/>
        <v>5.9775562006624934E-2</v>
      </c>
      <c r="V4" s="197"/>
      <c r="W4" s="198"/>
    </row>
    <row r="5" spans="1:23" x14ac:dyDescent="0.25">
      <c r="A5" s="1" t="s">
        <v>68</v>
      </c>
      <c r="B5" s="1">
        <v>300</v>
      </c>
      <c r="C5" s="34">
        <f>SUM($B$2:B5)</f>
        <v>2400</v>
      </c>
      <c r="D5" s="31">
        <f xml:space="preserve"> 319.67*4 + 953.89</f>
        <v>2232.5700000000002</v>
      </c>
      <c r="E5" s="5">
        <f t="shared" si="0"/>
        <v>167.42999999999984</v>
      </c>
      <c r="F5" s="14">
        <f t="shared" si="1"/>
        <v>6.9762499999999936E-2</v>
      </c>
      <c r="G5" s="185"/>
      <c r="H5" s="186"/>
      <c r="I5" s="28">
        <f xml:space="preserve"> 1218.2*LN(4) + 819.4</f>
        <v>2508.1837907162508</v>
      </c>
      <c r="J5" s="5">
        <f t="shared" si="2"/>
        <v>108.18379071625077</v>
      </c>
      <c r="K5" s="22">
        <f t="shared" si="3"/>
        <v>4.5076579465104488E-2</v>
      </c>
      <c r="L5" s="185"/>
      <c r="M5" s="186"/>
      <c r="N5" s="28">
        <f xml:space="preserve"> -19.069*4^2 + 510.36*4 + 604.29</f>
        <v>2340.6260000000002</v>
      </c>
      <c r="O5" s="5">
        <f t="shared" si="4"/>
        <v>59.373999999999796</v>
      </c>
      <c r="P5" s="22">
        <f t="shared" si="5"/>
        <v>2.4739166666666583E-2</v>
      </c>
      <c r="Q5" s="191"/>
      <c r="R5" s="192"/>
      <c r="S5" s="28">
        <f xml:space="preserve"> 1042.1*4^0.5817</f>
        <v>2334.1442550294832</v>
      </c>
      <c r="T5" s="5">
        <f t="shared" si="6"/>
        <v>65.855744970516753</v>
      </c>
      <c r="U5" s="22">
        <f t="shared" si="7"/>
        <v>2.7439893737715312E-2</v>
      </c>
      <c r="V5" s="197"/>
      <c r="W5" s="198"/>
    </row>
    <row r="6" spans="1:23" x14ac:dyDescent="0.25">
      <c r="A6" s="1" t="s">
        <v>69</v>
      </c>
      <c r="B6" s="1">
        <v>250</v>
      </c>
      <c r="C6" s="34">
        <f>SUM($B$2:B6)</f>
        <v>2650</v>
      </c>
      <c r="D6" s="31">
        <f xml:space="preserve"> 319.67*5 + 953.89</f>
        <v>2552.2400000000002</v>
      </c>
      <c r="E6" s="5">
        <f t="shared" si="0"/>
        <v>97.759999999999764</v>
      </c>
      <c r="F6" s="14">
        <f t="shared" si="1"/>
        <v>3.6890566037735759E-2</v>
      </c>
      <c r="G6" s="185"/>
      <c r="H6" s="186"/>
      <c r="I6" s="28">
        <f xml:space="preserve"> 1218.2*LN(5) + 819.4</f>
        <v>2780.0172649272208</v>
      </c>
      <c r="J6" s="5">
        <f t="shared" si="2"/>
        <v>130.01726492722082</v>
      </c>
      <c r="K6" s="22">
        <f t="shared" si="3"/>
        <v>4.906311884046069E-2</v>
      </c>
      <c r="L6" s="185"/>
      <c r="M6" s="186"/>
      <c r="N6" s="28">
        <f xml:space="preserve"> -19.069*5^2 + 510.36*5 + 604.29</f>
        <v>2679.3650000000002</v>
      </c>
      <c r="O6" s="5">
        <f t="shared" si="4"/>
        <v>29.365000000000236</v>
      </c>
      <c r="P6" s="22">
        <f t="shared" si="5"/>
        <v>1.1081132075471787E-2</v>
      </c>
      <c r="Q6" s="191"/>
      <c r="R6" s="192"/>
      <c r="S6" s="28">
        <f xml:space="preserve"> 1042.1*5^0.5817</f>
        <v>2657.6650636341401</v>
      </c>
      <c r="T6" s="5">
        <f t="shared" si="6"/>
        <v>7.6650636341400968</v>
      </c>
      <c r="U6" s="22">
        <f t="shared" si="7"/>
        <v>2.8924768430717345E-3</v>
      </c>
      <c r="V6" s="197"/>
      <c r="W6" s="198"/>
    </row>
    <row r="7" spans="1:23" x14ac:dyDescent="0.25">
      <c r="A7" s="1" t="s">
        <v>70</v>
      </c>
      <c r="B7" s="1">
        <v>200</v>
      </c>
      <c r="C7" s="34">
        <f>SUM($B$2:B7)</f>
        <v>2850</v>
      </c>
      <c r="D7" s="31">
        <f xml:space="preserve"> 319.67*6 + 953.89</f>
        <v>2871.91</v>
      </c>
      <c r="E7" s="5">
        <f t="shared" si="0"/>
        <v>21.909999999999854</v>
      </c>
      <c r="F7" s="14">
        <f t="shared" si="1"/>
        <v>7.6877192982455628E-3</v>
      </c>
      <c r="G7" s="185"/>
      <c r="H7" s="186"/>
      <c r="I7" s="28">
        <f xml:space="preserve"> 1218.2*LN(6) + 819.4</f>
        <v>3002.1213854136167</v>
      </c>
      <c r="J7" s="5">
        <f t="shared" si="2"/>
        <v>152.12138541361674</v>
      </c>
      <c r="K7" s="22">
        <f t="shared" si="3"/>
        <v>5.3375924706532185E-2</v>
      </c>
      <c r="L7" s="185"/>
      <c r="M7" s="186"/>
      <c r="N7" s="28">
        <f xml:space="preserve"> -19.069*6^2 + 510.36*6 + 604.29</f>
        <v>2979.9659999999999</v>
      </c>
      <c r="O7" s="5">
        <f t="shared" si="4"/>
        <v>129.96599999999989</v>
      </c>
      <c r="P7" s="22">
        <f t="shared" si="5"/>
        <v>4.5602105263157861E-2</v>
      </c>
      <c r="Q7" s="191"/>
      <c r="R7" s="192"/>
      <c r="S7" s="28">
        <f xml:space="preserve"> 1042.1*6^0.5817</f>
        <v>2955.0169629547486</v>
      </c>
      <c r="T7" s="5">
        <f t="shared" si="6"/>
        <v>105.01696295474858</v>
      </c>
      <c r="U7" s="22">
        <f t="shared" si="7"/>
        <v>3.6848057177104765E-2</v>
      </c>
      <c r="V7" s="197"/>
      <c r="W7" s="198"/>
    </row>
    <row r="8" spans="1:23" x14ac:dyDescent="0.25">
      <c r="A8" s="1" t="s">
        <v>71</v>
      </c>
      <c r="B8" s="1">
        <v>340</v>
      </c>
      <c r="C8" s="34">
        <f>SUM($B$2:B8)</f>
        <v>3190</v>
      </c>
      <c r="D8" s="31">
        <f xml:space="preserve"> 319.67*7 + 953.89</f>
        <v>3191.58</v>
      </c>
      <c r="E8" s="5">
        <f t="shared" si="0"/>
        <v>1.5799999999999272</v>
      </c>
      <c r="F8" s="14">
        <f t="shared" si="1"/>
        <v>4.9529780564261047E-4</v>
      </c>
      <c r="G8" s="185"/>
      <c r="H8" s="186"/>
      <c r="I8" s="28">
        <f xml:space="preserve"> 1218.2*LN(7) + 819.4</f>
        <v>3189.9077435791828</v>
      </c>
      <c r="J8" s="5">
        <f t="shared" si="2"/>
        <v>9.225642081719343E-2</v>
      </c>
      <c r="K8" s="22">
        <f t="shared" si="3"/>
        <v>2.8920508093164084E-5</v>
      </c>
      <c r="L8" s="185"/>
      <c r="M8" s="186"/>
      <c r="N8" s="28">
        <f xml:space="preserve"> -19.069*7^2 + 510.36*7 + 604.29</f>
        <v>3242.4290000000001</v>
      </c>
      <c r="O8" s="5">
        <f t="shared" si="4"/>
        <v>52.429000000000087</v>
      </c>
      <c r="P8" s="22">
        <f t="shared" si="5"/>
        <v>1.643542319749219E-2</v>
      </c>
      <c r="Q8" s="191"/>
      <c r="R8" s="192"/>
      <c r="S8" s="28">
        <f xml:space="preserve"> 1042.1*7^0.5817</f>
        <v>3232.2349783766858</v>
      </c>
      <c r="T8" s="5">
        <f t="shared" si="6"/>
        <v>42.234978376685831</v>
      </c>
      <c r="U8" s="22">
        <f t="shared" si="7"/>
        <v>1.3239805133757315E-2</v>
      </c>
      <c r="V8" s="197"/>
      <c r="W8" s="198"/>
    </row>
    <row r="9" spans="1:23" x14ac:dyDescent="0.25">
      <c r="A9" s="1" t="s">
        <v>72</v>
      </c>
      <c r="B9" s="1">
        <v>320</v>
      </c>
      <c r="C9" s="34">
        <f>SUM($B$2:B9)</f>
        <v>3510</v>
      </c>
      <c r="D9" s="31">
        <f xml:space="preserve"> 319.67*8 + 953.89</f>
        <v>3511.25</v>
      </c>
      <c r="E9" s="5">
        <f t="shared" si="0"/>
        <v>1.25</v>
      </c>
      <c r="F9" s="14">
        <f t="shared" si="1"/>
        <v>3.5612535612535614E-4</v>
      </c>
      <c r="G9" s="185"/>
      <c r="H9" s="186"/>
      <c r="I9" s="28">
        <f xml:space="preserve"> 1218.2*LN(8) + 819.4</f>
        <v>3352.5756860743759</v>
      </c>
      <c r="J9" s="5">
        <f t="shared" si="2"/>
        <v>157.42431392562412</v>
      </c>
      <c r="K9" s="22">
        <f t="shared" si="3"/>
        <v>4.48502318876422E-2</v>
      </c>
      <c r="L9" s="185"/>
      <c r="M9" s="186"/>
      <c r="N9" s="28">
        <f xml:space="preserve"> -19.069*8^2 + 510.36*8 + 604.29</f>
        <v>3466.7539999999999</v>
      </c>
      <c r="O9" s="5">
        <f t="shared" si="4"/>
        <v>43.246000000000095</v>
      </c>
      <c r="P9" s="22">
        <f t="shared" si="5"/>
        <v>1.2320797720797748E-2</v>
      </c>
      <c r="Q9" s="191"/>
      <c r="R9" s="192"/>
      <c r="S9" s="28">
        <f xml:space="preserve"> 1042.1*8^0.5817</f>
        <v>3493.307701396624</v>
      </c>
      <c r="T9" s="5">
        <f xml:space="preserve"> ABS(S9-C9)</f>
        <v>16.692298603376003</v>
      </c>
      <c r="U9" s="22">
        <f t="shared" si="7"/>
        <v>4.7556406277424511E-3</v>
      </c>
      <c r="V9" s="197"/>
      <c r="W9" s="198"/>
    </row>
    <row r="10" spans="1:23" ht="15.75" thickBot="1" x14ac:dyDescent="0.3">
      <c r="A10" s="1" t="s">
        <v>73</v>
      </c>
      <c r="B10" s="1">
        <v>180</v>
      </c>
      <c r="C10" s="35">
        <f>SUM($B$2:B10)</f>
        <v>3690</v>
      </c>
      <c r="D10" s="32">
        <f xml:space="preserve"> 319.67*9 + 953.89</f>
        <v>3830.92</v>
      </c>
      <c r="E10" s="24">
        <f t="shared" si="0"/>
        <v>140.92000000000007</v>
      </c>
      <c r="F10" s="30">
        <f t="shared" si="1"/>
        <v>3.8189701897018993E-2</v>
      </c>
      <c r="G10" s="187"/>
      <c r="H10" s="188"/>
      <c r="I10" s="29">
        <f xml:space="preserve"> 1218.2*LN(9) + 819.4</f>
        <v>3496.0589801109827</v>
      </c>
      <c r="J10" s="24">
        <f t="shared" si="2"/>
        <v>193.9410198890173</v>
      </c>
      <c r="K10" s="25">
        <f t="shared" si="3"/>
        <v>5.2558541975343438E-2</v>
      </c>
      <c r="L10" s="187"/>
      <c r="M10" s="188"/>
      <c r="N10" s="36">
        <f xml:space="preserve"> -19.069*9^2 + 510.36*9 + 604.29</f>
        <v>3652.9409999999998</v>
      </c>
      <c r="O10" s="24">
        <f t="shared" si="4"/>
        <v>37.059000000000196</v>
      </c>
      <c r="P10" s="25">
        <f t="shared" si="5"/>
        <v>1.0043089430894362E-2</v>
      </c>
      <c r="Q10" s="193"/>
      <c r="R10" s="194"/>
      <c r="S10" s="36">
        <f xml:space="preserve"> 1042.1*9^0.5817</f>
        <v>3741.0392406274018</v>
      </c>
      <c r="T10" s="24">
        <f t="shared" si="6"/>
        <v>51.039240627401796</v>
      </c>
      <c r="U10" s="25">
        <f t="shared" si="7"/>
        <v>1.3831772527751165E-2</v>
      </c>
      <c r="V10" s="199"/>
      <c r="W10" s="200"/>
    </row>
    <row r="11" spans="1:23" x14ac:dyDescent="0.25">
      <c r="A11" s="1" t="s">
        <v>74</v>
      </c>
      <c r="B11" s="5">
        <f>D11-C10</f>
        <v>460.59000000000015</v>
      </c>
      <c r="C11" s="5">
        <f>SUM($B$2:B11)</f>
        <v>4150.59</v>
      </c>
      <c r="D11" s="16">
        <f xml:space="preserve"> 319.67*10 + 953.89</f>
        <v>4150.59</v>
      </c>
      <c r="R11" s="20"/>
    </row>
    <row r="12" spans="1:23" x14ac:dyDescent="0.25">
      <c r="R12" s="20"/>
    </row>
  </sheetData>
  <mergeCells count="4">
    <mergeCell ref="G3:H10"/>
    <mergeCell ref="L3:M10"/>
    <mergeCell ref="Q3:R10"/>
    <mergeCell ref="V3:W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B1" zoomScaleNormal="100" workbookViewId="0">
      <selection activeCell="D1" sqref="D1"/>
    </sheetView>
  </sheetViews>
  <sheetFormatPr defaultRowHeight="15" x14ac:dyDescent="0.25"/>
  <cols>
    <col min="1" max="1" width="10.42578125" customWidth="1"/>
    <col min="3" max="3" width="26.28515625" bestFit="1" customWidth="1"/>
    <col min="4" max="4" width="17.140625" bestFit="1" customWidth="1"/>
    <col min="5" max="5" width="23.28515625" bestFit="1" customWidth="1"/>
    <col min="6" max="6" width="15.5703125" bestFit="1" customWidth="1"/>
    <col min="7" max="7" width="12" bestFit="1" customWidth="1"/>
    <col min="8" max="8" width="14.7109375" bestFit="1" customWidth="1"/>
    <col min="9" max="9" width="13.140625" bestFit="1" customWidth="1"/>
    <col min="10" max="10" width="14.7109375" bestFit="1" customWidth="1"/>
    <col min="11" max="11" width="14.85546875" bestFit="1" customWidth="1"/>
  </cols>
  <sheetData>
    <row r="1" spans="1:11" ht="38.25" customHeight="1" x14ac:dyDescent="0.25">
      <c r="A1" s="37" t="s">
        <v>92</v>
      </c>
      <c r="B1" s="37" t="s">
        <v>93</v>
      </c>
      <c r="C1" s="38" t="s">
        <v>94</v>
      </c>
      <c r="D1" s="157" t="s">
        <v>95</v>
      </c>
      <c r="E1" s="38"/>
      <c r="F1" s="38"/>
      <c r="G1" s="38"/>
      <c r="H1" s="38"/>
      <c r="I1" s="38"/>
      <c r="J1" s="38"/>
      <c r="K1" s="38"/>
    </row>
    <row r="2" spans="1:11" x14ac:dyDescent="0.25">
      <c r="A2" s="1">
        <v>1.5</v>
      </c>
      <c r="B2" s="3">
        <v>3</v>
      </c>
      <c r="C2" t="s">
        <v>3</v>
      </c>
      <c r="D2" t="s">
        <v>3</v>
      </c>
    </row>
    <row r="3" spans="1:11" x14ac:dyDescent="0.25">
      <c r="A3" s="1">
        <v>2</v>
      </c>
      <c r="B3" s="1">
        <v>13</v>
      </c>
      <c r="C3">
        <f t="shared" ref="C3:C11" si="0">AVERAGE(B2:B3)</f>
        <v>8</v>
      </c>
      <c r="D3">
        <f>B2</f>
        <v>3</v>
      </c>
    </row>
    <row r="4" spans="1:11" x14ac:dyDescent="0.25">
      <c r="A4" s="1">
        <v>2.5</v>
      </c>
      <c r="B4" s="1">
        <v>25</v>
      </c>
      <c r="C4">
        <f t="shared" si="0"/>
        <v>19</v>
      </c>
      <c r="D4">
        <f t="shared" ref="D4:D11" si="1">0.7*B3+0.3*D3</f>
        <v>10</v>
      </c>
    </row>
    <row r="5" spans="1:11" x14ac:dyDescent="0.25">
      <c r="A5" s="1">
        <v>3</v>
      </c>
      <c r="B5" s="1">
        <v>35</v>
      </c>
      <c r="C5">
        <f t="shared" si="0"/>
        <v>30</v>
      </c>
      <c r="D5">
        <f t="shared" si="1"/>
        <v>20.5</v>
      </c>
    </row>
    <row r="6" spans="1:11" x14ac:dyDescent="0.25">
      <c r="A6" s="1">
        <v>3.5</v>
      </c>
      <c r="B6" s="1">
        <v>40</v>
      </c>
      <c r="C6">
        <f t="shared" si="0"/>
        <v>37.5</v>
      </c>
      <c r="D6">
        <f t="shared" si="1"/>
        <v>30.65</v>
      </c>
    </row>
    <row r="7" spans="1:11" x14ac:dyDescent="0.25">
      <c r="A7" s="1">
        <v>4</v>
      </c>
      <c r="B7" s="1">
        <v>45</v>
      </c>
      <c r="C7">
        <f t="shared" si="0"/>
        <v>42.5</v>
      </c>
      <c r="D7">
        <f t="shared" si="1"/>
        <v>37.195</v>
      </c>
    </row>
    <row r="8" spans="1:11" x14ac:dyDescent="0.25">
      <c r="A8" s="1">
        <v>4.5</v>
      </c>
      <c r="B8" s="1">
        <v>48</v>
      </c>
      <c r="C8">
        <f t="shared" si="0"/>
        <v>46.5</v>
      </c>
      <c r="D8">
        <f t="shared" si="1"/>
        <v>42.658499999999997</v>
      </c>
    </row>
    <row r="9" spans="1:11" x14ac:dyDescent="0.25">
      <c r="A9" s="1">
        <v>5</v>
      </c>
      <c r="B9" s="1">
        <v>50</v>
      </c>
      <c r="C9">
        <f t="shared" si="0"/>
        <v>49</v>
      </c>
      <c r="D9">
        <f t="shared" si="1"/>
        <v>46.397549999999995</v>
      </c>
    </row>
    <row r="10" spans="1:11" x14ac:dyDescent="0.25">
      <c r="A10" s="1">
        <v>5.5</v>
      </c>
      <c r="B10" s="1">
        <v>52</v>
      </c>
      <c r="C10">
        <f t="shared" si="0"/>
        <v>51</v>
      </c>
      <c r="D10">
        <f t="shared" si="1"/>
        <v>48.919264999999996</v>
      </c>
    </row>
    <row r="11" spans="1:11" x14ac:dyDescent="0.25">
      <c r="A11" s="1">
        <v>6</v>
      </c>
      <c r="B11" s="1"/>
      <c r="C11">
        <f t="shared" si="0"/>
        <v>52</v>
      </c>
      <c r="D11">
        <f t="shared" si="1"/>
        <v>51.075779499999996</v>
      </c>
    </row>
    <row r="12" spans="1:11" x14ac:dyDescent="0.25">
      <c r="C12" t="s">
        <v>4</v>
      </c>
    </row>
    <row r="13" spans="1:11" ht="15.75" thickBot="1" x14ac:dyDescent="0.3"/>
    <row r="14" spans="1:11" x14ac:dyDescent="0.25">
      <c r="C14" s="42" t="s">
        <v>5</v>
      </c>
      <c r="D14" s="42"/>
    </row>
    <row r="15" spans="1:11" x14ac:dyDescent="0.25">
      <c r="C15" s="39" t="s">
        <v>6</v>
      </c>
      <c r="D15" s="39">
        <v>0.95376718961611284</v>
      </c>
    </row>
    <row r="16" spans="1:11" x14ac:dyDescent="0.25">
      <c r="C16" s="39" t="s">
        <v>7</v>
      </c>
      <c r="D16" s="39">
        <v>0.90967185198821809</v>
      </c>
    </row>
    <row r="17" spans="3:11" x14ac:dyDescent="0.25">
      <c r="C17" s="39" t="s">
        <v>8</v>
      </c>
      <c r="D17" s="39">
        <v>0.89676783084367784</v>
      </c>
    </row>
    <row r="18" spans="3:11" x14ac:dyDescent="0.25">
      <c r="C18" s="39" t="s">
        <v>9</v>
      </c>
      <c r="D18" s="39">
        <v>5.5815028982501271</v>
      </c>
    </row>
    <row r="19" spans="3:11" ht="15.75" thickBot="1" x14ac:dyDescent="0.3">
      <c r="C19" s="40" t="s">
        <v>10</v>
      </c>
      <c r="D19" s="40">
        <v>9</v>
      </c>
    </row>
    <row r="21" spans="3:11" ht="15.75" thickBot="1" x14ac:dyDescent="0.3">
      <c r="C21" t="s">
        <v>11</v>
      </c>
    </row>
    <row r="22" spans="3:11" x14ac:dyDescent="0.25">
      <c r="C22" s="41"/>
      <c r="D22" s="41" t="s">
        <v>16</v>
      </c>
      <c r="E22" s="41" t="s">
        <v>17</v>
      </c>
      <c r="F22" s="41" t="s">
        <v>18</v>
      </c>
      <c r="G22" s="41" t="s">
        <v>19</v>
      </c>
      <c r="H22" s="41" t="s">
        <v>20</v>
      </c>
    </row>
    <row r="23" spans="3:11" x14ac:dyDescent="0.25">
      <c r="C23" s="39" t="s">
        <v>12</v>
      </c>
      <c r="D23" s="39">
        <v>1</v>
      </c>
      <c r="E23" s="39">
        <v>2196.1500000000005</v>
      </c>
      <c r="F23" s="39">
        <v>2196.1500000000005</v>
      </c>
      <c r="G23" s="39">
        <v>70.495223295034862</v>
      </c>
      <c r="H23" s="39">
        <v>6.686190255355E-5</v>
      </c>
    </row>
    <row r="24" spans="3:11" x14ac:dyDescent="0.25">
      <c r="C24" s="39" t="s">
        <v>13</v>
      </c>
      <c r="D24" s="39">
        <v>7</v>
      </c>
      <c r="E24" s="39">
        <v>218.07222222222202</v>
      </c>
      <c r="F24" s="39">
        <v>31.153174603174573</v>
      </c>
      <c r="G24" s="39"/>
      <c r="H24" s="39"/>
    </row>
    <row r="25" spans="3:11" ht="15.75" thickBot="1" x14ac:dyDescent="0.3">
      <c r="C25" s="40" t="s">
        <v>14</v>
      </c>
      <c r="D25" s="40">
        <v>8</v>
      </c>
      <c r="E25" s="40">
        <v>2414.2222222222226</v>
      </c>
      <c r="F25" s="40"/>
      <c r="G25" s="40"/>
      <c r="H25" s="40"/>
    </row>
    <row r="26" spans="3:11" ht="15.75" thickBot="1" x14ac:dyDescent="0.3"/>
    <row r="27" spans="3:11" x14ac:dyDescent="0.25">
      <c r="C27" s="41"/>
      <c r="D27" s="41" t="s">
        <v>21</v>
      </c>
      <c r="E27" s="41" t="s">
        <v>9</v>
      </c>
      <c r="F27" s="41" t="s">
        <v>22</v>
      </c>
      <c r="G27" s="41" t="s">
        <v>23</v>
      </c>
      <c r="H27" s="41" t="s">
        <v>24</v>
      </c>
      <c r="I27" s="41" t="s">
        <v>25</v>
      </c>
      <c r="J27" s="41" t="s">
        <v>26</v>
      </c>
      <c r="K27" s="41" t="s">
        <v>27</v>
      </c>
    </row>
    <row r="28" spans="3:11" x14ac:dyDescent="0.25">
      <c r="C28" s="39" t="s">
        <v>15</v>
      </c>
      <c r="D28" s="39">
        <v>-7.7944444444444301</v>
      </c>
      <c r="E28" s="39">
        <v>5.3761717889271736</v>
      </c>
      <c r="F28" s="39">
        <v>-1.4498131292043084</v>
      </c>
      <c r="G28" s="39">
        <v>0.19039113180581602</v>
      </c>
      <c r="H28" s="39">
        <v>-20.507070637270591</v>
      </c>
      <c r="I28" s="39">
        <v>4.9181817483817305</v>
      </c>
      <c r="J28" s="39">
        <v>-20.507070637270591</v>
      </c>
      <c r="K28" s="39">
        <v>4.9181817483817305</v>
      </c>
    </row>
    <row r="29" spans="3:11" ht="15.75" thickBot="1" x14ac:dyDescent="0.3">
      <c r="C29" s="40" t="s">
        <v>28</v>
      </c>
      <c r="D29" s="40">
        <v>12.099999999999996</v>
      </c>
      <c r="E29" s="40">
        <v>1.4411378514487447</v>
      </c>
      <c r="F29" s="40">
        <v>8.3961433584137204</v>
      </c>
      <c r="G29" s="40">
        <v>6.686190255355E-5</v>
      </c>
      <c r="H29" s="40">
        <v>8.6922504865759738</v>
      </c>
      <c r="I29" s="40">
        <v>15.507749513424018</v>
      </c>
      <c r="J29" s="40">
        <v>8.6922504865759738</v>
      </c>
      <c r="K29" s="40">
        <v>15.507749513424018</v>
      </c>
    </row>
    <row r="33" spans="3:5" x14ac:dyDescent="0.25">
      <c r="C33" t="s">
        <v>29</v>
      </c>
    </row>
    <row r="34" spans="3:5" ht="15.75" thickBot="1" x14ac:dyDescent="0.3"/>
    <row r="35" spans="3:5" x14ac:dyDescent="0.25">
      <c r="C35" s="41" t="s">
        <v>30</v>
      </c>
      <c r="D35" s="41" t="s">
        <v>31</v>
      </c>
      <c r="E35" s="41" t="s">
        <v>32</v>
      </c>
    </row>
    <row r="36" spans="3:5" x14ac:dyDescent="0.25">
      <c r="C36" s="39">
        <v>1</v>
      </c>
      <c r="D36" s="39">
        <v>10.355555555555565</v>
      </c>
      <c r="E36" s="39">
        <v>-7.355555555555565</v>
      </c>
    </row>
    <row r="37" spans="3:5" x14ac:dyDescent="0.25">
      <c r="C37" s="39">
        <v>2</v>
      </c>
      <c r="D37" s="39">
        <v>16.405555555555562</v>
      </c>
      <c r="E37" s="39">
        <v>-3.4055555555555621</v>
      </c>
    </row>
    <row r="38" spans="3:5" x14ac:dyDescent="0.25">
      <c r="C38" s="39">
        <v>3</v>
      </c>
      <c r="D38" s="39">
        <v>22.455555555555559</v>
      </c>
      <c r="E38" s="39">
        <v>2.5444444444444407</v>
      </c>
    </row>
    <row r="39" spans="3:5" x14ac:dyDescent="0.25">
      <c r="C39" s="39">
        <v>4</v>
      </c>
      <c r="D39" s="39">
        <v>28.50555555555556</v>
      </c>
      <c r="E39" s="39">
        <v>6.49444444444444</v>
      </c>
    </row>
    <row r="40" spans="3:5" x14ac:dyDescent="0.25">
      <c r="C40" s="39">
        <v>5</v>
      </c>
      <c r="D40" s="39">
        <v>34.555555555555557</v>
      </c>
      <c r="E40" s="39">
        <v>5.4444444444444429</v>
      </c>
    </row>
    <row r="41" spans="3:5" x14ac:dyDescent="0.25">
      <c r="C41" s="39">
        <v>6</v>
      </c>
      <c r="D41" s="39">
        <v>40.605555555555554</v>
      </c>
      <c r="E41" s="39">
        <v>4.3944444444444457</v>
      </c>
    </row>
    <row r="42" spans="3:5" x14ac:dyDescent="0.25">
      <c r="C42" s="39">
        <v>7</v>
      </c>
      <c r="D42" s="39">
        <v>46.655555555555551</v>
      </c>
      <c r="E42" s="39">
        <v>1.3444444444444485</v>
      </c>
    </row>
    <row r="43" spans="3:5" x14ac:dyDescent="0.25">
      <c r="C43" s="39">
        <v>8</v>
      </c>
      <c r="D43" s="39">
        <v>52.705555555555549</v>
      </c>
      <c r="E43" s="39">
        <v>-2.7055555555555486</v>
      </c>
    </row>
    <row r="44" spans="3:5" ht="15.75" thickBot="1" x14ac:dyDescent="0.3">
      <c r="C44" s="40">
        <v>9</v>
      </c>
      <c r="D44" s="40">
        <v>58.755555555555553</v>
      </c>
      <c r="E44" s="40">
        <v>-6.7555555555555529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opLeftCell="A38" zoomScale="90" zoomScaleNormal="90" workbookViewId="0">
      <selection activeCell="A43" sqref="A43:C43"/>
    </sheetView>
  </sheetViews>
  <sheetFormatPr defaultRowHeight="15" x14ac:dyDescent="0.25"/>
  <cols>
    <col min="2" max="2" width="24.42578125" bestFit="1" customWidth="1"/>
    <col min="3" max="3" width="19.5703125" bestFit="1" customWidth="1"/>
    <col min="4" max="4" width="12.7109375" customWidth="1"/>
    <col min="5" max="5" width="10" customWidth="1"/>
    <col min="7" max="7" width="18.7109375" customWidth="1"/>
    <col min="8" max="8" width="11.28515625" customWidth="1"/>
    <col min="9" max="9" width="12.42578125" customWidth="1"/>
    <col min="10" max="10" width="26.28515625" bestFit="1" customWidth="1"/>
    <col min="11" max="11" width="16.85546875" bestFit="1" customWidth="1"/>
    <col min="12" max="12" width="23.28515625" bestFit="1" customWidth="1"/>
    <col min="13" max="13" width="15.5703125" bestFit="1" customWidth="1"/>
    <col min="14" max="14" width="12" bestFit="1" customWidth="1"/>
    <col min="15" max="15" width="20.5703125" customWidth="1"/>
    <col min="16" max="16" width="13.140625" bestFit="1" customWidth="1"/>
    <col min="17" max="17" width="14.7109375" bestFit="1" customWidth="1"/>
    <col min="18" max="18" width="14.85546875" bestFit="1" customWidth="1"/>
  </cols>
  <sheetData>
    <row r="1" spans="1:15" x14ac:dyDescent="0.25">
      <c r="A1" s="201" t="s">
        <v>96</v>
      </c>
      <c r="B1" s="201"/>
      <c r="C1" s="201"/>
      <c r="D1" s="201"/>
      <c r="E1" s="201"/>
    </row>
    <row r="4" spans="1:15" ht="15.75" thickBot="1" x14ac:dyDescent="0.3">
      <c r="A4" s="202" t="s">
        <v>97</v>
      </c>
      <c r="B4" s="202"/>
    </row>
    <row r="5" spans="1:15" ht="45" x14ac:dyDescent="0.25">
      <c r="A5" s="1" t="s">
        <v>35</v>
      </c>
      <c r="B5" s="1" t="s">
        <v>98</v>
      </c>
      <c r="C5" s="12" t="s">
        <v>99</v>
      </c>
      <c r="D5" s="50" t="s">
        <v>100</v>
      </c>
      <c r="E5" s="17" t="s">
        <v>80</v>
      </c>
      <c r="F5" s="43" t="s">
        <v>81</v>
      </c>
      <c r="G5" s="51" t="s">
        <v>101</v>
      </c>
      <c r="H5" s="17" t="s">
        <v>80</v>
      </c>
      <c r="I5" s="43" t="s">
        <v>81</v>
      </c>
    </row>
    <row r="6" spans="1:15" x14ac:dyDescent="0.25">
      <c r="A6" s="1">
        <v>1</v>
      </c>
      <c r="B6" s="5">
        <v>26289557</v>
      </c>
      <c r="C6" s="15">
        <v>10353656</v>
      </c>
      <c r="D6" t="s">
        <v>3</v>
      </c>
      <c r="E6" s="5"/>
      <c r="F6" s="44"/>
      <c r="G6" t="s">
        <v>3</v>
      </c>
      <c r="H6" s="5"/>
      <c r="I6" s="44"/>
      <c r="J6" t="s">
        <v>4</v>
      </c>
    </row>
    <row r="7" spans="1:15" ht="15.75" thickBot="1" x14ac:dyDescent="0.3">
      <c r="A7" s="1">
        <v>2</v>
      </c>
      <c r="B7" s="5">
        <v>34071340</v>
      </c>
      <c r="C7" s="15">
        <v>14843000</v>
      </c>
      <c r="D7" t="s">
        <v>3</v>
      </c>
      <c r="E7" s="5"/>
      <c r="F7" s="44"/>
      <c r="G7" s="155">
        <f>B6</f>
        <v>26289557</v>
      </c>
      <c r="H7" s="5">
        <f>ABS(G7-B7)</f>
        <v>7781783</v>
      </c>
      <c r="I7" s="44">
        <f>H7/B7</f>
        <v>0.22839674048628555</v>
      </c>
    </row>
    <row r="8" spans="1:15" x14ac:dyDescent="0.25">
      <c r="A8" s="1">
        <v>3</v>
      </c>
      <c r="B8" s="5">
        <v>48201355</v>
      </c>
      <c r="C8" s="15">
        <v>15791444</v>
      </c>
      <c r="D8" t="s">
        <v>3</v>
      </c>
      <c r="E8" s="5"/>
      <c r="F8" s="44"/>
      <c r="G8">
        <f t="shared" ref="G8:G15" si="0">0.7*B7+0.3*G7</f>
        <v>31736805.100000001</v>
      </c>
      <c r="H8" s="5">
        <f>ABS(G8-B8)</f>
        <v>16464549.899999999</v>
      </c>
      <c r="I8" s="44">
        <f t="shared" ref="I8:I15" si="1">H8/B8</f>
        <v>0.34157856973107908</v>
      </c>
      <c r="J8" s="42" t="s">
        <v>5</v>
      </c>
      <c r="K8" s="42"/>
    </row>
    <row r="9" spans="1:15" x14ac:dyDescent="0.25">
      <c r="A9" s="1">
        <v>4</v>
      </c>
      <c r="B9" s="5">
        <v>61744729</v>
      </c>
      <c r="C9" s="15">
        <v>19894028</v>
      </c>
      <c r="D9" s="155">
        <f>AVERAGE(B6:B8)</f>
        <v>36187417.333333336</v>
      </c>
      <c r="E9" s="5">
        <f t="shared" ref="E9:E15" si="2">ABS(D9-B9)</f>
        <v>25557311.666666664</v>
      </c>
      <c r="F9" s="44">
        <f t="shared" ref="F9:F15" si="3">E9/B9</f>
        <v>0.41391892199683417</v>
      </c>
      <c r="G9">
        <f t="shared" si="0"/>
        <v>43261990.030000001</v>
      </c>
      <c r="H9" s="5">
        <f t="shared" ref="H9:H15" si="4">ABS(G9-B9)</f>
        <v>18482738.969999999</v>
      </c>
      <c r="I9" s="44">
        <f t="shared" si="1"/>
        <v>0.29934116270880384</v>
      </c>
      <c r="J9" s="39" t="s">
        <v>6</v>
      </c>
      <c r="K9" s="39">
        <v>0.54828290058105067</v>
      </c>
    </row>
    <row r="10" spans="1:15" x14ac:dyDescent="0.25">
      <c r="A10" s="1">
        <v>5</v>
      </c>
      <c r="B10" s="5">
        <v>79117945</v>
      </c>
      <c r="C10" s="15">
        <v>12544085</v>
      </c>
      <c r="D10" s="155">
        <f t="shared" ref="D10:D16" si="5">AVERAGE(B7:B9)</f>
        <v>48005808</v>
      </c>
      <c r="E10" s="5">
        <f t="shared" si="2"/>
        <v>31112137</v>
      </c>
      <c r="F10" s="44">
        <f t="shared" si="3"/>
        <v>0.39323742546649815</v>
      </c>
      <c r="G10">
        <f t="shared" si="0"/>
        <v>56199907.309</v>
      </c>
      <c r="H10" s="5">
        <f t="shared" si="4"/>
        <v>22918037.691</v>
      </c>
      <c r="I10" s="44">
        <f t="shared" si="1"/>
        <v>0.2896692740313212</v>
      </c>
      <c r="J10" s="39" t="s">
        <v>7</v>
      </c>
      <c r="K10" s="39">
        <v>0.30061413906957035</v>
      </c>
    </row>
    <row r="11" spans="1:15" x14ac:dyDescent="0.25">
      <c r="A11" s="1">
        <v>6</v>
      </c>
      <c r="B11" s="5">
        <v>115533261</v>
      </c>
      <c r="C11" s="15">
        <v>32094015</v>
      </c>
      <c r="D11" s="155">
        <f t="shared" si="5"/>
        <v>63021343</v>
      </c>
      <c r="E11" s="5">
        <f t="shared" si="2"/>
        <v>52511918</v>
      </c>
      <c r="F11" s="44">
        <f t="shared" si="3"/>
        <v>0.45451775138589745</v>
      </c>
      <c r="G11">
        <f t="shared" si="0"/>
        <v>72242533.692699999</v>
      </c>
      <c r="H11" s="5">
        <f t="shared" si="4"/>
        <v>43290727.307300001</v>
      </c>
      <c r="I11" s="44">
        <f t="shared" si="1"/>
        <v>0.37470358693761791</v>
      </c>
      <c r="J11" s="39" t="s">
        <v>8</v>
      </c>
      <c r="K11" s="39">
        <v>0.21319090645326666</v>
      </c>
    </row>
    <row r="12" spans="1:15" x14ac:dyDescent="0.25">
      <c r="A12" s="1">
        <v>7</v>
      </c>
      <c r="B12" s="5">
        <v>147302825</v>
      </c>
      <c r="C12" s="15">
        <v>37025594</v>
      </c>
      <c r="D12" s="155">
        <f t="shared" si="5"/>
        <v>85465311.666666672</v>
      </c>
      <c r="E12" s="5">
        <f t="shared" si="2"/>
        <v>61837513.333333328</v>
      </c>
      <c r="F12" s="44">
        <f t="shared" si="3"/>
        <v>0.41979855670339877</v>
      </c>
      <c r="G12">
        <f t="shared" si="0"/>
        <v>102546042.80780998</v>
      </c>
      <c r="H12" s="5">
        <f t="shared" si="4"/>
        <v>44756782.192190021</v>
      </c>
      <c r="I12" s="44">
        <f t="shared" si="1"/>
        <v>0.30384198125317707</v>
      </c>
      <c r="J12" s="39" t="s">
        <v>9</v>
      </c>
      <c r="K12" s="39">
        <v>63687846.657678559</v>
      </c>
    </row>
    <row r="13" spans="1:15" ht="15.75" thickBot="1" x14ac:dyDescent="0.3">
      <c r="A13" s="1">
        <v>8</v>
      </c>
      <c r="B13" s="5">
        <v>188580221</v>
      </c>
      <c r="C13" s="15">
        <v>39778176</v>
      </c>
      <c r="D13" s="155">
        <f t="shared" si="5"/>
        <v>113984677</v>
      </c>
      <c r="E13" s="5">
        <f t="shared" si="2"/>
        <v>74595544</v>
      </c>
      <c r="F13" s="44">
        <f t="shared" si="3"/>
        <v>0.39556398653281882</v>
      </c>
      <c r="G13">
        <f t="shared" si="0"/>
        <v>133875790.34234299</v>
      </c>
      <c r="H13" s="5">
        <f t="shared" si="4"/>
        <v>54704430.657657012</v>
      </c>
      <c r="I13" s="44">
        <f t="shared" si="1"/>
        <v>0.29008572780099251</v>
      </c>
      <c r="J13" s="40" t="s">
        <v>10</v>
      </c>
      <c r="K13" s="40">
        <v>10</v>
      </c>
    </row>
    <row r="14" spans="1:15" x14ac:dyDescent="0.25">
      <c r="A14" s="1">
        <v>9</v>
      </c>
      <c r="B14" s="5">
        <v>197655625</v>
      </c>
      <c r="C14" s="15">
        <v>203020361</v>
      </c>
      <c r="D14" s="155">
        <f t="shared" si="5"/>
        <v>150472102.33333334</v>
      </c>
      <c r="E14" s="5">
        <f t="shared" si="2"/>
        <v>47183522.666666657</v>
      </c>
      <c r="F14" s="44">
        <f t="shared" si="3"/>
        <v>0.23871581022127075</v>
      </c>
      <c r="G14">
        <f t="shared" si="0"/>
        <v>172168891.80270287</v>
      </c>
      <c r="H14" s="5">
        <f t="shared" si="4"/>
        <v>25486733.197297126</v>
      </c>
      <c r="I14" s="44">
        <f t="shared" si="1"/>
        <v>0.12894514485634864</v>
      </c>
    </row>
    <row r="15" spans="1:15" ht="15.75" thickBot="1" x14ac:dyDescent="0.3">
      <c r="A15" s="1">
        <v>10</v>
      </c>
      <c r="B15" s="5">
        <v>216130036</v>
      </c>
      <c r="C15" s="15">
        <v>27428577</v>
      </c>
      <c r="D15" s="155">
        <f t="shared" si="5"/>
        <v>177846223.66666666</v>
      </c>
      <c r="E15" s="21">
        <f t="shared" si="2"/>
        <v>38283812.333333343</v>
      </c>
      <c r="F15" s="46">
        <f t="shared" si="3"/>
        <v>0.17713323442621062</v>
      </c>
      <c r="G15">
        <f t="shared" si="0"/>
        <v>190009605.04081085</v>
      </c>
      <c r="H15" s="21">
        <f t="shared" si="4"/>
        <v>26120430.959189147</v>
      </c>
      <c r="I15" s="44">
        <f t="shared" si="1"/>
        <v>0.12085516406053412</v>
      </c>
      <c r="J15" t="s">
        <v>11</v>
      </c>
    </row>
    <row r="16" spans="1:15" ht="15.75" thickBot="1" x14ac:dyDescent="0.3">
      <c r="D16" s="155">
        <f t="shared" si="5"/>
        <v>200788627.33333334</v>
      </c>
      <c r="E16" s="47" t="s">
        <v>2</v>
      </c>
      <c r="F16" s="48">
        <f>AVERAGE(F8:F15)</f>
        <v>0.35612652667613265</v>
      </c>
      <c r="H16" s="47" t="s">
        <v>2</v>
      </c>
      <c r="I16" s="49">
        <f>AVERAGE(I8:I15)</f>
        <v>0.2686275764224843</v>
      </c>
      <c r="J16" s="41"/>
      <c r="K16" s="41" t="s">
        <v>16</v>
      </c>
      <c r="L16" s="41" t="s">
        <v>17</v>
      </c>
      <c r="M16" s="41" t="s">
        <v>18</v>
      </c>
      <c r="N16" s="41" t="s">
        <v>19</v>
      </c>
      <c r="O16" s="41" t="s">
        <v>20</v>
      </c>
    </row>
    <row r="17" spans="10:18" x14ac:dyDescent="0.25">
      <c r="J17" s="39" t="s">
        <v>12</v>
      </c>
      <c r="K17" s="39">
        <v>1</v>
      </c>
      <c r="L17" s="39">
        <v>1.3947477601035296E+16</v>
      </c>
      <c r="M17" s="39">
        <v>1.3947477601035296E+16</v>
      </c>
      <c r="N17" s="39">
        <v>3.438606993508821</v>
      </c>
      <c r="O17" s="39">
        <v>0.10080163625620943</v>
      </c>
    </row>
    <row r="18" spans="10:18" x14ac:dyDescent="0.25">
      <c r="J18" s="39" t="s">
        <v>13</v>
      </c>
      <c r="K18" s="39">
        <v>8</v>
      </c>
      <c r="L18" s="39">
        <v>3.2449134495135824E+16</v>
      </c>
      <c r="M18" s="39">
        <v>4056141811891978</v>
      </c>
      <c r="N18" s="39"/>
      <c r="O18" s="39"/>
    </row>
    <row r="19" spans="10:18" ht="15.75" thickBot="1" x14ac:dyDescent="0.3">
      <c r="J19" s="40" t="s">
        <v>14</v>
      </c>
      <c r="K19" s="40">
        <v>9</v>
      </c>
      <c r="L19" s="40">
        <v>4.639661209617112E+16</v>
      </c>
      <c r="M19" s="40"/>
      <c r="N19" s="40"/>
      <c r="O19" s="40"/>
    </row>
    <row r="20" spans="10:18" ht="15.75" thickBot="1" x14ac:dyDescent="0.3"/>
    <row r="21" spans="10:18" x14ac:dyDescent="0.25">
      <c r="J21" s="41"/>
      <c r="K21" s="41" t="s">
        <v>21</v>
      </c>
      <c r="L21" s="41" t="s">
        <v>9</v>
      </c>
      <c r="M21" s="41" t="s">
        <v>22</v>
      </c>
      <c r="N21" s="41" t="s">
        <v>23</v>
      </c>
      <c r="O21" s="41" t="s">
        <v>24</v>
      </c>
      <c r="P21" s="41" t="s">
        <v>25</v>
      </c>
      <c r="Q21" s="41" t="s">
        <v>26</v>
      </c>
      <c r="R21" s="41" t="s">
        <v>27</v>
      </c>
    </row>
    <row r="22" spans="10:18" x14ac:dyDescent="0.25">
      <c r="J22" s="39" t="s">
        <v>15</v>
      </c>
      <c r="K22" s="39">
        <v>83338806.404438823</v>
      </c>
      <c r="L22" s="39">
        <v>25211812.010998908</v>
      </c>
      <c r="M22" s="39">
        <v>3.305546081657337</v>
      </c>
      <c r="N22" s="39">
        <v>1.0769447291321626E-2</v>
      </c>
      <c r="O22" s="39">
        <v>25200263.65108525</v>
      </c>
      <c r="P22" s="39">
        <v>141477349.15779239</v>
      </c>
      <c r="Q22" s="39">
        <v>25200263.65108525</v>
      </c>
      <c r="R22" s="39">
        <v>141477349.15779239</v>
      </c>
    </row>
    <row r="23" spans="10:18" ht="15.75" thickBot="1" x14ac:dyDescent="0.3">
      <c r="J23" s="40" t="s">
        <v>28</v>
      </c>
      <c r="K23" s="40">
        <v>0.68134028524489243</v>
      </c>
      <c r="L23" s="40">
        <v>0.3674284637282656</v>
      </c>
      <c r="M23" s="40">
        <v>1.8543481316917858</v>
      </c>
      <c r="N23" s="40">
        <v>0.1008016362562096</v>
      </c>
      <c r="O23" s="40">
        <v>-0.16595127150420241</v>
      </c>
      <c r="P23" s="40">
        <v>1.5286318419939873</v>
      </c>
      <c r="Q23" s="40">
        <v>-0.16595127150420241</v>
      </c>
      <c r="R23" s="40">
        <v>1.5286318419939873</v>
      </c>
    </row>
    <row r="27" spans="10:18" x14ac:dyDescent="0.25">
      <c r="J27" t="s">
        <v>29</v>
      </c>
    </row>
    <row r="28" spans="10:18" ht="15.75" thickBot="1" x14ac:dyDescent="0.3"/>
    <row r="29" spans="10:18" x14ac:dyDescent="0.25">
      <c r="J29" s="41" t="s">
        <v>30</v>
      </c>
      <c r="K29" s="41" t="s">
        <v>31</v>
      </c>
      <c r="L29" s="41" t="s">
        <v>32</v>
      </c>
    </row>
    <row r="30" spans="10:18" x14ac:dyDescent="0.25">
      <c r="J30" s="39">
        <v>1</v>
      </c>
      <c r="K30" s="39">
        <v>90393169.336806312</v>
      </c>
      <c r="L30" s="39">
        <v>-64103612.336806312</v>
      </c>
    </row>
    <row r="31" spans="10:18" x14ac:dyDescent="0.25">
      <c r="J31" s="39">
        <v>2</v>
      </c>
      <c r="K31" s="39">
        <v>93451940.258328766</v>
      </c>
      <c r="L31" s="39">
        <v>-59380600.258328766</v>
      </c>
    </row>
    <row r="32" spans="10:18" x14ac:dyDescent="0.25">
      <c r="J32" s="39">
        <v>3</v>
      </c>
      <c r="K32" s="39">
        <v>94098153.363827571</v>
      </c>
      <c r="L32" s="39">
        <v>-45896798.363827571</v>
      </c>
    </row>
    <row r="33" spans="1:12" x14ac:dyDescent="0.25">
      <c r="J33" s="39">
        <v>4</v>
      </c>
      <c r="K33" s="39">
        <v>96893409.116628706</v>
      </c>
      <c r="L33" s="39">
        <v>-35148680.116628706</v>
      </c>
    </row>
    <row r="34" spans="1:12" x14ac:dyDescent="0.25">
      <c r="J34" s="39">
        <v>5</v>
      </c>
      <c r="K34" s="39">
        <v>91885596.856474996</v>
      </c>
      <c r="L34" s="39">
        <v>-12767651.856474996</v>
      </c>
    </row>
    <row r="35" spans="1:12" x14ac:dyDescent="0.25">
      <c r="J35" s="39">
        <v>6</v>
      </c>
      <c r="K35" s="39">
        <v>105205751.73919268</v>
      </c>
      <c r="L35" s="39">
        <v>10327509.26080732</v>
      </c>
    </row>
    <row r="36" spans="1:12" x14ac:dyDescent="0.25">
      <c r="J36" s="39">
        <v>7</v>
      </c>
      <c r="K36" s="39">
        <v>108565835.1817604</v>
      </c>
      <c r="L36" s="39">
        <v>38736989.818239599</v>
      </c>
    </row>
    <row r="37" spans="1:12" x14ac:dyDescent="0.25">
      <c r="J37" s="39">
        <v>8</v>
      </c>
      <c r="K37" s="39">
        <v>110441280.18680036</v>
      </c>
      <c r="L37" s="39">
        <v>78138940.813199639</v>
      </c>
    </row>
    <row r="38" spans="1:12" x14ac:dyDescent="0.25">
      <c r="J38" s="39">
        <v>9</v>
      </c>
      <c r="K38" s="39">
        <v>221664757.07869986</v>
      </c>
      <c r="L38" s="39">
        <v>-24009132.078699857</v>
      </c>
    </row>
    <row r="39" spans="1:12" ht="15.75" thickBot="1" x14ac:dyDescent="0.3">
      <c r="J39" s="40">
        <v>10</v>
      </c>
      <c r="K39" s="40">
        <v>102027000.88148032</v>
      </c>
      <c r="L39" s="40">
        <v>114103035.11851968</v>
      </c>
    </row>
    <row r="42" spans="1:12" ht="15.75" thickBot="1" x14ac:dyDescent="0.3">
      <c r="A42" s="202" t="s">
        <v>97</v>
      </c>
      <c r="B42" s="202"/>
    </row>
    <row r="43" spans="1:12" ht="45" x14ac:dyDescent="0.25">
      <c r="A43" s="1" t="s">
        <v>35</v>
      </c>
      <c r="B43" s="1" t="s">
        <v>98</v>
      </c>
      <c r="C43" s="12" t="s">
        <v>99</v>
      </c>
      <c r="D43" s="50" t="s">
        <v>100</v>
      </c>
      <c r="E43" s="17" t="s">
        <v>80</v>
      </c>
      <c r="F43" s="43" t="s">
        <v>81</v>
      </c>
      <c r="G43" s="51" t="s">
        <v>101</v>
      </c>
      <c r="H43" s="17" t="s">
        <v>80</v>
      </c>
      <c r="I43" s="43" t="s">
        <v>81</v>
      </c>
    </row>
    <row r="44" spans="1:12" x14ac:dyDescent="0.25">
      <c r="A44" s="1">
        <v>1</v>
      </c>
      <c r="B44" s="5">
        <v>26289557</v>
      </c>
      <c r="C44" s="67">
        <v>10353656</v>
      </c>
      <c r="D44" s="31" t="s">
        <v>3</v>
      </c>
      <c r="E44" s="5"/>
      <c r="F44" s="44"/>
      <c r="G44" s="31" t="s">
        <v>3</v>
      </c>
      <c r="H44" s="28"/>
      <c r="I44" s="44"/>
    </row>
    <row r="45" spans="1:12" x14ac:dyDescent="0.25">
      <c r="A45" s="1">
        <v>2</v>
      </c>
      <c r="B45" s="5">
        <v>34071340</v>
      </c>
      <c r="C45" s="67">
        <v>14843000</v>
      </c>
      <c r="D45" s="31" t="s">
        <v>3</v>
      </c>
      <c r="E45" s="5"/>
      <c r="F45" s="44"/>
      <c r="G45" s="28">
        <f>B44</f>
        <v>26289557</v>
      </c>
      <c r="H45" s="28">
        <f>ABS(G45-B45)</f>
        <v>7781783</v>
      </c>
      <c r="I45" s="44">
        <f>H45/B45</f>
        <v>0.22839674048628555</v>
      </c>
    </row>
    <row r="46" spans="1:12" x14ac:dyDescent="0.25">
      <c r="A46" s="1">
        <v>3</v>
      </c>
      <c r="B46" s="5">
        <v>48201355</v>
      </c>
      <c r="C46" s="67">
        <v>15791444</v>
      </c>
      <c r="D46" s="28">
        <f>AVERAGE(B44:B46)</f>
        <v>36187417.333333336</v>
      </c>
      <c r="E46" s="5">
        <f>ABS(D46-B46)</f>
        <v>12013937.666666664</v>
      </c>
      <c r="F46" s="44">
        <f>E46/B46</f>
        <v>0.24924481203208218</v>
      </c>
      <c r="G46" s="31">
        <f t="shared" ref="G46:G54" si="6">0.7*B45+0.3*G45</f>
        <v>31736805.100000001</v>
      </c>
      <c r="H46" s="28">
        <f>ABS(G46-B46)</f>
        <v>16464549.899999999</v>
      </c>
      <c r="I46" s="44">
        <f t="shared" ref="I46:I54" si="7">H46/B46</f>
        <v>0.34157856973107908</v>
      </c>
    </row>
    <row r="47" spans="1:12" x14ac:dyDescent="0.25">
      <c r="A47" s="1">
        <v>4</v>
      </c>
      <c r="B47" s="5">
        <v>61744729</v>
      </c>
      <c r="C47" s="67">
        <v>19894028</v>
      </c>
      <c r="D47" s="28">
        <f t="shared" ref="D47:D54" si="8">AVERAGE(B45:B47)</f>
        <v>48005808</v>
      </c>
      <c r="E47" s="5">
        <f t="shared" ref="E47:E54" si="9">ABS(D47-B47)</f>
        <v>13738921</v>
      </c>
      <c r="F47" s="44">
        <f t="shared" ref="F47:F54" si="10">E47/B47</f>
        <v>0.22251164143906113</v>
      </c>
      <c r="G47" s="31">
        <f t="shared" si="6"/>
        <v>43261990.030000001</v>
      </c>
      <c r="H47" s="28">
        <f t="shared" ref="H47:H54" si="11">ABS(G47-B47)</f>
        <v>18482738.969999999</v>
      </c>
      <c r="I47" s="44">
        <f t="shared" si="7"/>
        <v>0.29934116270880384</v>
      </c>
    </row>
    <row r="48" spans="1:12" x14ac:dyDescent="0.25">
      <c r="A48" s="1">
        <v>5</v>
      </c>
      <c r="B48" s="5">
        <v>79117945</v>
      </c>
      <c r="C48" s="67">
        <v>12544085</v>
      </c>
      <c r="D48" s="28">
        <f t="shared" si="8"/>
        <v>63021343</v>
      </c>
      <c r="E48" s="5">
        <f t="shared" si="9"/>
        <v>16096602</v>
      </c>
      <c r="F48" s="44">
        <f t="shared" si="10"/>
        <v>0.20345070893840836</v>
      </c>
      <c r="G48" s="31">
        <f t="shared" si="6"/>
        <v>56199907.309</v>
      </c>
      <c r="H48" s="28">
        <f t="shared" si="11"/>
        <v>22918037.691</v>
      </c>
      <c r="I48" s="44">
        <f t="shared" si="7"/>
        <v>0.2896692740313212</v>
      </c>
    </row>
    <row r="49" spans="1:11" x14ac:dyDescent="0.25">
      <c r="A49" s="1">
        <v>6</v>
      </c>
      <c r="B49" s="5">
        <v>115533261</v>
      </c>
      <c r="C49" s="67">
        <v>32094015</v>
      </c>
      <c r="D49" s="28">
        <f t="shared" si="8"/>
        <v>85465311.666666672</v>
      </c>
      <c r="E49" s="5">
        <f t="shared" si="9"/>
        <v>30067949.333333328</v>
      </c>
      <c r="F49" s="44">
        <f t="shared" si="10"/>
        <v>0.26025361937402014</v>
      </c>
      <c r="G49" s="31">
        <f t="shared" si="6"/>
        <v>72242533.692699999</v>
      </c>
      <c r="H49" s="28">
        <f t="shared" si="11"/>
        <v>43290727.307300001</v>
      </c>
      <c r="I49" s="44">
        <f t="shared" si="7"/>
        <v>0.37470358693761791</v>
      </c>
    </row>
    <row r="50" spans="1:11" x14ac:dyDescent="0.25">
      <c r="A50" s="1">
        <v>7</v>
      </c>
      <c r="B50" s="5">
        <v>147302825</v>
      </c>
      <c r="C50" s="67">
        <v>37025594</v>
      </c>
      <c r="D50" s="28">
        <f t="shared" si="8"/>
        <v>113984677</v>
      </c>
      <c r="E50" s="5">
        <f t="shared" si="9"/>
        <v>33318148</v>
      </c>
      <c r="F50" s="44">
        <f t="shared" si="10"/>
        <v>0.22618811282132573</v>
      </c>
      <c r="G50" s="31">
        <f t="shared" si="6"/>
        <v>102546042.80780998</v>
      </c>
      <c r="H50" s="28">
        <f t="shared" si="11"/>
        <v>44756782.192190021</v>
      </c>
      <c r="I50" s="44">
        <f t="shared" si="7"/>
        <v>0.30384198125317707</v>
      </c>
    </row>
    <row r="51" spans="1:11" x14ac:dyDescent="0.25">
      <c r="A51" s="1">
        <v>8</v>
      </c>
      <c r="B51" s="5">
        <v>188580221</v>
      </c>
      <c r="C51" s="67">
        <v>39778176</v>
      </c>
      <c r="D51" s="28">
        <f t="shared" si="8"/>
        <v>150472102.33333334</v>
      </c>
      <c r="E51" s="5">
        <f t="shared" si="9"/>
        <v>38108118.666666657</v>
      </c>
      <c r="F51" s="44">
        <f t="shared" si="10"/>
        <v>0.20207908583725043</v>
      </c>
      <c r="G51" s="31">
        <f t="shared" si="6"/>
        <v>133875790.34234299</v>
      </c>
      <c r="H51" s="28">
        <f t="shared" si="11"/>
        <v>54704430.657657012</v>
      </c>
      <c r="I51" s="44">
        <f t="shared" si="7"/>
        <v>0.29008572780099251</v>
      </c>
    </row>
    <row r="52" spans="1:11" x14ac:dyDescent="0.25">
      <c r="A52" s="1">
        <v>9</v>
      </c>
      <c r="B52" s="5">
        <v>197655625</v>
      </c>
      <c r="C52" s="67">
        <v>203020361</v>
      </c>
      <c r="D52" s="28">
        <f t="shared" si="8"/>
        <v>177846223.66666666</v>
      </c>
      <c r="E52" s="5">
        <f t="shared" si="9"/>
        <v>19809401.333333343</v>
      </c>
      <c r="F52" s="44">
        <f t="shared" si="10"/>
        <v>0.10022179400830784</v>
      </c>
      <c r="G52" s="31">
        <f t="shared" si="6"/>
        <v>172168891.80270287</v>
      </c>
      <c r="H52" s="28">
        <f t="shared" si="11"/>
        <v>25486733.197297126</v>
      </c>
      <c r="I52" s="44">
        <f t="shared" si="7"/>
        <v>0.12894514485634864</v>
      </c>
    </row>
    <row r="53" spans="1:11" ht="15.75" thickBot="1" x14ac:dyDescent="0.3">
      <c r="A53" s="60">
        <v>10</v>
      </c>
      <c r="B53" s="58">
        <v>216130036</v>
      </c>
      <c r="C53" s="61">
        <v>27428577</v>
      </c>
      <c r="D53" s="64">
        <f t="shared" si="8"/>
        <v>200788627.33333334</v>
      </c>
      <c r="E53" s="58">
        <f t="shared" si="9"/>
        <v>15341408.666666657</v>
      </c>
      <c r="F53" s="59">
        <f t="shared" si="10"/>
        <v>7.0982307459878727E-2</v>
      </c>
      <c r="G53" s="52">
        <f t="shared" si="6"/>
        <v>190009605.04081085</v>
      </c>
      <c r="H53" s="64">
        <f t="shared" si="11"/>
        <v>26120430.959189147</v>
      </c>
      <c r="I53" s="45">
        <f t="shared" si="7"/>
        <v>0.12085516406053412</v>
      </c>
    </row>
    <row r="54" spans="1:11" ht="16.5" thickTop="1" thickBot="1" x14ac:dyDescent="0.3">
      <c r="A54" s="62">
        <v>11</v>
      </c>
      <c r="B54" s="63">
        <v>250000000</v>
      </c>
      <c r="C54" s="68"/>
      <c r="D54" s="66">
        <f t="shared" si="8"/>
        <v>221261887</v>
      </c>
      <c r="E54" s="56">
        <f t="shared" si="9"/>
        <v>28738113</v>
      </c>
      <c r="F54" s="57">
        <f t="shared" si="10"/>
        <v>0.114952452</v>
      </c>
      <c r="G54" s="69">
        <f t="shared" si="6"/>
        <v>208293906.71224326</v>
      </c>
      <c r="H54" s="65">
        <f t="shared" si="11"/>
        <v>41706093.287756741</v>
      </c>
      <c r="I54" s="54">
        <f t="shared" si="7"/>
        <v>0.16682437315102697</v>
      </c>
    </row>
    <row r="55" spans="1:11" ht="15.75" thickTop="1" x14ac:dyDescent="0.25">
      <c r="D55" s="55"/>
      <c r="G55" s="55"/>
      <c r="I55" s="55"/>
    </row>
    <row r="58" spans="1:11" x14ac:dyDescent="0.25">
      <c r="J58" t="s">
        <v>4</v>
      </c>
    </row>
    <row r="59" spans="1:11" ht="15.75" thickBot="1" x14ac:dyDescent="0.3"/>
    <row r="60" spans="1:11" x14ac:dyDescent="0.25">
      <c r="J60" s="42" t="s">
        <v>5</v>
      </c>
      <c r="K60" s="42"/>
    </row>
    <row r="61" spans="1:11" x14ac:dyDescent="0.25">
      <c r="J61" s="39" t="s">
        <v>6</v>
      </c>
      <c r="K61" s="39">
        <v>0.98752217264790376</v>
      </c>
    </row>
    <row r="62" spans="1:11" x14ac:dyDescent="0.25">
      <c r="J62" s="39" t="s">
        <v>7</v>
      </c>
      <c r="K62" s="39">
        <v>0.97520004147123629</v>
      </c>
    </row>
    <row r="63" spans="1:11" x14ac:dyDescent="0.25">
      <c r="J63" s="39" t="s">
        <v>8</v>
      </c>
      <c r="K63" s="39">
        <v>0.97244449052359583</v>
      </c>
    </row>
    <row r="64" spans="1:11" x14ac:dyDescent="0.25">
      <c r="J64" s="39" t="s">
        <v>9</v>
      </c>
      <c r="K64" s="39">
        <v>13263730.48415455</v>
      </c>
    </row>
    <row r="65" spans="10:18" ht="15.75" thickBot="1" x14ac:dyDescent="0.3">
      <c r="J65" s="40" t="s">
        <v>10</v>
      </c>
      <c r="K65" s="40">
        <v>11</v>
      </c>
    </row>
    <row r="67" spans="10:18" ht="15.75" thickBot="1" x14ac:dyDescent="0.3">
      <c r="J67" t="s">
        <v>11</v>
      </c>
    </row>
    <row r="68" spans="10:18" x14ac:dyDescent="0.25">
      <c r="J68" s="41"/>
      <c r="K68" s="41" t="s">
        <v>16</v>
      </c>
      <c r="L68" s="41" t="s">
        <v>17</v>
      </c>
      <c r="M68" s="41" t="s">
        <v>18</v>
      </c>
      <c r="N68" s="41" t="s">
        <v>19</v>
      </c>
      <c r="O68" s="41" t="s">
        <v>20</v>
      </c>
    </row>
    <row r="69" spans="10:18" x14ac:dyDescent="0.25">
      <c r="J69" s="39" t="s">
        <v>12</v>
      </c>
      <c r="K69" s="39">
        <v>1</v>
      </c>
      <c r="L69" s="39">
        <v>6.2261079022856216E+16</v>
      </c>
      <c r="M69" s="39">
        <v>6.2261079022856216E+16</v>
      </c>
      <c r="N69" s="39">
        <v>353.90383266413681</v>
      </c>
      <c r="O69" s="39">
        <v>1.556906880176175E-8</v>
      </c>
    </row>
    <row r="70" spans="10:18" x14ac:dyDescent="0.25">
      <c r="J70" s="39" t="s">
        <v>13</v>
      </c>
      <c r="K70" s="39">
        <v>9</v>
      </c>
      <c r="L70" s="39">
        <v>1583338917206616.5</v>
      </c>
      <c r="M70" s="39">
        <v>175926546356290.72</v>
      </c>
      <c r="N70" s="39"/>
      <c r="O70" s="39"/>
    </row>
    <row r="71" spans="10:18" ht="15.75" thickBot="1" x14ac:dyDescent="0.3">
      <c r="J71" s="40" t="s">
        <v>14</v>
      </c>
      <c r="K71" s="40">
        <v>10</v>
      </c>
      <c r="L71" s="40">
        <v>6.3844417940062832E+16</v>
      </c>
      <c r="M71" s="40"/>
      <c r="N71" s="40"/>
      <c r="O71" s="40"/>
    </row>
    <row r="72" spans="10:18" ht="15.75" thickBot="1" x14ac:dyDescent="0.3"/>
    <row r="73" spans="10:18" x14ac:dyDescent="0.25">
      <c r="J73" s="41"/>
      <c r="K73" s="41" t="s">
        <v>21</v>
      </c>
      <c r="L73" s="41" t="s">
        <v>9</v>
      </c>
      <c r="M73" s="41" t="s">
        <v>22</v>
      </c>
      <c r="N73" s="41" t="s">
        <v>23</v>
      </c>
      <c r="O73" s="41" t="s">
        <v>24</v>
      </c>
      <c r="P73" s="41" t="s">
        <v>25</v>
      </c>
      <c r="Q73" s="41" t="s">
        <v>26</v>
      </c>
      <c r="R73" s="41" t="s">
        <v>27</v>
      </c>
    </row>
    <row r="74" spans="10:18" x14ac:dyDescent="0.25">
      <c r="J74" s="39" t="s">
        <v>15</v>
      </c>
      <c r="K74" s="39">
        <v>-18688773.61818178</v>
      </c>
      <c r="L74" s="39">
        <v>8577253.8158621378</v>
      </c>
      <c r="M74" s="39">
        <v>-2.1788761320808936</v>
      </c>
      <c r="N74" s="39">
        <v>5.7279274791390333E-2</v>
      </c>
      <c r="O74" s="39">
        <v>-38091869.774872556</v>
      </c>
      <c r="P74" s="39">
        <v>714322.53850899264</v>
      </c>
      <c r="Q74" s="39">
        <v>-38091869.774872556</v>
      </c>
      <c r="R74" s="39">
        <v>714322.53850899264</v>
      </c>
    </row>
    <row r="75" spans="10:18" ht="15.75" thickBot="1" x14ac:dyDescent="0.3">
      <c r="J75" s="40" t="s">
        <v>28</v>
      </c>
      <c r="K75" s="40">
        <v>23790960.663636357</v>
      </c>
      <c r="L75" s="40">
        <v>1264647.0810477694</v>
      </c>
      <c r="M75" s="40">
        <v>18.812331930521967</v>
      </c>
      <c r="N75" s="40">
        <v>1.5569068801761862E-8</v>
      </c>
      <c r="O75" s="40">
        <v>20930130.210832302</v>
      </c>
      <c r="P75" s="40">
        <v>26651791.116440412</v>
      </c>
      <c r="Q75" s="40">
        <v>20930130.210832302</v>
      </c>
      <c r="R75" s="40">
        <v>26651791.116440412</v>
      </c>
    </row>
    <row r="79" spans="10:18" x14ac:dyDescent="0.25">
      <c r="J79" t="s">
        <v>29</v>
      </c>
    </row>
    <row r="80" spans="10:18" ht="15.75" thickBot="1" x14ac:dyDescent="0.3"/>
    <row r="81" spans="10:12" x14ac:dyDescent="0.25">
      <c r="J81" s="41" t="s">
        <v>30</v>
      </c>
      <c r="K81" s="41" t="s">
        <v>31</v>
      </c>
      <c r="L81" s="41" t="s">
        <v>32</v>
      </c>
    </row>
    <row r="82" spans="10:12" x14ac:dyDescent="0.25">
      <c r="J82" s="39">
        <v>1</v>
      </c>
      <c r="K82" s="39">
        <v>5102187.0454545766</v>
      </c>
      <c r="L82" s="39">
        <v>21187369.954545423</v>
      </c>
    </row>
    <row r="83" spans="10:12" x14ac:dyDescent="0.25">
      <c r="J83" s="39">
        <v>2</v>
      </c>
      <c r="K83" s="39">
        <v>28893147.709090933</v>
      </c>
      <c r="L83" s="39">
        <v>5178192.2909090668</v>
      </c>
    </row>
    <row r="84" spans="10:12" x14ac:dyDescent="0.25">
      <c r="J84" s="39">
        <v>3</v>
      </c>
      <c r="K84" s="39">
        <v>52684108.37272729</v>
      </c>
      <c r="L84" s="39">
        <v>-4482753.3727272898</v>
      </c>
    </row>
    <row r="85" spans="10:12" x14ac:dyDescent="0.25">
      <c r="J85" s="39">
        <v>4</v>
      </c>
      <c r="K85" s="39">
        <v>76475069.036363646</v>
      </c>
      <c r="L85" s="39">
        <v>-14730340.036363646</v>
      </c>
    </row>
    <row r="86" spans="10:12" x14ac:dyDescent="0.25">
      <c r="J86" s="39">
        <v>5</v>
      </c>
      <c r="K86" s="39">
        <v>100266029.7</v>
      </c>
      <c r="L86" s="39">
        <v>-21148084.700000003</v>
      </c>
    </row>
    <row r="87" spans="10:12" x14ac:dyDescent="0.25">
      <c r="J87" s="39">
        <v>6</v>
      </c>
      <c r="K87" s="39">
        <v>124056990.36363636</v>
      </c>
      <c r="L87" s="39">
        <v>-8523729.3636363596</v>
      </c>
    </row>
    <row r="88" spans="10:12" x14ac:dyDescent="0.25">
      <c r="J88" s="39">
        <v>7</v>
      </c>
      <c r="K88" s="39">
        <v>147847951.0272727</v>
      </c>
      <c r="L88" s="39">
        <v>-545126.02727270126</v>
      </c>
    </row>
    <row r="89" spans="10:12" x14ac:dyDescent="0.25">
      <c r="J89" s="39">
        <v>8</v>
      </c>
      <c r="K89" s="39">
        <v>171638911.69090909</v>
      </c>
      <c r="L89" s="39">
        <v>16941309.309090912</v>
      </c>
    </row>
    <row r="90" spans="10:12" x14ac:dyDescent="0.25">
      <c r="J90" s="39">
        <v>9</v>
      </c>
      <c r="K90" s="39">
        <v>195429872.35454541</v>
      </c>
      <c r="L90" s="39">
        <v>2225752.6454545856</v>
      </c>
    </row>
    <row r="91" spans="10:12" x14ac:dyDescent="0.25">
      <c r="J91" s="39">
        <v>10</v>
      </c>
      <c r="K91" s="39">
        <v>219220833.0181818</v>
      </c>
      <c r="L91" s="39">
        <v>-3090797.0181818008</v>
      </c>
    </row>
    <row r="92" spans="10:12" ht="15.75" thickBot="1" x14ac:dyDescent="0.3">
      <c r="J92" s="40">
        <v>11</v>
      </c>
      <c r="K92" s="40">
        <v>243011793.68181813</v>
      </c>
      <c r="L92" s="40">
        <v>6988206.3181818724</v>
      </c>
    </row>
  </sheetData>
  <mergeCells count="3">
    <mergeCell ref="A1:E1"/>
    <mergeCell ref="A4:B4"/>
    <mergeCell ref="A42:B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8"/>
  <sheetViews>
    <sheetView workbookViewId="0">
      <selection activeCell="H7" sqref="H7"/>
    </sheetView>
  </sheetViews>
  <sheetFormatPr defaultRowHeight="15" x14ac:dyDescent="0.25"/>
  <cols>
    <col min="2" max="2" width="24.42578125" bestFit="1" customWidth="1"/>
    <col min="3" max="3" width="19.5703125" bestFit="1" customWidth="1"/>
    <col min="4" max="4" width="17.28515625" customWidth="1"/>
    <col min="5" max="5" width="18.5703125" customWidth="1"/>
    <col min="7" max="7" width="22.5703125" customWidth="1"/>
    <col min="8" max="8" width="11.5703125" bestFit="1" customWidth="1"/>
    <col min="9" max="10" width="21" bestFit="1" customWidth="1"/>
    <col min="11" max="11" width="9.42578125" bestFit="1" customWidth="1"/>
    <col min="12" max="12" width="11.5703125" bestFit="1" customWidth="1"/>
    <col min="13" max="13" width="12.5703125" bestFit="1" customWidth="1"/>
    <col min="14" max="14" width="11.5703125" bestFit="1" customWidth="1"/>
    <col min="15" max="15" width="12.5703125" bestFit="1" customWidth="1"/>
  </cols>
  <sheetData>
    <row r="1" spans="1:5" x14ac:dyDescent="0.25">
      <c r="A1" s="201" t="s">
        <v>33</v>
      </c>
      <c r="B1" s="201"/>
      <c r="C1" s="201"/>
      <c r="D1" s="201"/>
      <c r="E1" s="201"/>
    </row>
    <row r="4" spans="1:5" x14ac:dyDescent="0.25">
      <c r="A4" s="202" t="s">
        <v>34</v>
      </c>
      <c r="B4" s="202"/>
    </row>
    <row r="5" spans="1:5" ht="45" x14ac:dyDescent="0.25">
      <c r="A5" s="1" t="s">
        <v>35</v>
      </c>
      <c r="B5" s="1" t="s">
        <v>98</v>
      </c>
      <c r="C5" s="12" t="s">
        <v>99</v>
      </c>
      <c r="D5" s="158" t="s">
        <v>102</v>
      </c>
      <c r="E5" s="159" t="s">
        <v>103</v>
      </c>
    </row>
    <row r="6" spans="1:5" x14ac:dyDescent="0.25">
      <c r="A6" s="1">
        <v>1</v>
      </c>
      <c r="B6" s="5">
        <v>26289557</v>
      </c>
      <c r="C6" s="5">
        <v>10353656</v>
      </c>
      <c r="D6" s="1"/>
      <c r="E6" s="5"/>
    </row>
    <row r="7" spans="1:5" x14ac:dyDescent="0.25">
      <c r="A7" s="1">
        <v>2</v>
      </c>
      <c r="B7" s="5">
        <v>34071340</v>
      </c>
      <c r="C7" s="5">
        <v>14843000</v>
      </c>
      <c r="D7" s="5">
        <v>26289557</v>
      </c>
      <c r="E7" s="5">
        <v>10353656</v>
      </c>
    </row>
    <row r="8" spans="1:5" x14ac:dyDescent="0.25">
      <c r="A8" s="1">
        <v>3</v>
      </c>
      <c r="B8" s="5">
        <v>48201355</v>
      </c>
      <c r="C8" s="5">
        <v>15791444</v>
      </c>
      <c r="D8" s="5">
        <v>34071340</v>
      </c>
      <c r="E8" s="5">
        <v>14843000</v>
      </c>
    </row>
    <row r="9" spans="1:5" x14ac:dyDescent="0.25">
      <c r="A9" s="1">
        <v>4</v>
      </c>
      <c r="B9" s="5">
        <v>61744729</v>
      </c>
      <c r="C9" s="5">
        <v>19894028</v>
      </c>
      <c r="D9" s="5">
        <v>48201355</v>
      </c>
      <c r="E9" s="5">
        <v>15791444</v>
      </c>
    </row>
    <row r="10" spans="1:5" x14ac:dyDescent="0.25">
      <c r="A10" s="1">
        <v>5</v>
      </c>
      <c r="B10" s="5">
        <v>79117945</v>
      </c>
      <c r="C10" s="5">
        <v>12544085</v>
      </c>
      <c r="D10" s="5">
        <v>61744729</v>
      </c>
      <c r="E10" s="5">
        <v>19894028</v>
      </c>
    </row>
    <row r="11" spans="1:5" x14ac:dyDescent="0.25">
      <c r="A11" s="1">
        <v>6</v>
      </c>
      <c r="B11" s="5">
        <v>115533261</v>
      </c>
      <c r="C11" s="5">
        <v>32094015</v>
      </c>
      <c r="D11" s="5">
        <v>79117945</v>
      </c>
      <c r="E11" s="5">
        <v>12544085</v>
      </c>
    </row>
    <row r="12" spans="1:5" x14ac:dyDescent="0.25">
      <c r="A12" s="1">
        <v>7</v>
      </c>
      <c r="B12" s="5">
        <v>147302825</v>
      </c>
      <c r="C12" s="5">
        <v>37025594</v>
      </c>
      <c r="D12" s="5">
        <v>115533261</v>
      </c>
      <c r="E12" s="5">
        <v>32094015</v>
      </c>
    </row>
    <row r="13" spans="1:5" x14ac:dyDescent="0.25">
      <c r="A13" s="1">
        <v>8</v>
      </c>
      <c r="B13" s="5">
        <v>188580221</v>
      </c>
      <c r="C13" s="5">
        <v>39778176</v>
      </c>
      <c r="D13" s="5">
        <v>147302825</v>
      </c>
      <c r="E13" s="5">
        <v>37025594</v>
      </c>
    </row>
    <row r="14" spans="1:5" x14ac:dyDescent="0.25">
      <c r="A14" s="1">
        <v>9</v>
      </c>
      <c r="B14" s="5">
        <v>197655625</v>
      </c>
      <c r="C14" s="5">
        <v>203020361</v>
      </c>
      <c r="D14" s="5">
        <v>188580221</v>
      </c>
      <c r="E14" s="5">
        <v>39778176</v>
      </c>
    </row>
    <row r="15" spans="1:5" x14ac:dyDescent="0.25">
      <c r="A15" s="1">
        <v>10</v>
      </c>
      <c r="B15" s="5">
        <v>216130036</v>
      </c>
      <c r="C15" s="5">
        <v>27428577</v>
      </c>
      <c r="D15" s="5">
        <v>197655625</v>
      </c>
      <c r="E15" s="5">
        <v>203020361</v>
      </c>
    </row>
    <row r="16" spans="1:5" x14ac:dyDescent="0.25">
      <c r="D16" s="20"/>
      <c r="E16" s="70"/>
    </row>
    <row r="21" spans="7:12" x14ac:dyDescent="0.25">
      <c r="G21" t="s">
        <v>4</v>
      </c>
    </row>
    <row r="22" spans="7:12" ht="15.75" thickBot="1" x14ac:dyDescent="0.3"/>
    <row r="23" spans="7:12" x14ac:dyDescent="0.25">
      <c r="G23" s="42" t="s">
        <v>5</v>
      </c>
      <c r="H23" s="42"/>
    </row>
    <row r="24" spans="7:12" x14ac:dyDescent="0.25">
      <c r="G24" s="39" t="s">
        <v>6</v>
      </c>
      <c r="H24" s="135">
        <v>0.69106474606070034</v>
      </c>
    </row>
    <row r="25" spans="7:12" x14ac:dyDescent="0.25">
      <c r="G25" s="39" t="s">
        <v>7</v>
      </c>
      <c r="H25" s="135">
        <v>0.47757048324794027</v>
      </c>
    </row>
    <row r="26" spans="7:12" x14ac:dyDescent="0.25">
      <c r="G26" s="39" t="s">
        <v>8</v>
      </c>
      <c r="H26" s="135">
        <v>0.40293769514050315</v>
      </c>
    </row>
    <row r="27" spans="7:12" x14ac:dyDescent="0.25">
      <c r="G27" s="39" t="s">
        <v>9</v>
      </c>
      <c r="H27" s="135">
        <v>50539495.650632657</v>
      </c>
    </row>
    <row r="28" spans="7:12" ht="15.75" thickBot="1" x14ac:dyDescent="0.3">
      <c r="G28" s="40" t="s">
        <v>10</v>
      </c>
      <c r="H28" s="136">
        <v>9</v>
      </c>
    </row>
    <row r="30" spans="7:12" ht="15.75" thickBot="1" x14ac:dyDescent="0.3">
      <c r="G30" t="s">
        <v>11</v>
      </c>
    </row>
    <row r="31" spans="7:12" x14ac:dyDescent="0.25">
      <c r="G31" s="41"/>
      <c r="H31" s="41" t="s">
        <v>16</v>
      </c>
      <c r="I31" s="41" t="s">
        <v>17</v>
      </c>
      <c r="J31" s="41" t="s">
        <v>18</v>
      </c>
      <c r="K31" s="41" t="s">
        <v>19</v>
      </c>
      <c r="L31" s="41" t="s">
        <v>20</v>
      </c>
    </row>
    <row r="32" spans="7:12" x14ac:dyDescent="0.25">
      <c r="G32" s="39" t="s">
        <v>12</v>
      </c>
      <c r="H32" s="39">
        <v>1</v>
      </c>
      <c r="I32" s="135">
        <v>1.634442392484609E+16</v>
      </c>
      <c r="J32" s="135">
        <v>1.634442392484609E+16</v>
      </c>
      <c r="K32" s="135">
        <v>6.3989366518165847</v>
      </c>
      <c r="L32" s="135">
        <v>3.9255197603337365E-2</v>
      </c>
    </row>
    <row r="33" spans="7:15" x14ac:dyDescent="0.25">
      <c r="G33" s="39" t="s">
        <v>13</v>
      </c>
      <c r="H33" s="39">
        <v>7</v>
      </c>
      <c r="I33" s="135">
        <v>1.7879684344342222E+16</v>
      </c>
      <c r="J33" s="135">
        <v>2554240620620317.5</v>
      </c>
      <c r="K33" s="135"/>
      <c r="L33" s="135"/>
    </row>
    <row r="34" spans="7:15" ht="15.75" thickBot="1" x14ac:dyDescent="0.3">
      <c r="G34" s="40" t="s">
        <v>14</v>
      </c>
      <c r="H34" s="40">
        <v>8</v>
      </c>
      <c r="I34" s="136">
        <v>3.4224108269188312E+16</v>
      </c>
      <c r="J34" s="136"/>
      <c r="K34" s="136"/>
      <c r="L34" s="136"/>
    </row>
    <row r="35" spans="7:15" ht="15.75" thickBot="1" x14ac:dyDescent="0.3"/>
    <row r="36" spans="7:15" x14ac:dyDescent="0.25">
      <c r="G36" s="41"/>
      <c r="H36" s="41" t="s">
        <v>21</v>
      </c>
      <c r="I36" s="41" t="s">
        <v>9</v>
      </c>
      <c r="J36" s="41" t="s">
        <v>22</v>
      </c>
      <c r="K36" s="41" t="s">
        <v>23</v>
      </c>
      <c r="L36" s="41" t="s">
        <v>24</v>
      </c>
      <c r="M36" s="41" t="s">
        <v>25</v>
      </c>
      <c r="N36" s="41" t="s">
        <v>26</v>
      </c>
      <c r="O36" s="41" t="s">
        <v>27</v>
      </c>
    </row>
    <row r="37" spans="7:15" x14ac:dyDescent="0.25">
      <c r="G37" s="39" t="s">
        <v>15</v>
      </c>
      <c r="H37" s="135">
        <v>68140726.716494292</v>
      </c>
      <c r="I37" s="135">
        <v>20994474.639121316</v>
      </c>
      <c r="J37" s="135">
        <v>3.245650481270923</v>
      </c>
      <c r="K37" s="135">
        <v>1.4142079319343043E-2</v>
      </c>
      <c r="L37" s="135">
        <v>18496682.835378349</v>
      </c>
      <c r="M37" s="135">
        <v>117784770.59761024</v>
      </c>
      <c r="N37" s="135">
        <v>18496682.835378349</v>
      </c>
      <c r="O37" s="135">
        <v>117784770.59761024</v>
      </c>
    </row>
    <row r="38" spans="7:15" ht="15.75" thickBot="1" x14ac:dyDescent="0.3">
      <c r="G38" s="40" t="s">
        <v>28</v>
      </c>
      <c r="H38" s="136">
        <v>0.74019590760780141</v>
      </c>
      <c r="I38" s="136">
        <v>0.29261243236450085</v>
      </c>
      <c r="J38" s="136">
        <v>2.5296119567666069</v>
      </c>
      <c r="K38" s="136">
        <v>3.9255197603337379E-2</v>
      </c>
      <c r="L38" s="136">
        <v>4.8277453721149222E-2</v>
      </c>
      <c r="M38" s="136">
        <v>1.4321143614944536</v>
      </c>
      <c r="N38" s="136">
        <v>4.8277453721149222E-2</v>
      </c>
      <c r="O38" s="136">
        <v>1.4321143614944536</v>
      </c>
    </row>
  </sheetData>
  <mergeCells count="2">
    <mergeCell ref="A1:E1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56"/>
  <sheetViews>
    <sheetView topLeftCell="A37" zoomScale="90" zoomScaleNormal="90" workbookViewId="0">
      <selection activeCell="Y12" sqref="Y12"/>
    </sheetView>
  </sheetViews>
  <sheetFormatPr defaultRowHeight="15" x14ac:dyDescent="0.25"/>
  <cols>
    <col min="2" max="2" width="13.42578125" bestFit="1" customWidth="1"/>
    <col min="3" max="3" width="10" bestFit="1" customWidth="1"/>
    <col min="5" max="5" width="9.140625" customWidth="1"/>
    <col min="7" max="7" width="12.140625" customWidth="1"/>
    <col min="10" max="10" width="26.28515625" bestFit="1" customWidth="1"/>
    <col min="11" max="11" width="17.140625" bestFit="1" customWidth="1"/>
    <col min="12" max="12" width="10.85546875" customWidth="1"/>
  </cols>
  <sheetData>
    <row r="1" spans="1:15" ht="30.75" customHeight="1" x14ac:dyDescent="0.25">
      <c r="A1" s="3" t="s">
        <v>35</v>
      </c>
      <c r="B1" s="3" t="s">
        <v>105</v>
      </c>
      <c r="C1" s="74" t="s">
        <v>104</v>
      </c>
      <c r="D1" s="203" t="s">
        <v>78</v>
      </c>
      <c r="E1" s="204"/>
      <c r="F1" s="203" t="s">
        <v>95</v>
      </c>
      <c r="G1" s="204"/>
    </row>
    <row r="2" spans="1:15" x14ac:dyDescent="0.25">
      <c r="A2" s="4">
        <v>1</v>
      </c>
      <c r="B2" s="72">
        <v>23.39</v>
      </c>
      <c r="C2" s="75">
        <v>34.64</v>
      </c>
      <c r="D2" s="19" t="s">
        <v>3</v>
      </c>
      <c r="E2" s="12"/>
      <c r="F2" s="19" t="s">
        <v>3</v>
      </c>
      <c r="G2" s="53"/>
      <c r="J2" t="s">
        <v>4</v>
      </c>
    </row>
    <row r="3" spans="1:15" ht="15.75" thickBot="1" x14ac:dyDescent="0.3">
      <c r="A3" s="4">
        <v>2</v>
      </c>
      <c r="B3" s="72">
        <v>22.65</v>
      </c>
      <c r="C3" s="75">
        <v>54.34</v>
      </c>
      <c r="D3" s="77">
        <f>AVERAGE(B2:B3)</f>
        <v>23.02</v>
      </c>
      <c r="E3" s="79">
        <f>(ABS(D3-B3))/B3</f>
        <v>1.6335540838852143E-2</v>
      </c>
      <c r="F3" s="77">
        <f>B2</f>
        <v>23.39</v>
      </c>
      <c r="G3" s="78">
        <f>(ABS(F3-B3))/B3</f>
        <v>3.2671081677704286E-2</v>
      </c>
    </row>
    <row r="4" spans="1:15" x14ac:dyDescent="0.25">
      <c r="A4" s="4">
        <v>3</v>
      </c>
      <c r="B4" s="72">
        <v>22.39</v>
      </c>
      <c r="C4" s="75">
        <v>53.87</v>
      </c>
      <c r="D4" s="77">
        <f t="shared" ref="D4:D32" si="0">AVERAGE(B3:B4)</f>
        <v>22.52</v>
      </c>
      <c r="E4" s="79">
        <f t="shared" ref="E4:E32" si="1">(ABS(D4-B4))/B4</f>
        <v>5.806163465832917E-3</v>
      </c>
      <c r="F4" s="77">
        <f t="shared" ref="F4:F32" si="2">0.7*B3+0.3*F3</f>
        <v>22.872</v>
      </c>
      <c r="G4" s="78">
        <f t="shared" ref="G4:G32" si="3">(ABS(F4-B4))/B4</f>
        <v>2.1527467619472947E-2</v>
      </c>
      <c r="J4" s="42" t="s">
        <v>5</v>
      </c>
      <c r="K4" s="42"/>
    </row>
    <row r="5" spans="1:15" x14ac:dyDescent="0.25">
      <c r="A5" s="4">
        <v>4</v>
      </c>
      <c r="B5" s="72">
        <v>21.95</v>
      </c>
      <c r="C5" s="75">
        <v>53.23</v>
      </c>
      <c r="D5" s="77">
        <f t="shared" si="0"/>
        <v>22.17</v>
      </c>
      <c r="E5" s="79">
        <f t="shared" si="1"/>
        <v>1.0022779043280293E-2</v>
      </c>
      <c r="F5" s="77">
        <f t="shared" si="2"/>
        <v>22.534600000000001</v>
      </c>
      <c r="G5" s="78">
        <f t="shared" si="3"/>
        <v>2.6633257403189149E-2</v>
      </c>
      <c r="J5" s="39" t="s">
        <v>6</v>
      </c>
      <c r="K5" s="39">
        <v>0.81187389441229152</v>
      </c>
    </row>
    <row r="6" spans="1:15" x14ac:dyDescent="0.25">
      <c r="A6" s="4">
        <v>5</v>
      </c>
      <c r="B6" s="72">
        <v>21.81</v>
      </c>
      <c r="C6" s="75">
        <v>52.91</v>
      </c>
      <c r="D6" s="77">
        <f t="shared" si="0"/>
        <v>21.88</v>
      </c>
      <c r="E6" s="79">
        <f t="shared" si="1"/>
        <v>3.2095369096744744E-3</v>
      </c>
      <c r="F6" s="77">
        <f t="shared" si="2"/>
        <v>22.12538</v>
      </c>
      <c r="G6" s="78">
        <f t="shared" si="3"/>
        <v>1.4460339293901931E-2</v>
      </c>
      <c r="J6" s="39" t="s">
        <v>7</v>
      </c>
      <c r="K6" s="39">
        <v>0.65913922042818074</v>
      </c>
    </row>
    <row r="7" spans="1:15" x14ac:dyDescent="0.25">
      <c r="A7" s="4">
        <v>6</v>
      </c>
      <c r="B7" s="72">
        <v>21.81</v>
      </c>
      <c r="C7" s="75">
        <v>52.91</v>
      </c>
      <c r="D7" s="77">
        <f t="shared" si="0"/>
        <v>21.81</v>
      </c>
      <c r="E7" s="79">
        <f t="shared" si="1"/>
        <v>0</v>
      </c>
      <c r="F7" s="77">
        <f t="shared" si="2"/>
        <v>21.904613999999999</v>
      </c>
      <c r="G7" s="78">
        <f t="shared" si="3"/>
        <v>4.3381017881705631E-3</v>
      </c>
      <c r="J7" s="39" t="s">
        <v>8</v>
      </c>
      <c r="K7" s="39">
        <v>0.64738540044294557</v>
      </c>
    </row>
    <row r="8" spans="1:15" x14ac:dyDescent="0.25">
      <c r="A8" s="4">
        <v>7</v>
      </c>
      <c r="B8" s="72">
        <v>21.81</v>
      </c>
      <c r="C8" s="75">
        <v>52.91</v>
      </c>
      <c r="D8" s="77">
        <f t="shared" si="0"/>
        <v>21.81</v>
      </c>
      <c r="E8" s="79">
        <f t="shared" si="1"/>
        <v>0</v>
      </c>
      <c r="F8" s="77">
        <f t="shared" si="2"/>
        <v>21.838384199999997</v>
      </c>
      <c r="G8" s="78">
        <f t="shared" si="3"/>
        <v>1.3014305364510712E-3</v>
      </c>
      <c r="J8" s="39" t="s">
        <v>9</v>
      </c>
      <c r="K8" s="39">
        <v>2.2581307349260795</v>
      </c>
    </row>
    <row r="9" spans="1:15" ht="15.75" thickBot="1" x14ac:dyDescent="0.3">
      <c r="A9" s="4">
        <v>8</v>
      </c>
      <c r="B9" s="72">
        <v>21.5</v>
      </c>
      <c r="C9" s="75">
        <v>52.44</v>
      </c>
      <c r="D9" s="77">
        <f t="shared" si="0"/>
        <v>21.655000000000001</v>
      </c>
      <c r="E9" s="79">
        <f t="shared" si="1"/>
        <v>7.209302325581448E-3</v>
      </c>
      <c r="F9" s="77">
        <f t="shared" si="2"/>
        <v>21.818515259999998</v>
      </c>
      <c r="G9" s="78">
        <f t="shared" si="3"/>
        <v>1.4814663255813864E-2</v>
      </c>
      <c r="J9" s="40" t="s">
        <v>10</v>
      </c>
      <c r="K9" s="40">
        <v>31</v>
      </c>
    </row>
    <row r="10" spans="1:15" x14ac:dyDescent="0.25">
      <c r="A10" s="4">
        <v>9</v>
      </c>
      <c r="B10" s="72">
        <v>20.97</v>
      </c>
      <c r="C10" s="75">
        <v>52.14</v>
      </c>
      <c r="D10" s="77">
        <f t="shared" si="0"/>
        <v>21.234999999999999</v>
      </c>
      <c r="E10" s="79">
        <f t="shared" si="1"/>
        <v>1.2637100619933266E-2</v>
      </c>
      <c r="F10" s="77">
        <f t="shared" si="2"/>
        <v>21.595554577999998</v>
      </c>
      <c r="G10" s="78">
        <f t="shared" si="3"/>
        <v>2.9830928850739111E-2</v>
      </c>
    </row>
    <row r="11" spans="1:15" ht="15.75" thickBot="1" x14ac:dyDescent="0.3">
      <c r="A11" s="4">
        <v>10</v>
      </c>
      <c r="B11" s="72">
        <v>21.05</v>
      </c>
      <c r="C11" s="75">
        <v>52.65</v>
      </c>
      <c r="D11" s="77">
        <f t="shared" si="0"/>
        <v>21.009999999999998</v>
      </c>
      <c r="E11" s="79">
        <f t="shared" si="1"/>
        <v>1.9002375296913396E-3</v>
      </c>
      <c r="F11" s="77">
        <f t="shared" si="2"/>
        <v>21.157666373399998</v>
      </c>
      <c r="G11" s="78">
        <f t="shared" si="3"/>
        <v>5.1147920855105552E-3</v>
      </c>
      <c r="J11" t="s">
        <v>11</v>
      </c>
    </row>
    <row r="12" spans="1:15" x14ac:dyDescent="0.25">
      <c r="A12" s="4">
        <v>11</v>
      </c>
      <c r="B12" s="72">
        <v>21.05</v>
      </c>
      <c r="C12" s="75">
        <v>52.12</v>
      </c>
      <c r="D12" s="77">
        <f t="shared" si="0"/>
        <v>21.05</v>
      </c>
      <c r="E12" s="79">
        <f t="shared" si="1"/>
        <v>0</v>
      </c>
      <c r="F12" s="77">
        <f t="shared" si="2"/>
        <v>21.082299912019998</v>
      </c>
      <c r="G12" s="78">
        <f t="shared" si="3"/>
        <v>1.5344376256530821E-3</v>
      </c>
      <c r="J12" s="41"/>
      <c r="K12" s="41" t="s">
        <v>16</v>
      </c>
      <c r="L12" s="41" t="s">
        <v>17</v>
      </c>
      <c r="M12" s="41" t="s">
        <v>18</v>
      </c>
      <c r="N12" s="41" t="s">
        <v>19</v>
      </c>
      <c r="O12" s="41" t="s">
        <v>20</v>
      </c>
    </row>
    <row r="13" spans="1:15" x14ac:dyDescent="0.25">
      <c r="A13" s="4">
        <v>12</v>
      </c>
      <c r="B13" s="72">
        <v>21.05</v>
      </c>
      <c r="C13" s="75">
        <v>52.53</v>
      </c>
      <c r="D13" s="77">
        <f t="shared" si="0"/>
        <v>21.05</v>
      </c>
      <c r="E13" s="79">
        <f t="shared" si="1"/>
        <v>0</v>
      </c>
      <c r="F13" s="77">
        <f t="shared" si="2"/>
        <v>21.059689973605998</v>
      </c>
      <c r="G13" s="78">
        <f t="shared" si="3"/>
        <v>4.6033128769584026E-4</v>
      </c>
      <c r="J13" s="39" t="s">
        <v>12</v>
      </c>
      <c r="K13" s="39">
        <v>1</v>
      </c>
      <c r="L13" s="39">
        <v>285.95407032258061</v>
      </c>
      <c r="M13" s="39">
        <v>285.95407032258061</v>
      </c>
      <c r="N13" s="39">
        <v>56.078723449582739</v>
      </c>
      <c r="O13" s="39">
        <v>2.9709363137848125E-8</v>
      </c>
    </row>
    <row r="14" spans="1:15" x14ac:dyDescent="0.25">
      <c r="A14" s="4">
        <v>13</v>
      </c>
      <c r="B14" s="72">
        <v>21.05</v>
      </c>
      <c r="C14" s="75">
        <v>52.53</v>
      </c>
      <c r="D14" s="77">
        <f t="shared" si="0"/>
        <v>21.05</v>
      </c>
      <c r="E14" s="79">
        <f t="shared" si="1"/>
        <v>0</v>
      </c>
      <c r="F14" s="77">
        <f t="shared" si="2"/>
        <v>21.052906992081798</v>
      </c>
      <c r="G14" s="78">
        <f t="shared" si="3"/>
        <v>1.3809938630866768E-4</v>
      </c>
      <c r="J14" s="39" t="s">
        <v>13</v>
      </c>
      <c r="K14" s="39">
        <v>29</v>
      </c>
      <c r="L14" s="39">
        <v>147.8754780645161</v>
      </c>
      <c r="M14" s="39">
        <v>5.0991544160177966</v>
      </c>
      <c r="N14" s="39"/>
      <c r="O14" s="39"/>
    </row>
    <row r="15" spans="1:15" ht="15.75" thickBot="1" x14ac:dyDescent="0.3">
      <c r="A15" s="4">
        <v>14</v>
      </c>
      <c r="B15" s="72">
        <v>21.05</v>
      </c>
      <c r="C15" s="75">
        <v>52.53</v>
      </c>
      <c r="D15" s="77">
        <f t="shared" si="0"/>
        <v>21.05</v>
      </c>
      <c r="E15" s="79">
        <f t="shared" si="1"/>
        <v>0</v>
      </c>
      <c r="F15" s="77">
        <f t="shared" si="2"/>
        <v>21.050872097624538</v>
      </c>
      <c r="G15" s="78">
        <f>(ABS(F15-B15))/B15</f>
        <v>4.1429815892499042E-5</v>
      </c>
      <c r="J15" s="40" t="s">
        <v>14</v>
      </c>
      <c r="K15" s="40">
        <v>30</v>
      </c>
      <c r="L15" s="40">
        <v>433.82954838709668</v>
      </c>
      <c r="M15" s="40"/>
      <c r="N15" s="40"/>
      <c r="O15" s="40"/>
    </row>
    <row r="16" spans="1:15" ht="15.75" thickBot="1" x14ac:dyDescent="0.3">
      <c r="A16" s="4">
        <v>15</v>
      </c>
      <c r="B16" s="72">
        <v>20.75</v>
      </c>
      <c r="C16" s="75">
        <v>52.15</v>
      </c>
      <c r="D16" s="77">
        <f t="shared" si="0"/>
        <v>20.9</v>
      </c>
      <c r="E16" s="79">
        <f t="shared" si="1"/>
        <v>7.2289156626505341E-3</v>
      </c>
      <c r="F16" s="77">
        <f t="shared" si="2"/>
        <v>21.050261629287363</v>
      </c>
      <c r="G16" s="78">
        <f t="shared" si="3"/>
        <v>1.4470439965656027E-2</v>
      </c>
    </row>
    <row r="17" spans="1:19" x14ac:dyDescent="0.25">
      <c r="A17" s="4">
        <v>16</v>
      </c>
      <c r="B17" s="72">
        <v>20.94</v>
      </c>
      <c r="C17" s="75">
        <v>31.78</v>
      </c>
      <c r="D17" s="77">
        <f t="shared" si="0"/>
        <v>20.844999999999999</v>
      </c>
      <c r="E17" s="79">
        <f t="shared" si="1"/>
        <v>4.5367717287489208E-3</v>
      </c>
      <c r="F17" s="77">
        <f t="shared" si="2"/>
        <v>20.840078488786208</v>
      </c>
      <c r="G17" s="78">
        <f t="shared" si="3"/>
        <v>4.7718009175641458E-3</v>
      </c>
      <c r="J17" s="41"/>
      <c r="K17" s="41" t="s">
        <v>21</v>
      </c>
      <c r="L17" s="41" t="s">
        <v>9</v>
      </c>
      <c r="M17" s="41" t="s">
        <v>22</v>
      </c>
      <c r="N17" s="41" t="s">
        <v>23</v>
      </c>
      <c r="O17" s="41" t="s">
        <v>24</v>
      </c>
      <c r="P17" s="41" t="s">
        <v>25</v>
      </c>
      <c r="Q17" s="41" t="s">
        <v>26</v>
      </c>
      <c r="R17" s="41" t="s">
        <v>27</v>
      </c>
      <c r="S17" s="41" t="s">
        <v>27</v>
      </c>
    </row>
    <row r="18" spans="1:19" x14ac:dyDescent="0.25">
      <c r="A18" s="4">
        <v>17</v>
      </c>
      <c r="B18" s="72">
        <v>21.53</v>
      </c>
      <c r="C18" s="75">
        <v>31.51</v>
      </c>
      <c r="D18" s="77">
        <f t="shared" si="0"/>
        <v>21.234999999999999</v>
      </c>
      <c r="E18" s="79">
        <f t="shared" si="1"/>
        <v>1.3701811425917403E-2</v>
      </c>
      <c r="F18" s="77">
        <f t="shared" si="2"/>
        <v>20.910023546635863</v>
      </c>
      <c r="G18" s="78">
        <f t="shared" si="3"/>
        <v>2.8795933737303228E-2</v>
      </c>
      <c r="J18" s="39" t="s">
        <v>15</v>
      </c>
      <c r="K18" s="39">
        <v>19.085677419354838</v>
      </c>
      <c r="L18" s="39">
        <v>0.83117578101406853</v>
      </c>
      <c r="M18" s="39">
        <v>22.962263645446367</v>
      </c>
      <c r="N18" s="39">
        <v>3.7673541304360265E-20</v>
      </c>
      <c r="O18" s="39">
        <v>17.385732074202064</v>
      </c>
      <c r="P18" s="39">
        <v>20.785622764507611</v>
      </c>
      <c r="Q18" s="39">
        <v>17.385732074202064</v>
      </c>
      <c r="R18" s="39">
        <v>20.785622764507611</v>
      </c>
      <c r="S18" s="39">
        <v>20.785622764507611</v>
      </c>
    </row>
    <row r="19" spans="1:19" ht="15.75" thickBot="1" x14ac:dyDescent="0.3">
      <c r="A19" s="4">
        <v>18</v>
      </c>
      <c r="B19" s="72">
        <v>22.33</v>
      </c>
      <c r="C19" s="75">
        <v>31.05</v>
      </c>
      <c r="D19" s="77">
        <f t="shared" si="0"/>
        <v>21.93</v>
      </c>
      <c r="E19" s="79">
        <f t="shared" si="1"/>
        <v>1.7913121361397163E-2</v>
      </c>
      <c r="F19" s="77">
        <f t="shared" si="2"/>
        <v>21.344007063990759</v>
      </c>
      <c r="G19" s="78">
        <f t="shared" si="3"/>
        <v>4.4155527810534681E-2</v>
      </c>
      <c r="J19" s="40" t="s">
        <v>28</v>
      </c>
      <c r="K19" s="40">
        <v>0.33956451612903227</v>
      </c>
      <c r="L19" s="40">
        <v>4.5344356337035804E-2</v>
      </c>
      <c r="M19" s="40">
        <v>7.4885728580005653</v>
      </c>
      <c r="N19" s="40">
        <v>2.9709363137848016E-8</v>
      </c>
      <c r="O19" s="40">
        <v>0.2468248944450987</v>
      </c>
      <c r="P19" s="40">
        <v>0.43230413781296584</v>
      </c>
      <c r="Q19" s="40">
        <v>0.2468248944450987</v>
      </c>
      <c r="R19" s="40">
        <v>0.43230413781296584</v>
      </c>
      <c r="S19" s="40">
        <v>0.43230413781296584</v>
      </c>
    </row>
    <row r="20" spans="1:19" x14ac:dyDescent="0.25">
      <c r="A20" s="4">
        <v>19</v>
      </c>
      <c r="B20" s="72">
        <v>24.21</v>
      </c>
      <c r="C20" s="75">
        <v>31.05</v>
      </c>
      <c r="D20" s="77">
        <f t="shared" si="0"/>
        <v>23.27</v>
      </c>
      <c r="E20" s="79">
        <f t="shared" si="1"/>
        <v>3.8826931020239625E-2</v>
      </c>
      <c r="F20" s="77">
        <f t="shared" si="2"/>
        <v>22.034202119197225</v>
      </c>
      <c r="G20" s="78">
        <f t="shared" si="3"/>
        <v>8.987186620416257E-2</v>
      </c>
    </row>
    <row r="21" spans="1:19" x14ac:dyDescent="0.25">
      <c r="A21" s="4">
        <v>20</v>
      </c>
      <c r="B21" s="72">
        <v>24.21</v>
      </c>
      <c r="C21" s="75">
        <v>31.05</v>
      </c>
      <c r="D21" s="77">
        <f t="shared" si="0"/>
        <v>24.21</v>
      </c>
      <c r="E21" s="79">
        <f t="shared" si="1"/>
        <v>0</v>
      </c>
      <c r="F21" s="77">
        <f t="shared" si="2"/>
        <v>23.557260635759167</v>
      </c>
      <c r="G21" s="78">
        <f t="shared" si="3"/>
        <v>2.6961559861248801E-2</v>
      </c>
    </row>
    <row r="22" spans="1:19" x14ac:dyDescent="0.25">
      <c r="A22" s="4">
        <v>21</v>
      </c>
      <c r="B22" s="72">
        <v>25.21</v>
      </c>
      <c r="C22" s="75">
        <v>31.05</v>
      </c>
      <c r="D22" s="77">
        <f t="shared" si="0"/>
        <v>24.71</v>
      </c>
      <c r="E22" s="79">
        <f t="shared" si="1"/>
        <v>1.9833399444664813E-2</v>
      </c>
      <c r="F22" s="77">
        <f t="shared" si="2"/>
        <v>24.014178190727748</v>
      </c>
      <c r="G22" s="78">
        <f t="shared" si="3"/>
        <v>4.7434423215876764E-2</v>
      </c>
    </row>
    <row r="23" spans="1:19" x14ac:dyDescent="0.25">
      <c r="A23" s="4">
        <v>22</v>
      </c>
      <c r="B23" s="72">
        <v>29.98</v>
      </c>
      <c r="C23" s="75">
        <v>32.96</v>
      </c>
      <c r="D23" s="77">
        <f t="shared" si="0"/>
        <v>27.594999999999999</v>
      </c>
      <c r="E23" s="79">
        <f t="shared" si="1"/>
        <v>7.9553035356904653E-2</v>
      </c>
      <c r="F23" s="77">
        <f t="shared" si="2"/>
        <v>24.851253457218323</v>
      </c>
      <c r="G23" s="78">
        <f t="shared" si="3"/>
        <v>0.17107226627023606</v>
      </c>
      <c r="J23" t="s">
        <v>29</v>
      </c>
    </row>
    <row r="24" spans="1:19" ht="15.75" thickBot="1" x14ac:dyDescent="0.3">
      <c r="A24" s="4">
        <v>23</v>
      </c>
      <c r="B24" s="72">
        <v>29.98</v>
      </c>
      <c r="C24" s="75">
        <v>33.51</v>
      </c>
      <c r="D24" s="77">
        <f t="shared" si="0"/>
        <v>29.98</v>
      </c>
      <c r="E24" s="79">
        <f t="shared" si="1"/>
        <v>0</v>
      </c>
      <c r="F24" s="77">
        <f t="shared" si="2"/>
        <v>28.441376037165497</v>
      </c>
      <c r="G24" s="78">
        <f t="shared" si="3"/>
        <v>5.1321679881070816E-2</v>
      </c>
    </row>
    <row r="25" spans="1:19" ht="15.75" thickBot="1" x14ac:dyDescent="0.3">
      <c r="A25" s="4">
        <v>24</v>
      </c>
      <c r="B25" s="72">
        <v>29.74</v>
      </c>
      <c r="C25" s="75">
        <v>33.200000000000003</v>
      </c>
      <c r="D25" s="77">
        <f t="shared" si="0"/>
        <v>29.86</v>
      </c>
      <c r="E25" s="79">
        <f t="shared" si="1"/>
        <v>4.0349697377270004E-3</v>
      </c>
      <c r="F25" s="77">
        <f t="shared" si="2"/>
        <v>29.518412811149652</v>
      </c>
      <c r="G25" s="78">
        <f t="shared" si="3"/>
        <v>7.45081334399282E-3</v>
      </c>
      <c r="J25" s="41" t="s">
        <v>30</v>
      </c>
      <c r="K25" s="41" t="s">
        <v>31</v>
      </c>
      <c r="L25" s="41" t="s">
        <v>32</v>
      </c>
    </row>
    <row r="26" spans="1:19" ht="15.75" thickBot="1" x14ac:dyDescent="0.3">
      <c r="A26" s="4">
        <v>25</v>
      </c>
      <c r="B26" s="72">
        <v>29.98</v>
      </c>
      <c r="C26" s="75">
        <v>35.08</v>
      </c>
      <c r="D26" s="77">
        <f t="shared" si="0"/>
        <v>29.86</v>
      </c>
      <c r="E26" s="79">
        <f t="shared" si="1"/>
        <v>4.0026684456304536E-3</v>
      </c>
      <c r="F26" s="77">
        <f t="shared" si="2"/>
        <v>29.673523843344896</v>
      </c>
      <c r="G26" s="78">
        <f t="shared" si="3"/>
        <v>1.0222687013178947E-2</v>
      </c>
      <c r="J26" s="39">
        <v>1</v>
      </c>
      <c r="K26" s="39">
        <v>19.425241935483871</v>
      </c>
      <c r="L26" s="39">
        <v>3.9647580645161291</v>
      </c>
      <c r="N26" s="83">
        <f>(ABS(L26-B2))/B2</f>
        <v>0.83049345598477431</v>
      </c>
      <c r="O26" s="86" t="s">
        <v>0</v>
      </c>
    </row>
    <row r="27" spans="1:19" ht="15.75" thickBot="1" x14ac:dyDescent="0.3">
      <c r="A27" s="4">
        <v>26</v>
      </c>
      <c r="B27" s="72">
        <v>29.7</v>
      </c>
      <c r="C27" s="75">
        <v>35.200000000000003</v>
      </c>
      <c r="D27" s="77">
        <f t="shared" si="0"/>
        <v>29.84</v>
      </c>
      <c r="E27" s="79">
        <f t="shared" si="1"/>
        <v>4.7138047138047335E-3</v>
      </c>
      <c r="F27" s="77">
        <f t="shared" si="2"/>
        <v>29.888057153003469</v>
      </c>
      <c r="G27" s="78">
        <f t="shared" si="3"/>
        <v>6.3318906735175097E-3</v>
      </c>
      <c r="J27" s="39">
        <v>2</v>
      </c>
      <c r="K27" s="39">
        <v>19.764806451612902</v>
      </c>
      <c r="L27" s="39">
        <v>2.8851935483870967</v>
      </c>
      <c r="N27" s="84">
        <f t="shared" ref="N27:N56" si="4">(ABS(L27-B3))/B3</f>
        <v>0.87261838638467559</v>
      </c>
      <c r="O27" s="87">
        <f>AVERAGE(N26:N56)</f>
        <v>1.0076872204380685</v>
      </c>
    </row>
    <row r="28" spans="1:19" x14ac:dyDescent="0.25">
      <c r="A28" s="4">
        <v>27</v>
      </c>
      <c r="B28" s="72">
        <v>29.7</v>
      </c>
      <c r="C28" s="75">
        <v>35.200000000000003</v>
      </c>
      <c r="D28" s="77">
        <f t="shared" si="0"/>
        <v>29.7</v>
      </c>
      <c r="E28" s="79">
        <f t="shared" si="1"/>
        <v>0</v>
      </c>
      <c r="F28" s="77">
        <f t="shared" si="2"/>
        <v>29.75641714590104</v>
      </c>
      <c r="G28" s="78">
        <f t="shared" si="3"/>
        <v>1.8995672020552289E-3</v>
      </c>
      <c r="J28" s="39">
        <v>3</v>
      </c>
      <c r="K28" s="39">
        <v>20.104370967741936</v>
      </c>
      <c r="L28" s="39">
        <v>2.2856290322580648</v>
      </c>
      <c r="N28" s="84">
        <f t="shared" si="4"/>
        <v>0.8979174170496621</v>
      </c>
    </row>
    <row r="29" spans="1:19" x14ac:dyDescent="0.25">
      <c r="A29" s="4">
        <v>28</v>
      </c>
      <c r="B29" s="72">
        <v>29.7</v>
      </c>
      <c r="C29" s="75">
        <v>35.200000000000003</v>
      </c>
      <c r="D29" s="77">
        <f t="shared" si="0"/>
        <v>29.7</v>
      </c>
      <c r="E29" s="79">
        <f t="shared" si="1"/>
        <v>0</v>
      </c>
      <c r="F29" s="77">
        <f t="shared" si="2"/>
        <v>29.716925143770311</v>
      </c>
      <c r="G29" s="78">
        <f t="shared" si="3"/>
        <v>5.6987016061655672E-4</v>
      </c>
      <c r="J29" s="39">
        <v>4</v>
      </c>
      <c r="K29" s="39">
        <v>20.443935483870966</v>
      </c>
      <c r="L29" s="39">
        <v>1.5060645161290331</v>
      </c>
      <c r="N29" s="84">
        <f t="shared" si="4"/>
        <v>0.93138658240870009</v>
      </c>
    </row>
    <row r="30" spans="1:19" x14ac:dyDescent="0.25">
      <c r="A30" s="4">
        <v>29</v>
      </c>
      <c r="B30" s="72">
        <v>29.55</v>
      </c>
      <c r="C30" s="75">
        <v>36.950000000000003</v>
      </c>
      <c r="D30" s="77">
        <f t="shared" si="0"/>
        <v>29.625</v>
      </c>
      <c r="E30" s="79">
        <f t="shared" si="1"/>
        <v>2.5380710659898237E-3</v>
      </c>
      <c r="F30" s="77">
        <f t="shared" si="2"/>
        <v>29.70507754313109</v>
      </c>
      <c r="G30" s="78">
        <f t="shared" si="3"/>
        <v>5.247971002744125E-3</v>
      </c>
      <c r="J30" s="39">
        <v>5</v>
      </c>
      <c r="K30" s="39">
        <v>20.7835</v>
      </c>
      <c r="L30" s="39">
        <v>1.0264999999999986</v>
      </c>
      <c r="N30" s="84">
        <f t="shared" si="4"/>
        <v>0.95293443374598819</v>
      </c>
    </row>
    <row r="31" spans="1:19" x14ac:dyDescent="0.25">
      <c r="A31" s="4">
        <v>30</v>
      </c>
      <c r="B31" s="72">
        <v>29.66</v>
      </c>
      <c r="C31" s="75">
        <v>37.06</v>
      </c>
      <c r="D31" s="77">
        <f t="shared" si="0"/>
        <v>29.605</v>
      </c>
      <c r="E31" s="79">
        <f t="shared" si="1"/>
        <v>1.8543492919757152E-3</v>
      </c>
      <c r="F31" s="77">
        <f t="shared" si="2"/>
        <v>29.596523262939325</v>
      </c>
      <c r="G31" s="78">
        <f t="shared" si="3"/>
        <v>2.1401462259162253E-3</v>
      </c>
      <c r="J31" s="39">
        <v>6</v>
      </c>
      <c r="K31" s="39">
        <v>21.12306451612903</v>
      </c>
      <c r="L31" s="39">
        <v>0.68693548387096826</v>
      </c>
      <c r="N31" s="84">
        <f t="shared" si="4"/>
        <v>0.96850364585644344</v>
      </c>
    </row>
    <row r="32" spans="1:19" x14ac:dyDescent="0.25">
      <c r="A32" s="4">
        <v>31</v>
      </c>
      <c r="B32" s="72">
        <v>29.38</v>
      </c>
      <c r="C32" s="75">
        <v>40.98</v>
      </c>
      <c r="D32" s="77">
        <f t="shared" si="0"/>
        <v>29.52</v>
      </c>
      <c r="E32" s="79">
        <f t="shared" si="1"/>
        <v>4.7651463580667313E-3</v>
      </c>
      <c r="F32" s="77">
        <f t="shared" si="2"/>
        <v>29.640956978881796</v>
      </c>
      <c r="G32" s="78">
        <f t="shared" si="3"/>
        <v>8.8821299823620536E-3</v>
      </c>
      <c r="J32" s="39">
        <v>7</v>
      </c>
      <c r="K32" s="39">
        <v>21.462629032258064</v>
      </c>
      <c r="L32" s="39">
        <v>0.34737096774193432</v>
      </c>
      <c r="N32" s="84">
        <f t="shared" si="4"/>
        <v>0.98407285796689892</v>
      </c>
    </row>
    <row r="33" spans="4:14" ht="15.75" thickBot="1" x14ac:dyDescent="0.3">
      <c r="D33" s="80" t="s">
        <v>0</v>
      </c>
      <c r="E33" s="81">
        <f>AVERAGE(E3:E32)</f>
        <v>8.6874552115521128E-3</v>
      </c>
      <c r="F33" s="80" t="s">
        <v>0</v>
      </c>
      <c r="G33" s="82">
        <f>AVERAGE(G3:G32)</f>
        <v>2.2482231136484669E-2</v>
      </c>
      <c r="J33" s="39">
        <v>8</v>
      </c>
      <c r="K33" s="39">
        <v>21.802193548387095</v>
      </c>
      <c r="L33" s="39">
        <v>-0.30219354838709478</v>
      </c>
      <c r="N33" s="84">
        <f t="shared" si="4"/>
        <v>1.0140555138784695</v>
      </c>
    </row>
    <row r="34" spans="4:14" x14ac:dyDescent="0.25">
      <c r="J34" s="39">
        <v>9</v>
      </c>
      <c r="K34" s="39">
        <v>22.141758064516129</v>
      </c>
      <c r="L34" s="39">
        <v>-1.1717580645161298</v>
      </c>
      <c r="N34" s="84">
        <f t="shared" si="4"/>
        <v>1.0558778285415418</v>
      </c>
    </row>
    <row r="35" spans="4:14" x14ac:dyDescent="0.25">
      <c r="J35" s="39">
        <v>10</v>
      </c>
      <c r="K35" s="39">
        <v>22.481322580645159</v>
      </c>
      <c r="L35" s="39">
        <v>-1.4313225806451584</v>
      </c>
      <c r="N35" s="84">
        <f t="shared" si="4"/>
        <v>1.0679963221209101</v>
      </c>
    </row>
    <row r="36" spans="4:14" x14ac:dyDescent="0.25">
      <c r="J36" s="39">
        <v>11</v>
      </c>
      <c r="K36" s="39">
        <v>22.820887096774193</v>
      </c>
      <c r="L36" s="39">
        <v>-1.7708870967741923</v>
      </c>
      <c r="N36" s="84">
        <f t="shared" si="4"/>
        <v>1.0841276530534059</v>
      </c>
    </row>
    <row r="37" spans="4:14" x14ac:dyDescent="0.25">
      <c r="J37" s="39">
        <v>12</v>
      </c>
      <c r="K37" s="39">
        <v>23.160451612903223</v>
      </c>
      <c r="L37" s="39">
        <v>-2.1104516129032227</v>
      </c>
      <c r="N37" s="84">
        <f t="shared" si="4"/>
        <v>1.1002589839859014</v>
      </c>
    </row>
    <row r="38" spans="4:14" x14ac:dyDescent="0.25">
      <c r="J38" s="39">
        <v>13</v>
      </c>
      <c r="K38" s="39">
        <v>23.500016129032257</v>
      </c>
      <c r="L38" s="39">
        <v>-2.4500161290322566</v>
      </c>
      <c r="N38" s="84">
        <f t="shared" si="4"/>
        <v>1.1163903149183969</v>
      </c>
    </row>
    <row r="39" spans="4:14" x14ac:dyDescent="0.25">
      <c r="J39" s="39">
        <v>14</v>
      </c>
      <c r="K39" s="39">
        <v>23.839580645161291</v>
      </c>
      <c r="L39" s="39">
        <v>-2.7895806451612906</v>
      </c>
      <c r="N39" s="84">
        <f t="shared" si="4"/>
        <v>1.1325216458508927</v>
      </c>
    </row>
    <row r="40" spans="4:14" x14ac:dyDescent="0.25">
      <c r="J40" s="39">
        <v>15</v>
      </c>
      <c r="K40" s="39">
        <v>24.179145161290322</v>
      </c>
      <c r="L40" s="39">
        <v>-3.4291451612903217</v>
      </c>
      <c r="N40" s="84">
        <f t="shared" si="4"/>
        <v>1.1652600077730275</v>
      </c>
    </row>
    <row r="41" spans="4:14" x14ac:dyDescent="0.25">
      <c r="J41" s="39">
        <v>16</v>
      </c>
      <c r="K41" s="39">
        <v>24.518709677419352</v>
      </c>
      <c r="L41" s="39">
        <v>-3.5787096774193508</v>
      </c>
      <c r="N41" s="84">
        <f t="shared" si="4"/>
        <v>1.1709030409464829</v>
      </c>
    </row>
    <row r="42" spans="4:14" x14ac:dyDescent="0.25">
      <c r="J42" s="39">
        <v>17</v>
      </c>
      <c r="K42" s="39">
        <v>24.858274193548386</v>
      </c>
      <c r="L42" s="39">
        <v>-3.3282741935483848</v>
      </c>
      <c r="N42" s="84">
        <f t="shared" si="4"/>
        <v>1.1545877470296508</v>
      </c>
    </row>
    <row r="43" spans="4:14" x14ac:dyDescent="0.25">
      <c r="J43" s="39">
        <v>18</v>
      </c>
      <c r="K43" s="39">
        <v>25.19783870967742</v>
      </c>
      <c r="L43" s="39">
        <v>-2.8678387096774216</v>
      </c>
      <c r="N43" s="84">
        <f t="shared" si="4"/>
        <v>1.1284298571284113</v>
      </c>
    </row>
    <row r="44" spans="4:14" x14ac:dyDescent="0.25">
      <c r="J44" s="39">
        <v>19</v>
      </c>
      <c r="K44" s="39">
        <v>25.53740322580645</v>
      </c>
      <c r="L44" s="39">
        <v>-1.3274032258064494</v>
      </c>
      <c r="N44" s="84">
        <f t="shared" si="4"/>
        <v>1.0548287164727983</v>
      </c>
    </row>
    <row r="45" spans="4:14" x14ac:dyDescent="0.25">
      <c r="J45" s="39">
        <v>20</v>
      </c>
      <c r="K45" s="39">
        <v>25.876967741935481</v>
      </c>
      <c r="L45" s="39">
        <v>-1.6669677419354798</v>
      </c>
      <c r="N45" s="84">
        <f t="shared" si="4"/>
        <v>1.0688545122649931</v>
      </c>
    </row>
    <row r="46" spans="4:14" x14ac:dyDescent="0.25">
      <c r="J46" s="39">
        <v>21</v>
      </c>
      <c r="K46" s="39">
        <v>26.216532258064515</v>
      </c>
      <c r="L46" s="39">
        <v>-1.0065322580645137</v>
      </c>
      <c r="N46" s="84">
        <f t="shared" si="4"/>
        <v>1.0399259126562679</v>
      </c>
    </row>
    <row r="47" spans="4:14" x14ac:dyDescent="0.25">
      <c r="J47" s="39">
        <v>22</v>
      </c>
      <c r="K47" s="39">
        <v>26.556096774193549</v>
      </c>
      <c r="L47" s="39">
        <v>3.4239032258064519</v>
      </c>
      <c r="N47" s="84">
        <f t="shared" si="4"/>
        <v>0.88579375497643587</v>
      </c>
    </row>
    <row r="48" spans="4:14" x14ac:dyDescent="0.25">
      <c r="J48" s="39">
        <v>23</v>
      </c>
      <c r="K48" s="39">
        <v>26.895661290322579</v>
      </c>
      <c r="L48" s="39">
        <v>3.0843387096774215</v>
      </c>
      <c r="N48" s="84">
        <f t="shared" si="4"/>
        <v>0.89712012309281453</v>
      </c>
    </row>
    <row r="49" spans="10:14" x14ac:dyDescent="0.25">
      <c r="J49" s="39">
        <v>24</v>
      </c>
      <c r="K49" s="39">
        <v>27.235225806451613</v>
      </c>
      <c r="L49" s="39">
        <v>2.5047741935483856</v>
      </c>
      <c r="N49" s="84">
        <f t="shared" si="4"/>
        <v>0.91577759940993997</v>
      </c>
    </row>
    <row r="50" spans="10:14" x14ac:dyDescent="0.25">
      <c r="J50" s="39">
        <v>25</v>
      </c>
      <c r="K50" s="39">
        <v>27.574790322580647</v>
      </c>
      <c r="L50" s="39">
        <v>2.4052096774193537</v>
      </c>
      <c r="N50" s="84">
        <f t="shared" si="4"/>
        <v>0.91977285932557196</v>
      </c>
    </row>
    <row r="51" spans="10:14" x14ac:dyDescent="0.25">
      <c r="J51" s="39">
        <v>26</v>
      </c>
      <c r="K51" s="39">
        <v>27.914354838709677</v>
      </c>
      <c r="L51" s="39">
        <v>1.7856451612903221</v>
      </c>
      <c r="N51" s="84">
        <f t="shared" si="4"/>
        <v>0.93987726729662213</v>
      </c>
    </row>
    <row r="52" spans="10:14" x14ac:dyDescent="0.25">
      <c r="J52" s="39">
        <v>27</v>
      </c>
      <c r="K52" s="39">
        <v>28.253919354838708</v>
      </c>
      <c r="L52" s="39">
        <v>1.4460806451612918</v>
      </c>
      <c r="N52" s="84">
        <f t="shared" si="4"/>
        <v>0.95131041598783528</v>
      </c>
    </row>
    <row r="53" spans="10:14" x14ac:dyDescent="0.25">
      <c r="J53" s="39">
        <v>28</v>
      </c>
      <c r="K53" s="39">
        <v>28.593483870967741</v>
      </c>
      <c r="L53" s="39">
        <v>1.1065161290322578</v>
      </c>
      <c r="N53" s="84">
        <f t="shared" si="4"/>
        <v>0.96274356467904854</v>
      </c>
    </row>
    <row r="54" spans="10:14" x14ac:dyDescent="0.25">
      <c r="J54" s="39">
        <v>29</v>
      </c>
      <c r="K54" s="39">
        <v>28.933048387096775</v>
      </c>
      <c r="L54" s="39">
        <v>0.61695161290322531</v>
      </c>
      <c r="N54" s="84">
        <f t="shared" si="4"/>
        <v>0.97912177282899404</v>
      </c>
    </row>
    <row r="55" spans="10:14" x14ac:dyDescent="0.25">
      <c r="J55" s="39">
        <v>30</v>
      </c>
      <c r="K55" s="39">
        <v>29.272612903225806</v>
      </c>
      <c r="L55" s="39">
        <v>0.38738709677419436</v>
      </c>
      <c r="N55" s="84">
        <f t="shared" si="4"/>
        <v>0.98693907293411343</v>
      </c>
    </row>
    <row r="56" spans="10:14" ht="15.75" thickBot="1" x14ac:dyDescent="0.3">
      <c r="J56" s="40">
        <v>31</v>
      </c>
      <c r="K56" s="40">
        <v>29.612177419354836</v>
      </c>
      <c r="L56" s="40">
        <v>-0.23217741935483716</v>
      </c>
      <c r="N56" s="85">
        <f t="shared" si="4"/>
        <v>1.0079025670304573</v>
      </c>
    </row>
  </sheetData>
  <mergeCells count="2">
    <mergeCell ref="D1:E1"/>
    <mergeCell ref="F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S8" sqref="S8"/>
    </sheetView>
  </sheetViews>
  <sheetFormatPr defaultRowHeight="15" x14ac:dyDescent="0.25"/>
  <cols>
    <col min="1" max="1" width="10.140625" customWidth="1"/>
  </cols>
  <sheetData>
    <row r="1" spans="1:5" x14ac:dyDescent="0.25">
      <c r="A1" s="1"/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s="1">
        <v>2013</v>
      </c>
      <c r="B2" s="1">
        <v>25</v>
      </c>
      <c r="C2" s="1">
        <v>20</v>
      </c>
      <c r="D2" s="1">
        <v>22</v>
      </c>
      <c r="E2" s="1">
        <v>36</v>
      </c>
    </row>
    <row r="3" spans="1:5" x14ac:dyDescent="0.25">
      <c r="A3" s="1">
        <v>2014</v>
      </c>
      <c r="B3" s="1">
        <v>30</v>
      </c>
      <c r="C3" s="1">
        <v>28</v>
      </c>
      <c r="D3" s="1">
        <v>31</v>
      </c>
      <c r="E3" s="1">
        <v>48</v>
      </c>
    </row>
    <row r="4" spans="1:5" x14ac:dyDescent="0.25">
      <c r="A4" s="1">
        <v>2015</v>
      </c>
      <c r="B4" s="1">
        <v>41</v>
      </c>
      <c r="C4" s="1">
        <v>40</v>
      </c>
      <c r="D4" s="1">
        <v>47</v>
      </c>
      <c r="E4" s="1">
        <v>61</v>
      </c>
    </row>
    <row r="5" spans="1:5" x14ac:dyDescent="0.25">
      <c r="A5" s="1">
        <v>2016</v>
      </c>
      <c r="B5" s="1">
        <v>54</v>
      </c>
      <c r="C5" s="1">
        <v>50</v>
      </c>
      <c r="D5" s="1">
        <v>60</v>
      </c>
      <c r="E5" s="1"/>
    </row>
    <row r="7" spans="1:5" x14ac:dyDescent="0.25">
      <c r="A7" s="201" t="s">
        <v>106</v>
      </c>
      <c r="B7" s="201"/>
      <c r="C7" s="201"/>
    </row>
    <row r="8" spans="1:5" x14ac:dyDescent="0.25">
      <c r="A8" s="1">
        <v>2013</v>
      </c>
      <c r="B8" s="1" t="s">
        <v>36</v>
      </c>
      <c r="C8" s="1">
        <v>25</v>
      </c>
    </row>
    <row r="9" spans="1:5" x14ac:dyDescent="0.25">
      <c r="B9" s="1" t="s">
        <v>37</v>
      </c>
      <c r="C9" s="1">
        <v>20</v>
      </c>
    </row>
    <row r="10" spans="1:5" x14ac:dyDescent="0.25">
      <c r="B10" s="1" t="s">
        <v>38</v>
      </c>
      <c r="C10" s="1">
        <v>22</v>
      </c>
    </row>
    <row r="11" spans="1:5" x14ac:dyDescent="0.25">
      <c r="B11" s="1" t="s">
        <v>39</v>
      </c>
      <c r="C11" s="1">
        <v>36</v>
      </c>
    </row>
    <row r="12" spans="1:5" x14ac:dyDescent="0.25">
      <c r="A12" s="1">
        <v>2014</v>
      </c>
      <c r="B12" s="1" t="s">
        <v>36</v>
      </c>
      <c r="C12" s="1">
        <v>30</v>
      </c>
    </row>
    <row r="13" spans="1:5" x14ac:dyDescent="0.25">
      <c r="B13" s="1" t="s">
        <v>37</v>
      </c>
      <c r="C13" s="1">
        <v>28</v>
      </c>
    </row>
    <row r="14" spans="1:5" x14ac:dyDescent="0.25">
      <c r="B14" s="1" t="s">
        <v>38</v>
      </c>
      <c r="C14" s="1">
        <v>31</v>
      </c>
    </row>
    <row r="15" spans="1:5" x14ac:dyDescent="0.25">
      <c r="B15" s="1" t="s">
        <v>39</v>
      </c>
      <c r="C15" s="1">
        <v>48</v>
      </c>
    </row>
    <row r="16" spans="1:5" x14ac:dyDescent="0.25">
      <c r="A16" s="1">
        <v>2015</v>
      </c>
      <c r="B16" s="1" t="s">
        <v>36</v>
      </c>
      <c r="C16" s="1">
        <v>41</v>
      </c>
    </row>
    <row r="17" spans="1:3" x14ac:dyDescent="0.25">
      <c r="B17" s="1" t="s">
        <v>37</v>
      </c>
      <c r="C17" s="1">
        <v>40</v>
      </c>
    </row>
    <row r="18" spans="1:3" x14ac:dyDescent="0.25">
      <c r="B18" s="1" t="s">
        <v>38</v>
      </c>
      <c r="C18" s="1">
        <v>47</v>
      </c>
    </row>
    <row r="19" spans="1:3" x14ac:dyDescent="0.25">
      <c r="B19" s="1" t="s">
        <v>39</v>
      </c>
      <c r="C19" s="1">
        <v>61</v>
      </c>
    </row>
    <row r="20" spans="1:3" x14ac:dyDescent="0.25">
      <c r="A20" s="1">
        <v>2016</v>
      </c>
      <c r="B20" s="1" t="s">
        <v>36</v>
      </c>
      <c r="C20" s="1">
        <v>54</v>
      </c>
    </row>
    <row r="21" spans="1:3" x14ac:dyDescent="0.25">
      <c r="B21" s="1" t="s">
        <v>37</v>
      </c>
      <c r="C21" s="1">
        <v>50</v>
      </c>
    </row>
    <row r="22" spans="1:3" x14ac:dyDescent="0.25">
      <c r="B22" s="1" t="s">
        <v>38</v>
      </c>
      <c r="C22" s="1">
        <v>60</v>
      </c>
    </row>
    <row r="23" spans="1:3" x14ac:dyDescent="0.25">
      <c r="B23" s="1" t="s">
        <v>39</v>
      </c>
      <c r="C23" s="1"/>
    </row>
  </sheetData>
  <mergeCells count="1">
    <mergeCell ref="A7:C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D27" workbookViewId="0">
      <selection activeCell="J2" sqref="J2"/>
    </sheetView>
  </sheetViews>
  <sheetFormatPr defaultRowHeight="15" x14ac:dyDescent="0.25"/>
  <cols>
    <col min="4" max="4" width="15.28515625" customWidth="1"/>
    <col min="10" max="10" width="26.28515625" bestFit="1" customWidth="1"/>
    <col min="11" max="11" width="16.85546875" customWidth="1"/>
    <col min="13" max="13" width="13.140625" customWidth="1"/>
    <col min="14" max="14" width="11.5703125" customWidth="1"/>
  </cols>
  <sheetData>
    <row r="1" spans="1:15" ht="30" x14ac:dyDescent="0.25">
      <c r="A1" s="1" t="s">
        <v>107</v>
      </c>
      <c r="B1" s="1" t="s">
        <v>40</v>
      </c>
      <c r="C1" s="37" t="s">
        <v>108</v>
      </c>
      <c r="D1" s="37" t="s">
        <v>109</v>
      </c>
      <c r="E1" s="37" t="s">
        <v>110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15" x14ac:dyDescent="0.25">
      <c r="A2" s="16">
        <v>2013</v>
      </c>
      <c r="B2" s="1" t="s">
        <v>36</v>
      </c>
      <c r="C2" s="1">
        <v>25</v>
      </c>
      <c r="D2" s="76">
        <f>LOG10(C2)</f>
        <v>1.3979400086720377</v>
      </c>
      <c r="E2" s="1">
        <v>1</v>
      </c>
      <c r="F2" s="1">
        <f>IF(RIGHT($B2,1)=RIGHT(F$1,1),1,0)</f>
        <v>1</v>
      </c>
      <c r="G2" s="1">
        <f>IF(RIGHT($B2,1)=RIGHT(G$1,1),1,0)</f>
        <v>0</v>
      </c>
      <c r="H2" s="1">
        <f>IF(RIGHT($B2,1)=RIGHT(H$1,1),1,0)</f>
        <v>0</v>
      </c>
      <c r="I2" s="1">
        <f>IF(RIGHT($B2,1)=RIGHT(I$1,1),1,0)</f>
        <v>0</v>
      </c>
      <c r="J2" t="s">
        <v>4</v>
      </c>
    </row>
    <row r="3" spans="1:15" ht="15.75" thickBot="1" x14ac:dyDescent="0.3">
      <c r="B3" s="1" t="s">
        <v>37</v>
      </c>
      <c r="C3" s="1">
        <v>20</v>
      </c>
      <c r="D3" s="76">
        <f t="shared" ref="D3:D16" si="0">LOG10(C3)</f>
        <v>1.3010299956639813</v>
      </c>
      <c r="E3" s="1">
        <v>2</v>
      </c>
      <c r="F3" s="1">
        <f t="shared" ref="F3:F16" si="1">IF(RIGHT($B3,1)=RIGHT(F$1,1),1,0)</f>
        <v>0</v>
      </c>
      <c r="G3" s="1">
        <f t="shared" ref="G3:G16" si="2">IF(RIGHT($B3,1)=RIGHT(G$1,1),1,0)</f>
        <v>1</v>
      </c>
      <c r="H3" s="1">
        <f t="shared" ref="H3:I16" si="3">IF(RIGHT($B3,1)=RIGHT(H$1,1),1,0)</f>
        <v>0</v>
      </c>
      <c r="I3" s="1">
        <f t="shared" si="3"/>
        <v>0</v>
      </c>
    </row>
    <row r="4" spans="1:15" x14ac:dyDescent="0.25">
      <c r="B4" s="1" t="s">
        <v>38</v>
      </c>
      <c r="C4" s="1">
        <v>22</v>
      </c>
      <c r="D4" s="76">
        <f t="shared" si="0"/>
        <v>1.3424226808222062</v>
      </c>
      <c r="E4" s="1">
        <v>3</v>
      </c>
      <c r="F4" s="1">
        <f t="shared" si="1"/>
        <v>0</v>
      </c>
      <c r="G4" s="1">
        <f t="shared" si="2"/>
        <v>0</v>
      </c>
      <c r="H4" s="1">
        <f t="shared" si="3"/>
        <v>1</v>
      </c>
      <c r="I4" s="1">
        <f t="shared" si="3"/>
        <v>0</v>
      </c>
      <c r="J4" s="42" t="s">
        <v>5</v>
      </c>
      <c r="K4" s="42"/>
    </row>
    <row r="5" spans="1:15" x14ac:dyDescent="0.25">
      <c r="B5" s="1" t="s">
        <v>39</v>
      </c>
      <c r="C5" s="1">
        <v>36</v>
      </c>
      <c r="D5" s="76">
        <f t="shared" si="0"/>
        <v>1.5563025007672873</v>
      </c>
      <c r="E5" s="1">
        <v>4</v>
      </c>
      <c r="F5" s="1">
        <f t="shared" si="1"/>
        <v>0</v>
      </c>
      <c r="G5" s="1">
        <f t="shared" si="2"/>
        <v>0</v>
      </c>
      <c r="H5" s="1">
        <f t="shared" si="3"/>
        <v>0</v>
      </c>
      <c r="I5" s="1">
        <f t="shared" si="3"/>
        <v>1</v>
      </c>
      <c r="J5" s="39" t="s">
        <v>6</v>
      </c>
      <c r="K5" s="92">
        <v>0.99081490412708484</v>
      </c>
    </row>
    <row r="6" spans="1:15" x14ac:dyDescent="0.25">
      <c r="A6" s="1">
        <v>2014</v>
      </c>
      <c r="B6" s="1" t="s">
        <v>36</v>
      </c>
      <c r="C6" s="1">
        <v>30</v>
      </c>
      <c r="D6" s="76">
        <f t="shared" si="0"/>
        <v>1.4771212547196624</v>
      </c>
      <c r="E6" s="1">
        <v>5</v>
      </c>
      <c r="F6" s="1">
        <f t="shared" si="1"/>
        <v>1</v>
      </c>
      <c r="G6" s="1">
        <f t="shared" si="2"/>
        <v>0</v>
      </c>
      <c r="H6" s="1">
        <f t="shared" si="3"/>
        <v>0</v>
      </c>
      <c r="I6" s="1">
        <f t="shared" si="3"/>
        <v>0</v>
      </c>
      <c r="J6" s="39" t="s">
        <v>7</v>
      </c>
      <c r="K6" s="92">
        <v>0.98171417424036433</v>
      </c>
    </row>
    <row r="7" spans="1:15" x14ac:dyDescent="0.25">
      <c r="B7" s="1" t="s">
        <v>37</v>
      </c>
      <c r="C7" s="1">
        <v>28</v>
      </c>
      <c r="D7" s="76">
        <f t="shared" si="0"/>
        <v>1.4471580313422192</v>
      </c>
      <c r="E7" s="1">
        <v>6</v>
      </c>
      <c r="F7" s="1">
        <f t="shared" si="1"/>
        <v>0</v>
      </c>
      <c r="G7" s="1">
        <f t="shared" si="2"/>
        <v>1</v>
      </c>
      <c r="H7" s="1">
        <f t="shared" si="3"/>
        <v>0</v>
      </c>
      <c r="I7" s="1">
        <f t="shared" si="3"/>
        <v>0</v>
      </c>
      <c r="J7" s="39" t="s">
        <v>8</v>
      </c>
      <c r="K7" s="92">
        <v>0.97439984393651002</v>
      </c>
    </row>
    <row r="8" spans="1:15" x14ac:dyDescent="0.25">
      <c r="B8" s="1" t="s">
        <v>38</v>
      </c>
      <c r="C8" s="1">
        <v>31</v>
      </c>
      <c r="D8" s="76">
        <f t="shared" si="0"/>
        <v>1.4913616938342726</v>
      </c>
      <c r="E8" s="1">
        <v>7</v>
      </c>
      <c r="F8" s="1">
        <f t="shared" si="1"/>
        <v>0</v>
      </c>
      <c r="G8" s="1">
        <f t="shared" si="2"/>
        <v>0</v>
      </c>
      <c r="H8" s="1">
        <f t="shared" si="3"/>
        <v>1</v>
      </c>
      <c r="I8" s="1">
        <f t="shared" si="3"/>
        <v>0</v>
      </c>
      <c r="J8" s="39" t="s">
        <v>9</v>
      </c>
      <c r="K8" s="92">
        <v>2.5012569801450595E-2</v>
      </c>
    </row>
    <row r="9" spans="1:15" ht="15.75" thickBot="1" x14ac:dyDescent="0.3">
      <c r="B9" s="1" t="s">
        <v>39</v>
      </c>
      <c r="C9" s="1">
        <v>48</v>
      </c>
      <c r="D9" s="76">
        <f t="shared" si="0"/>
        <v>1.6812412373755872</v>
      </c>
      <c r="E9" s="1">
        <v>8</v>
      </c>
      <c r="F9" s="1">
        <f t="shared" si="1"/>
        <v>0</v>
      </c>
      <c r="G9" s="1">
        <f t="shared" si="2"/>
        <v>0</v>
      </c>
      <c r="H9" s="1">
        <f t="shared" si="3"/>
        <v>0</v>
      </c>
      <c r="I9" s="1">
        <f t="shared" si="3"/>
        <v>1</v>
      </c>
      <c r="J9" s="40" t="s">
        <v>10</v>
      </c>
      <c r="K9" s="93">
        <v>15</v>
      </c>
    </row>
    <row r="10" spans="1:15" x14ac:dyDescent="0.25">
      <c r="A10" s="1">
        <v>2015</v>
      </c>
      <c r="B10" s="1" t="s">
        <v>36</v>
      </c>
      <c r="C10" s="1">
        <v>41</v>
      </c>
      <c r="D10" s="76">
        <f t="shared" si="0"/>
        <v>1.6127838567197355</v>
      </c>
      <c r="E10" s="1">
        <v>9</v>
      </c>
      <c r="F10" s="1">
        <f t="shared" si="1"/>
        <v>1</v>
      </c>
      <c r="G10" s="1">
        <f t="shared" si="2"/>
        <v>0</v>
      </c>
      <c r="H10" s="1">
        <f t="shared" si="3"/>
        <v>0</v>
      </c>
      <c r="I10" s="1">
        <f t="shared" si="3"/>
        <v>0</v>
      </c>
    </row>
    <row r="11" spans="1:15" ht="15.75" thickBot="1" x14ac:dyDescent="0.3">
      <c r="B11" s="1" t="s">
        <v>37</v>
      </c>
      <c r="C11" s="1">
        <v>40</v>
      </c>
      <c r="D11" s="76">
        <f t="shared" si="0"/>
        <v>1.6020599913279623</v>
      </c>
      <c r="E11" s="1">
        <v>10</v>
      </c>
      <c r="F11" s="1">
        <f t="shared" si="1"/>
        <v>0</v>
      </c>
      <c r="G11" s="1">
        <f t="shared" si="2"/>
        <v>1</v>
      </c>
      <c r="H11" s="1">
        <f t="shared" si="3"/>
        <v>0</v>
      </c>
      <c r="I11" s="1">
        <f t="shared" si="3"/>
        <v>0</v>
      </c>
      <c r="J11" t="s">
        <v>11</v>
      </c>
    </row>
    <row r="12" spans="1:15" x14ac:dyDescent="0.25">
      <c r="B12" s="1" t="s">
        <v>38</v>
      </c>
      <c r="C12" s="1">
        <v>47</v>
      </c>
      <c r="D12" s="76">
        <f t="shared" si="0"/>
        <v>1.6720978579357175</v>
      </c>
      <c r="E12" s="1">
        <v>11</v>
      </c>
      <c r="F12" s="1">
        <f t="shared" si="1"/>
        <v>0</v>
      </c>
      <c r="G12" s="1">
        <f t="shared" si="2"/>
        <v>0</v>
      </c>
      <c r="H12" s="1">
        <f t="shared" si="3"/>
        <v>1</v>
      </c>
      <c r="I12" s="1">
        <f t="shared" si="3"/>
        <v>0</v>
      </c>
      <c r="J12" s="41"/>
      <c r="K12" s="41" t="s">
        <v>16</v>
      </c>
      <c r="L12" s="41" t="s">
        <v>17</v>
      </c>
      <c r="M12" s="41" t="s">
        <v>18</v>
      </c>
      <c r="N12" s="41" t="s">
        <v>19</v>
      </c>
      <c r="O12" s="41" t="s">
        <v>20</v>
      </c>
    </row>
    <row r="13" spans="1:15" x14ac:dyDescent="0.25">
      <c r="B13" s="1" t="s">
        <v>39</v>
      </c>
      <c r="C13" s="1">
        <v>61</v>
      </c>
      <c r="D13" s="76">
        <f t="shared" si="0"/>
        <v>1.7853298350107671</v>
      </c>
      <c r="E13" s="1">
        <v>12</v>
      </c>
      <c r="F13" s="1">
        <f t="shared" si="1"/>
        <v>0</v>
      </c>
      <c r="G13" s="1">
        <f t="shared" si="2"/>
        <v>0</v>
      </c>
      <c r="H13" s="1">
        <f t="shared" si="3"/>
        <v>0</v>
      </c>
      <c r="I13" s="1">
        <f t="shared" si="3"/>
        <v>1</v>
      </c>
      <c r="J13" s="39" t="s">
        <v>12</v>
      </c>
      <c r="K13" s="88">
        <v>4</v>
      </c>
      <c r="L13" s="88">
        <v>0.33588229467838387</v>
      </c>
      <c r="M13" s="88">
        <v>8.3970573669595969E-2</v>
      </c>
      <c r="N13" s="88">
        <v>134.21791653612615</v>
      </c>
      <c r="O13" s="88">
        <v>1.2079677368291991E-8</v>
      </c>
    </row>
    <row r="14" spans="1:15" x14ac:dyDescent="0.25">
      <c r="A14" s="1">
        <v>2016</v>
      </c>
      <c r="B14" s="1" t="s">
        <v>36</v>
      </c>
      <c r="C14" s="1">
        <v>54</v>
      </c>
      <c r="D14" s="76">
        <f t="shared" si="0"/>
        <v>1.7323937598229686</v>
      </c>
      <c r="E14" s="1">
        <v>13</v>
      </c>
      <c r="F14" s="1">
        <f t="shared" si="1"/>
        <v>1</v>
      </c>
      <c r="G14" s="1">
        <f t="shared" si="2"/>
        <v>0</v>
      </c>
      <c r="H14" s="1">
        <f t="shared" si="3"/>
        <v>0</v>
      </c>
      <c r="I14" s="1">
        <f t="shared" si="3"/>
        <v>0</v>
      </c>
      <c r="J14" s="39" t="s">
        <v>13</v>
      </c>
      <c r="K14" s="88">
        <v>10</v>
      </c>
      <c r="L14" s="88">
        <v>6.2562864807243828E-3</v>
      </c>
      <c r="M14" s="88">
        <v>6.2562864807243831E-4</v>
      </c>
      <c r="N14" s="88"/>
      <c r="O14" s="88"/>
    </row>
    <row r="15" spans="1:15" ht="15.75" thickBot="1" x14ac:dyDescent="0.3">
      <c r="B15" s="1" t="s">
        <v>37</v>
      </c>
      <c r="C15" s="1">
        <v>50</v>
      </c>
      <c r="D15" s="76">
        <f t="shared" si="0"/>
        <v>1.6989700043360187</v>
      </c>
      <c r="E15" s="1">
        <v>14</v>
      </c>
      <c r="F15" s="1">
        <f t="shared" si="1"/>
        <v>0</v>
      </c>
      <c r="G15" s="1">
        <f t="shared" si="2"/>
        <v>1</v>
      </c>
      <c r="H15" s="1">
        <f t="shared" si="3"/>
        <v>0</v>
      </c>
      <c r="I15" s="1">
        <f t="shared" si="3"/>
        <v>0</v>
      </c>
      <c r="J15" s="40" t="s">
        <v>14</v>
      </c>
      <c r="K15" s="89">
        <v>14</v>
      </c>
      <c r="L15" s="89">
        <v>0.34213858115910828</v>
      </c>
      <c r="M15" s="89"/>
      <c r="N15" s="89"/>
      <c r="O15" s="89"/>
    </row>
    <row r="16" spans="1:15" ht="15.75" thickBot="1" x14ac:dyDescent="0.3">
      <c r="B16" s="1" t="s">
        <v>38</v>
      </c>
      <c r="C16" s="1">
        <v>60</v>
      </c>
      <c r="D16" s="76">
        <f t="shared" si="0"/>
        <v>1.7781512503836436</v>
      </c>
      <c r="E16" s="1">
        <v>15</v>
      </c>
      <c r="F16" s="1">
        <f t="shared" si="1"/>
        <v>0</v>
      </c>
      <c r="G16" s="1">
        <f t="shared" si="2"/>
        <v>0</v>
      </c>
      <c r="H16" s="1">
        <f t="shared" si="3"/>
        <v>1</v>
      </c>
      <c r="I16" s="1">
        <f t="shared" si="3"/>
        <v>0</v>
      </c>
    </row>
    <row r="17" spans="2:18" x14ac:dyDescent="0.25">
      <c r="B17" s="20"/>
      <c r="C17" s="20"/>
      <c r="D17" s="73"/>
      <c r="J17" s="41"/>
      <c r="K17" s="41" t="s">
        <v>21</v>
      </c>
      <c r="L17" s="41" t="s">
        <v>9</v>
      </c>
      <c r="M17" s="41" t="s">
        <v>22</v>
      </c>
      <c r="N17" s="41" t="s">
        <v>23</v>
      </c>
      <c r="O17" s="41" t="s">
        <v>24</v>
      </c>
      <c r="P17" s="41" t="s">
        <v>25</v>
      </c>
      <c r="Q17" s="41" t="s">
        <v>26</v>
      </c>
      <c r="R17" s="41" t="s">
        <v>27</v>
      </c>
    </row>
    <row r="18" spans="2:18" x14ac:dyDescent="0.25">
      <c r="J18" s="39" t="s">
        <v>15</v>
      </c>
      <c r="K18" s="90">
        <v>1.4134839920672471</v>
      </c>
      <c r="L18" s="90">
        <v>1.8861326130835531E-2</v>
      </c>
      <c r="M18" s="90">
        <v>74.940859527178517</v>
      </c>
      <c r="N18" s="90">
        <v>4.3689061571506495E-15</v>
      </c>
      <c r="O18" s="90">
        <v>1.3714583385151484</v>
      </c>
      <c r="P18" s="90">
        <v>1.4555096456193457</v>
      </c>
      <c r="Q18" s="90">
        <v>1.3714583385151484</v>
      </c>
      <c r="R18" s="90">
        <v>1.4555096456193457</v>
      </c>
    </row>
    <row r="19" spans="2:18" x14ac:dyDescent="0.25">
      <c r="J19" s="39" t="s">
        <v>28</v>
      </c>
      <c r="K19" s="90">
        <v>3.2600899872995866E-2</v>
      </c>
      <c r="L19" s="90">
        <v>1.5166098126399316E-3</v>
      </c>
      <c r="M19" s="90">
        <v>21.495904616526349</v>
      </c>
      <c r="N19" s="90">
        <v>1.0590574346828789E-9</v>
      </c>
      <c r="O19" s="90">
        <v>2.9221682626149211E-2</v>
      </c>
      <c r="P19" s="90">
        <v>3.5980117119842524E-2</v>
      </c>
      <c r="Q19" s="90">
        <v>2.9221682626149211E-2</v>
      </c>
      <c r="R19" s="90">
        <v>3.5980117119842524E-2</v>
      </c>
    </row>
    <row r="20" spans="2:18" x14ac:dyDescent="0.25">
      <c r="J20" s="39" t="s">
        <v>41</v>
      </c>
      <c r="K20" s="90">
        <v>-8.6630571194616937E-2</v>
      </c>
      <c r="L20" s="90">
        <v>1.9163771811225416E-2</v>
      </c>
      <c r="M20" s="90">
        <v>-4.5205386522016511</v>
      </c>
      <c r="N20" s="90">
        <v>1.1074263821327995E-3</v>
      </c>
      <c r="O20" s="90">
        <v>-0.12933011571780767</v>
      </c>
      <c r="P20" s="90">
        <v>-4.3931026671426211E-2</v>
      </c>
      <c r="Q20" s="90">
        <v>-0.12933011571780767</v>
      </c>
      <c r="R20" s="90">
        <v>-4.3931026671426211E-2</v>
      </c>
    </row>
    <row r="21" spans="2:18" x14ac:dyDescent="0.25">
      <c r="J21" s="39" t="s">
        <v>42</v>
      </c>
      <c r="K21" s="90">
        <v>-0.16198668538366848</v>
      </c>
      <c r="L21" s="90">
        <v>1.9103665740085651E-2</v>
      </c>
      <c r="M21" s="90">
        <v>-8.4793509050866707</v>
      </c>
      <c r="N21" s="90">
        <v>7.0478627280176753E-6</v>
      </c>
      <c r="O21" s="90">
        <v>-0.20455230523451245</v>
      </c>
      <c r="P21" s="90">
        <v>-0.11942106553282451</v>
      </c>
      <c r="Q21" s="90">
        <v>-0.20455230523451245</v>
      </c>
      <c r="R21" s="90">
        <v>-0.11942106553282451</v>
      </c>
    </row>
    <row r="22" spans="2:18" ht="15.75" thickBot="1" x14ac:dyDescent="0.3">
      <c r="J22" s="40" t="s">
        <v>43</v>
      </c>
      <c r="K22" s="91">
        <v>-0.13588372018024969</v>
      </c>
      <c r="L22" s="91">
        <v>1.9163771811225416E-2</v>
      </c>
      <c r="M22" s="91">
        <v>-7.090656344627007</v>
      </c>
      <c r="N22" s="91">
        <v>3.3323747500149682E-5</v>
      </c>
      <c r="O22" s="91">
        <v>-0.17858326470344041</v>
      </c>
      <c r="P22" s="91">
        <v>-9.3184175657058971E-2</v>
      </c>
      <c r="Q22" s="91">
        <v>-0.17858326470344041</v>
      </c>
      <c r="R22" s="91">
        <v>-9.3184175657058971E-2</v>
      </c>
    </row>
    <row r="26" spans="2:18" x14ac:dyDescent="0.25">
      <c r="J26" t="s">
        <v>29</v>
      </c>
    </row>
    <row r="27" spans="2:18" ht="15.75" thickBot="1" x14ac:dyDescent="0.3"/>
    <row r="28" spans="2:18" x14ac:dyDescent="0.25">
      <c r="J28" s="41" t="s">
        <v>30</v>
      </c>
      <c r="K28" s="41" t="s">
        <v>31</v>
      </c>
      <c r="L28" s="41" t="s">
        <v>32</v>
      </c>
    </row>
    <row r="29" spans="2:18" x14ac:dyDescent="0.25">
      <c r="J29" s="39">
        <v>1</v>
      </c>
      <c r="K29" s="39">
        <v>1.359454320745626</v>
      </c>
      <c r="L29" s="39">
        <v>3.8485687926411716E-2</v>
      </c>
    </row>
    <row r="30" spans="2:18" x14ac:dyDescent="0.25">
      <c r="J30" s="39">
        <v>2</v>
      </c>
      <c r="K30" s="39">
        <v>1.3166991064295703</v>
      </c>
      <c r="L30" s="39">
        <v>-1.5669110765589078E-2</v>
      </c>
    </row>
    <row r="31" spans="2:18" x14ac:dyDescent="0.25">
      <c r="J31" s="39">
        <v>3</v>
      </c>
      <c r="K31" s="39">
        <v>1.375402971505985</v>
      </c>
      <c r="L31" s="39">
        <v>-3.2980290683778835E-2</v>
      </c>
    </row>
    <row r="32" spans="2:18" x14ac:dyDescent="0.25">
      <c r="J32" s="39">
        <v>4</v>
      </c>
      <c r="K32" s="39">
        <v>1.5438875915592305</v>
      </c>
      <c r="L32" s="39">
        <v>1.2414909208056768E-2</v>
      </c>
    </row>
    <row r="33" spans="10:12" x14ac:dyDescent="0.25">
      <c r="J33" s="39">
        <v>5</v>
      </c>
      <c r="K33" s="39">
        <v>1.4898579202376094</v>
      </c>
      <c r="L33" s="39">
        <v>-1.2736665517947054E-2</v>
      </c>
    </row>
    <row r="34" spans="10:12" x14ac:dyDescent="0.25">
      <c r="J34" s="39">
        <v>6</v>
      </c>
      <c r="K34" s="39">
        <v>1.4471027059215538</v>
      </c>
      <c r="L34" s="39">
        <v>5.5325420665441882E-5</v>
      </c>
    </row>
    <row r="35" spans="10:12" x14ac:dyDescent="0.25">
      <c r="J35" s="39">
        <v>7</v>
      </c>
      <c r="K35" s="39">
        <v>1.5058065709979684</v>
      </c>
      <c r="L35" s="39">
        <v>-1.4444877163695802E-2</v>
      </c>
    </row>
    <row r="36" spans="10:12" x14ac:dyDescent="0.25">
      <c r="J36" s="39">
        <v>8</v>
      </c>
      <c r="K36" s="39">
        <v>1.6742911910512139</v>
      </c>
      <c r="L36" s="39">
        <v>6.950046324373238E-3</v>
      </c>
    </row>
    <row r="37" spans="10:12" x14ac:dyDescent="0.25">
      <c r="J37" s="39">
        <v>9</v>
      </c>
      <c r="K37" s="39">
        <v>1.6202615197295929</v>
      </c>
      <c r="L37" s="39">
        <v>-7.4776630098574159E-3</v>
      </c>
    </row>
    <row r="38" spans="10:12" x14ac:dyDescent="0.25">
      <c r="J38" s="39">
        <v>10</v>
      </c>
      <c r="K38" s="39">
        <v>1.5775063054135372</v>
      </c>
      <c r="L38" s="39">
        <v>2.4553685914425083E-2</v>
      </c>
    </row>
    <row r="39" spans="10:12" x14ac:dyDescent="0.25">
      <c r="J39" s="39">
        <v>11</v>
      </c>
      <c r="K39" s="39">
        <v>1.6362101704899519</v>
      </c>
      <c r="L39" s="39">
        <v>3.5887687445765648E-2</v>
      </c>
    </row>
    <row r="40" spans="10:12" x14ac:dyDescent="0.25">
      <c r="J40" s="39">
        <v>12</v>
      </c>
      <c r="K40" s="39">
        <v>1.8046947905431976</v>
      </c>
      <c r="L40" s="39">
        <v>-1.936495553243045E-2</v>
      </c>
    </row>
    <row r="41" spans="10:12" x14ac:dyDescent="0.25">
      <c r="J41" s="39">
        <v>13</v>
      </c>
      <c r="K41" s="39">
        <v>1.7506651192215763</v>
      </c>
      <c r="L41" s="39">
        <v>-1.8271359398607689E-2</v>
      </c>
    </row>
    <row r="42" spans="10:12" x14ac:dyDescent="0.25">
      <c r="J42" s="39">
        <v>14</v>
      </c>
      <c r="K42" s="39">
        <v>1.7079099049055209</v>
      </c>
      <c r="L42" s="39">
        <v>-8.9399005695021128E-3</v>
      </c>
    </row>
    <row r="43" spans="10:12" ht="15.75" thickBot="1" x14ac:dyDescent="0.3">
      <c r="J43" s="40">
        <v>15</v>
      </c>
      <c r="K43" s="40">
        <v>1.7666137699819353</v>
      </c>
      <c r="L43" s="40">
        <v>1.1537480401708322E-2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16" zoomScale="80" zoomScaleNormal="80" workbookViewId="0">
      <selection activeCell="J42" sqref="J42"/>
    </sheetView>
  </sheetViews>
  <sheetFormatPr defaultRowHeight="15" x14ac:dyDescent="0.25"/>
  <cols>
    <col min="2" max="2" width="17.85546875" bestFit="1" customWidth="1"/>
    <col min="3" max="3" width="12.28515625" bestFit="1" customWidth="1"/>
    <col min="4" max="4" width="16.7109375" bestFit="1" customWidth="1"/>
    <col min="5" max="5" width="11.7109375" customWidth="1"/>
    <col min="6" max="6" width="10.28515625" customWidth="1"/>
    <col min="7" max="7" width="13" customWidth="1"/>
    <col min="8" max="8" width="12.140625" customWidth="1"/>
    <col min="9" max="9" width="12.42578125" customWidth="1"/>
    <col min="10" max="10" width="17.140625" customWidth="1"/>
    <col min="11" max="11" width="19.7109375" customWidth="1"/>
  </cols>
  <sheetData>
    <row r="1" spans="1:11" ht="60" x14ac:dyDescent="0.25">
      <c r="A1" s="98" t="s">
        <v>77</v>
      </c>
      <c r="B1" s="98" t="s">
        <v>111</v>
      </c>
      <c r="C1" s="98" t="s">
        <v>112</v>
      </c>
      <c r="D1" s="98" t="s">
        <v>113</v>
      </c>
      <c r="E1" s="101"/>
      <c r="F1" s="100" t="s">
        <v>114</v>
      </c>
      <c r="G1" s="100" t="s">
        <v>115</v>
      </c>
      <c r="H1" s="100" t="s">
        <v>116</v>
      </c>
      <c r="I1" s="100" t="s">
        <v>117</v>
      </c>
      <c r="J1" s="99" t="s">
        <v>118</v>
      </c>
      <c r="K1" s="100" t="s">
        <v>119</v>
      </c>
    </row>
    <row r="2" spans="1:11" x14ac:dyDescent="0.25">
      <c r="A2" s="1" t="s">
        <v>65</v>
      </c>
      <c r="B2" s="1">
        <v>17986229</v>
      </c>
      <c r="C2" s="95">
        <v>1</v>
      </c>
      <c r="D2" s="6">
        <f>$D$15*C2+$E$15</f>
        <v>23457689.46153846</v>
      </c>
      <c r="E2" s="102">
        <f>B2/D2</f>
        <v>0.76675194415419556</v>
      </c>
      <c r="F2" s="28">
        <f>AVERAGE(B2:B13)</f>
        <v>24120894</v>
      </c>
      <c r="G2" s="6">
        <f>B2/$F$2</f>
        <v>0.74567008171421834</v>
      </c>
      <c r="H2" s="6">
        <f>AVERAGE(G2:G13)</f>
        <v>1</v>
      </c>
      <c r="I2" s="1">
        <v>13</v>
      </c>
      <c r="J2" s="6">
        <f>$D$15*I2+$E$15</f>
        <v>24904681.18181818</v>
      </c>
      <c r="K2" s="6">
        <f>J2*G2</f>
        <v>18570675.651912916</v>
      </c>
    </row>
    <row r="3" spans="1:11" x14ac:dyDescent="0.25">
      <c r="A3" s="1" t="s">
        <v>66</v>
      </c>
      <c r="B3" s="1">
        <v>23571965</v>
      </c>
      <c r="C3" s="95">
        <v>2</v>
      </c>
      <c r="D3" s="6">
        <f>$D$15*C3+$E$15</f>
        <v>23578272.104895104</v>
      </c>
      <c r="E3" s="102">
        <f t="shared" ref="E3:E13" si="0">B3/D3</f>
        <v>0.99973250351565013</v>
      </c>
      <c r="G3" s="6">
        <f t="shared" ref="G3:G13" si="1">B3/$F$2</f>
        <v>0.97724259308133443</v>
      </c>
      <c r="I3" s="1">
        <v>14</v>
      </c>
      <c r="J3" s="6">
        <f t="shared" ref="J3:J4" si="2">$D$15*I3+$E$15</f>
        <v>25025263.825174823</v>
      </c>
      <c r="K3" s="6">
        <f t="shared" ref="K3:K4" si="3">J3*G3</f>
        <v>24455753.71305836</v>
      </c>
    </row>
    <row r="4" spans="1:11" x14ac:dyDescent="0.25">
      <c r="A4" s="1" t="s">
        <v>67</v>
      </c>
      <c r="B4" s="1">
        <v>25537589</v>
      </c>
      <c r="C4" s="95">
        <v>3</v>
      </c>
      <c r="D4" s="6">
        <f t="shared" ref="D4:D13" si="4">$D$15*C4+$E$15</f>
        <v>23698854.748251747</v>
      </c>
      <c r="E4" s="102">
        <f>B4/D4</f>
        <v>1.0775874729509407</v>
      </c>
      <c r="G4" s="6">
        <f t="shared" si="1"/>
        <v>1.0587331050001711</v>
      </c>
      <c r="I4" s="1">
        <v>15</v>
      </c>
      <c r="J4" s="6">
        <f t="shared" si="2"/>
        <v>25145846.468531467</v>
      </c>
      <c r="K4" s="6">
        <f t="shared" si="3"/>
        <v>26622740.109485909</v>
      </c>
    </row>
    <row r="5" spans="1:11" x14ac:dyDescent="0.25">
      <c r="A5" s="1" t="s">
        <v>68</v>
      </c>
      <c r="B5" s="94">
        <v>24630951</v>
      </c>
      <c r="C5" s="95">
        <v>4</v>
      </c>
      <c r="D5" s="6">
        <f t="shared" si="4"/>
        <v>23819437.391608391</v>
      </c>
      <c r="E5" s="102">
        <f t="shared" si="0"/>
        <v>1.034069386066923</v>
      </c>
      <c r="G5" s="6">
        <f t="shared" si="1"/>
        <v>1.0211458580266553</v>
      </c>
    </row>
    <row r="6" spans="1:11" x14ac:dyDescent="0.25">
      <c r="A6" s="1" t="s">
        <v>69</v>
      </c>
      <c r="B6" s="1">
        <v>24429696</v>
      </c>
      <c r="C6" s="95">
        <v>5</v>
      </c>
      <c r="D6" s="6">
        <f t="shared" si="4"/>
        <v>23940020.034965035</v>
      </c>
      <c r="E6" s="102">
        <f t="shared" si="0"/>
        <v>1.0204542838443653</v>
      </c>
      <c r="G6" s="6">
        <f t="shared" si="1"/>
        <v>1.0128022618067141</v>
      </c>
    </row>
    <row r="7" spans="1:11" x14ac:dyDescent="0.25">
      <c r="A7" s="1" t="s">
        <v>70</v>
      </c>
      <c r="B7" s="1">
        <v>26116377</v>
      </c>
      <c r="C7" s="95">
        <v>6</v>
      </c>
      <c r="D7" s="6">
        <f t="shared" si="4"/>
        <v>24060602.678321678</v>
      </c>
      <c r="E7" s="102">
        <f t="shared" si="0"/>
        <v>1.0854415140453049</v>
      </c>
      <c r="G7" s="6">
        <f t="shared" si="1"/>
        <v>1.0827284013602481</v>
      </c>
    </row>
    <row r="8" spans="1:11" x14ac:dyDescent="0.25">
      <c r="A8" s="1" t="s">
        <v>71</v>
      </c>
      <c r="B8" s="1">
        <v>27931501</v>
      </c>
      <c r="C8" s="95">
        <v>7</v>
      </c>
      <c r="D8" s="6">
        <f t="shared" si="4"/>
        <v>24181185.321678318</v>
      </c>
      <c r="E8" s="102">
        <f t="shared" si="0"/>
        <v>1.1550923012429644</v>
      </c>
      <c r="G8" s="6">
        <f t="shared" si="1"/>
        <v>1.157979509383027</v>
      </c>
    </row>
    <row r="9" spans="1:11" x14ac:dyDescent="0.25">
      <c r="A9" s="1" t="s">
        <v>72</v>
      </c>
      <c r="B9" s="1">
        <v>25914893</v>
      </c>
      <c r="C9" s="95">
        <v>8</v>
      </c>
      <c r="D9" s="6">
        <f t="shared" si="4"/>
        <v>24301767.965034962</v>
      </c>
      <c r="E9" s="102">
        <f t="shared" si="0"/>
        <v>1.0663789168461315</v>
      </c>
      <c r="G9" s="6">
        <f t="shared" si="1"/>
        <v>1.0743753112965051</v>
      </c>
    </row>
    <row r="10" spans="1:11" x14ac:dyDescent="0.25">
      <c r="A10" s="1" t="s">
        <v>73</v>
      </c>
      <c r="B10" s="1">
        <v>24904130</v>
      </c>
      <c r="C10" s="95">
        <v>9</v>
      </c>
      <c r="D10" s="6">
        <f t="shared" si="4"/>
        <v>24422350.608391605</v>
      </c>
      <c r="E10" s="102">
        <f t="shared" si="0"/>
        <v>1.0197269869446086</v>
      </c>
      <c r="G10" s="6">
        <f t="shared" si="1"/>
        <v>1.032471267441414</v>
      </c>
    </row>
    <row r="11" spans="1:11" x14ac:dyDescent="0.25">
      <c r="A11" s="1" t="s">
        <v>74</v>
      </c>
      <c r="B11" s="1">
        <v>22360354</v>
      </c>
      <c r="C11" s="95">
        <v>10</v>
      </c>
      <c r="D11" s="6">
        <f t="shared" si="4"/>
        <v>24542933.251748249</v>
      </c>
      <c r="E11" s="102">
        <f t="shared" si="0"/>
        <v>0.91107096982416402</v>
      </c>
      <c r="G11" s="6">
        <f t="shared" si="1"/>
        <v>0.92701182634441326</v>
      </c>
    </row>
    <row r="12" spans="1:11" x14ac:dyDescent="0.25">
      <c r="A12" s="1" t="s">
        <v>75</v>
      </c>
      <c r="B12" s="1">
        <v>23825299</v>
      </c>
      <c r="C12" s="95">
        <v>11</v>
      </c>
      <c r="D12" s="6">
        <f t="shared" si="4"/>
        <v>24663515.895104893</v>
      </c>
      <c r="E12" s="102">
        <f t="shared" si="0"/>
        <v>0.96601389280142103</v>
      </c>
      <c r="G12" s="6">
        <f t="shared" si="1"/>
        <v>0.98774527179631066</v>
      </c>
    </row>
    <row r="13" spans="1:11" x14ac:dyDescent="0.25">
      <c r="A13" s="1" t="s">
        <v>76</v>
      </c>
      <c r="B13" s="1">
        <v>22241744</v>
      </c>
      <c r="C13" s="95">
        <v>12</v>
      </c>
      <c r="D13" s="6">
        <f t="shared" si="4"/>
        <v>24784098.538461536</v>
      </c>
      <c r="E13" s="102">
        <f t="shared" si="0"/>
        <v>0.8974199309885672</v>
      </c>
      <c r="G13" s="6">
        <f t="shared" si="1"/>
        <v>0.92209451274898846</v>
      </c>
    </row>
    <row r="15" spans="1:11" x14ac:dyDescent="0.25">
      <c r="B15" s="202" t="s">
        <v>120</v>
      </c>
      <c r="C15" s="202"/>
      <c r="D15" s="6">
        <f t="array" ref="D15:E15">LINEST(B2:B13,C2:C13,1,0)</f>
        <v>120582.64335664336</v>
      </c>
      <c r="E15" s="6">
        <v>23337106.818181816</v>
      </c>
    </row>
    <row r="17" spans="1:3" x14ac:dyDescent="0.25">
      <c r="A17" s="98" t="s">
        <v>77</v>
      </c>
      <c r="B17" s="96" t="s">
        <v>121</v>
      </c>
      <c r="C17" s="96" t="s">
        <v>122</v>
      </c>
    </row>
    <row r="18" spans="1:3" x14ac:dyDescent="0.25">
      <c r="A18" s="1" t="s">
        <v>65</v>
      </c>
      <c r="B18" s="96">
        <v>17986229</v>
      </c>
      <c r="C18" s="97">
        <v>0.74567008171421834</v>
      </c>
    </row>
    <row r="19" spans="1:3" x14ac:dyDescent="0.25">
      <c r="A19" s="1" t="s">
        <v>66</v>
      </c>
      <c r="B19" s="96">
        <v>23571965</v>
      </c>
      <c r="C19" s="97">
        <v>0.97724259308133443</v>
      </c>
    </row>
    <row r="20" spans="1:3" x14ac:dyDescent="0.25">
      <c r="A20" s="1" t="s">
        <v>67</v>
      </c>
      <c r="B20" s="96">
        <v>25537589</v>
      </c>
      <c r="C20" s="97">
        <v>1.0587331050001711</v>
      </c>
    </row>
    <row r="21" spans="1:3" x14ac:dyDescent="0.25">
      <c r="A21" s="1" t="s">
        <v>68</v>
      </c>
      <c r="B21" s="96">
        <v>24630951</v>
      </c>
      <c r="C21" s="97">
        <v>1.0211458580266553</v>
      </c>
    </row>
    <row r="22" spans="1:3" x14ac:dyDescent="0.25">
      <c r="A22" s="1" t="s">
        <v>69</v>
      </c>
      <c r="B22" s="96">
        <v>24429696</v>
      </c>
      <c r="C22" s="97">
        <v>1.0128022618067141</v>
      </c>
    </row>
    <row r="23" spans="1:3" x14ac:dyDescent="0.25">
      <c r="A23" s="1" t="s">
        <v>70</v>
      </c>
      <c r="B23" s="96">
        <v>26116377</v>
      </c>
      <c r="C23" s="97">
        <v>1.0827284013602481</v>
      </c>
    </row>
    <row r="24" spans="1:3" x14ac:dyDescent="0.25">
      <c r="A24" s="1" t="s">
        <v>71</v>
      </c>
      <c r="B24" s="96">
        <v>27931501</v>
      </c>
      <c r="C24" s="97">
        <v>1.157979509383027</v>
      </c>
    </row>
    <row r="25" spans="1:3" x14ac:dyDescent="0.25">
      <c r="A25" s="1" t="s">
        <v>72</v>
      </c>
      <c r="B25" s="96">
        <v>25914893</v>
      </c>
      <c r="C25" s="97">
        <v>1.0743753112965051</v>
      </c>
    </row>
    <row r="26" spans="1:3" x14ac:dyDescent="0.25">
      <c r="A26" s="1" t="s">
        <v>73</v>
      </c>
      <c r="B26" s="96">
        <v>24904130</v>
      </c>
      <c r="C26" s="97">
        <v>1.032471267441414</v>
      </c>
    </row>
    <row r="27" spans="1:3" x14ac:dyDescent="0.25">
      <c r="A27" s="1" t="s">
        <v>74</v>
      </c>
      <c r="B27" s="96">
        <v>22360354</v>
      </c>
      <c r="C27" s="97">
        <v>0.92701182634441326</v>
      </c>
    </row>
    <row r="28" spans="1:3" x14ac:dyDescent="0.25">
      <c r="A28" s="1" t="s">
        <v>75</v>
      </c>
      <c r="B28" s="96">
        <v>23825299</v>
      </c>
      <c r="C28" s="97">
        <v>0.98774527179631066</v>
      </c>
    </row>
    <row r="29" spans="1:3" x14ac:dyDescent="0.25">
      <c r="A29" s="1" t="s">
        <v>76</v>
      </c>
      <c r="B29" s="96">
        <v>22241744</v>
      </c>
      <c r="C29" s="97">
        <v>0.92209451274898846</v>
      </c>
    </row>
    <row r="30" spans="1:3" x14ac:dyDescent="0.25">
      <c r="A30" s="1" t="s">
        <v>65</v>
      </c>
      <c r="B30" s="96">
        <v>18570675.651912916</v>
      </c>
      <c r="C30" s="97">
        <v>0.74567008171421834</v>
      </c>
    </row>
    <row r="31" spans="1:3" x14ac:dyDescent="0.25">
      <c r="A31" s="1" t="s">
        <v>66</v>
      </c>
      <c r="B31" s="96">
        <v>24455753.71305836</v>
      </c>
      <c r="C31" s="97">
        <v>0.97724259308133443</v>
      </c>
    </row>
    <row r="32" spans="1:3" x14ac:dyDescent="0.25">
      <c r="A32" s="1" t="s">
        <v>67</v>
      </c>
      <c r="B32" s="96">
        <v>26622740.109485909</v>
      </c>
      <c r="C32" s="97">
        <v>1.0587331050001711</v>
      </c>
    </row>
  </sheetData>
  <mergeCells count="1">
    <mergeCell ref="B15:C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zoomScale="70" zoomScaleNormal="70" workbookViewId="0">
      <selection activeCell="N11" sqref="N11"/>
    </sheetView>
  </sheetViews>
  <sheetFormatPr defaultRowHeight="15" x14ac:dyDescent="0.25"/>
  <cols>
    <col min="3" max="3" width="15.140625" bestFit="1" customWidth="1"/>
    <col min="4" max="4" width="5.5703125" customWidth="1"/>
    <col min="5" max="5" width="22.140625" customWidth="1"/>
    <col min="6" max="6" width="18.140625" customWidth="1"/>
    <col min="7" max="7" width="15.5703125" customWidth="1"/>
    <col min="8" max="8" width="12.7109375" customWidth="1"/>
    <col min="9" max="9" width="15.85546875" customWidth="1"/>
    <col min="10" max="10" width="18.28515625" customWidth="1"/>
    <col min="11" max="11" width="18.7109375" customWidth="1"/>
    <col min="12" max="12" width="16.28515625" customWidth="1"/>
    <col min="13" max="13" width="13.85546875" customWidth="1"/>
    <col min="14" max="14" width="13.140625" bestFit="1" customWidth="1"/>
  </cols>
  <sheetData>
    <row r="1" spans="1:14" x14ac:dyDescent="0.25">
      <c r="C1" s="103"/>
      <c r="E1" s="205" t="s">
        <v>123</v>
      </c>
      <c r="F1" s="205"/>
    </row>
    <row r="2" spans="1:14" x14ac:dyDescent="0.25">
      <c r="A2" s="104"/>
      <c r="C2" s="103"/>
      <c r="E2" s="105" t="s">
        <v>44</v>
      </c>
      <c r="F2" s="71" t="s">
        <v>45</v>
      </c>
    </row>
    <row r="3" spans="1:14" x14ac:dyDescent="0.25">
      <c r="A3" s="104"/>
      <c r="C3" s="103"/>
      <c r="E3" s="106">
        <f t="array" ref="E3:F3">LINEST(C7:C66,D7:D66,1,0)</f>
        <v>-12260.922469576528</v>
      </c>
      <c r="F3">
        <v>26020821.090322066</v>
      </c>
    </row>
    <row r="4" spans="1:14" ht="15.75" thickBot="1" x14ac:dyDescent="0.3">
      <c r="C4" s="103"/>
      <c r="E4" s="106">
        <f>E3</f>
        <v>-12260.922469576528</v>
      </c>
      <c r="F4">
        <f>F3</f>
        <v>26020821.090322066</v>
      </c>
    </row>
    <row r="5" spans="1:14" ht="15.75" thickBot="1" x14ac:dyDescent="0.3">
      <c r="C5" s="103"/>
      <c r="E5" s="106"/>
      <c r="F5" s="206" t="s">
        <v>126</v>
      </c>
      <c r="G5" s="207"/>
      <c r="H5" s="207"/>
      <c r="I5" s="207"/>
      <c r="J5" s="207"/>
      <c r="K5" s="208" t="s">
        <v>135</v>
      </c>
      <c r="L5" s="209"/>
      <c r="M5" s="209"/>
      <c r="N5" s="210"/>
    </row>
    <row r="6" spans="1:14" ht="90" x14ac:dyDescent="0.25">
      <c r="A6" s="134" t="s">
        <v>107</v>
      </c>
      <c r="B6" s="134" t="s">
        <v>77</v>
      </c>
      <c r="C6" s="160" t="s">
        <v>124</v>
      </c>
      <c r="D6" t="s">
        <v>46</v>
      </c>
      <c r="E6" s="130" t="s">
        <v>125</v>
      </c>
      <c r="F6" s="131" t="s">
        <v>127</v>
      </c>
      <c r="G6" s="131" t="s">
        <v>47</v>
      </c>
      <c r="H6" s="131" t="s">
        <v>128</v>
      </c>
      <c r="I6" s="131" t="s">
        <v>129</v>
      </c>
      <c r="J6" s="132" t="s">
        <v>130</v>
      </c>
      <c r="K6" s="133" t="s">
        <v>131</v>
      </c>
      <c r="L6" s="133" t="s">
        <v>132</v>
      </c>
      <c r="M6" s="133" t="s">
        <v>133</v>
      </c>
      <c r="N6" s="133" t="s">
        <v>134</v>
      </c>
    </row>
    <row r="7" spans="1:14" x14ac:dyDescent="0.25">
      <c r="A7" s="161">
        <v>2011</v>
      </c>
      <c r="B7" s="107" t="s">
        <v>48</v>
      </c>
      <c r="C7" s="108">
        <v>17986229.370000243</v>
      </c>
      <c r="D7">
        <v>1</v>
      </c>
      <c r="E7" s="109">
        <f>D7*$E$4+$F$4</f>
        <v>26008560.167852491</v>
      </c>
      <c r="F7" s="110">
        <f>C7/E7</f>
        <v>0.69155036856795571</v>
      </c>
      <c r="G7" s="111">
        <f>AVERAGE(F7,F19,F31,F43,F55)</f>
        <v>0.81580541720265098</v>
      </c>
      <c r="H7" s="112">
        <f>AVERAGE(G7:G18)</f>
        <v>0.99999784925337787</v>
      </c>
      <c r="I7" s="110">
        <v>1</v>
      </c>
      <c r="J7" s="113">
        <f>G7/$H$7</f>
        <v>0.81580717179716999</v>
      </c>
      <c r="K7" s="114">
        <f>D66+1</f>
        <v>61</v>
      </c>
      <c r="L7" s="115">
        <f>K7*$E$4+$F$4</f>
        <v>25272904.819677897</v>
      </c>
      <c r="M7" s="20">
        <f>I7</f>
        <v>1</v>
      </c>
      <c r="N7" s="116">
        <f t="shared" ref="N7:N33" si="0">VLOOKUP(M7,$I$7:$J$18,2,FALSE)*L7</f>
        <v>20617817.004040491</v>
      </c>
    </row>
    <row r="8" spans="1:14" x14ac:dyDescent="0.25">
      <c r="A8" s="117"/>
      <c r="B8" s="118" t="s">
        <v>49</v>
      </c>
      <c r="C8" s="119">
        <v>23571964.820000019</v>
      </c>
      <c r="D8">
        <v>2</v>
      </c>
      <c r="E8" s="109">
        <f t="shared" ref="E8:E66" si="1">D8*$E$4+$F$4</f>
        <v>25996299.245382912</v>
      </c>
      <c r="F8" s="110">
        <f t="shared" ref="F8:F66" si="2">C8/E8</f>
        <v>0.90674309437280887</v>
      </c>
      <c r="G8" s="111">
        <f t="shared" ref="G8:G18" si="3">AVERAGE(F8,F20,F32,F44,F56)</f>
        <v>0.91730718347708273</v>
      </c>
      <c r="H8" s="110"/>
      <c r="I8" s="110">
        <v>2</v>
      </c>
      <c r="J8" s="113">
        <f>G8/$H$7</f>
        <v>0.91730915637665222</v>
      </c>
      <c r="K8" s="114">
        <f>K7+1</f>
        <v>62</v>
      </c>
      <c r="L8" s="115">
        <f t="shared" ref="L8:L33" si="4">K8*$E$4+$F$4</f>
        <v>25260643.897208322</v>
      </c>
      <c r="M8" s="20">
        <f t="shared" ref="M8:M18" si="5">I8</f>
        <v>2</v>
      </c>
      <c r="N8" s="116">
        <f t="shared" si="0"/>
        <v>23171819.942879193</v>
      </c>
    </row>
    <row r="9" spans="1:14" x14ac:dyDescent="0.25">
      <c r="A9" s="117"/>
      <c r="B9" s="118" t="s">
        <v>50</v>
      </c>
      <c r="C9" s="119">
        <v>25537589.450000044</v>
      </c>
      <c r="D9">
        <v>3</v>
      </c>
      <c r="E9" s="109">
        <f t="shared" si="1"/>
        <v>25984038.322913337</v>
      </c>
      <c r="F9" s="110">
        <f>C9/E9</f>
        <v>0.98281834150007374</v>
      </c>
      <c r="G9" s="111">
        <f t="shared" si="3"/>
        <v>1.062546823849162</v>
      </c>
      <c r="H9" s="110"/>
      <c r="I9" s="110">
        <v>3</v>
      </c>
      <c r="J9" s="113">
        <f t="shared" ref="J9:J18" si="6">G9/$H$7</f>
        <v>1.0625491091230692</v>
      </c>
      <c r="K9" s="114">
        <f t="shared" ref="K9:K33" si="7">K8+1</f>
        <v>63</v>
      </c>
      <c r="L9" s="115">
        <f t="shared" si="4"/>
        <v>25248382.974738743</v>
      </c>
      <c r="M9" s="20">
        <f t="shared" si="5"/>
        <v>3</v>
      </c>
      <c r="N9" s="116">
        <f>VLOOKUP(M9,$I$7:$J$18,2,FALSE)*L9</f>
        <v>26827646.836606719</v>
      </c>
    </row>
    <row r="10" spans="1:14" x14ac:dyDescent="0.25">
      <c r="A10" s="117"/>
      <c r="B10" s="118" t="s">
        <v>51</v>
      </c>
      <c r="C10" s="119">
        <v>24630951.379999932</v>
      </c>
      <c r="D10">
        <v>4</v>
      </c>
      <c r="E10" s="109">
        <f t="shared" si="1"/>
        <v>25971777.400443759</v>
      </c>
      <c r="F10" s="110">
        <f t="shared" si="2"/>
        <v>0.94837372892234484</v>
      </c>
      <c r="G10" s="111">
        <f t="shared" si="3"/>
        <v>1.0526602109272429</v>
      </c>
      <c r="H10" s="110"/>
      <c r="I10" s="110">
        <v>4</v>
      </c>
      <c r="J10" s="113">
        <f t="shared" si="6"/>
        <v>1.0526624749375051</v>
      </c>
      <c r="K10" s="114">
        <f t="shared" si="7"/>
        <v>64</v>
      </c>
      <c r="L10" s="115">
        <f t="shared" si="4"/>
        <v>25236122.052269168</v>
      </c>
      <c r="M10" s="20">
        <f t="shared" si="5"/>
        <v>4</v>
      </c>
      <c r="N10" s="116">
        <f>VLOOKUP(M10,$I$7:$J$18,2,FALSE)*L10</f>
        <v>26565118.697366614</v>
      </c>
    </row>
    <row r="11" spans="1:14" x14ac:dyDescent="0.25">
      <c r="A11" s="117"/>
      <c r="B11" s="118" t="s">
        <v>52</v>
      </c>
      <c r="C11" s="119">
        <v>24429696.26000024</v>
      </c>
      <c r="D11">
        <v>5</v>
      </c>
      <c r="E11" s="109">
        <f t="shared" si="1"/>
        <v>25959516.477974184</v>
      </c>
      <c r="F11" s="110">
        <f t="shared" si="2"/>
        <v>0.94106900183322184</v>
      </c>
      <c r="G11" s="111">
        <f t="shared" si="3"/>
        <v>1.0494657762611381</v>
      </c>
      <c r="H11" s="110"/>
      <c r="I11" s="110">
        <v>5</v>
      </c>
      <c r="J11" s="113">
        <f t="shared" si="6"/>
        <v>1.0494680334009661</v>
      </c>
      <c r="K11" s="114">
        <f t="shared" si="7"/>
        <v>65</v>
      </c>
      <c r="L11" s="115">
        <f t="shared" si="4"/>
        <v>25223861.129799593</v>
      </c>
      <c r="M11" s="20">
        <f t="shared" si="5"/>
        <v>5</v>
      </c>
      <c r="N11" s="116">
        <f t="shared" si="0"/>
        <v>26471635.934669849</v>
      </c>
    </row>
    <row r="12" spans="1:14" x14ac:dyDescent="0.25">
      <c r="A12" s="117"/>
      <c r="B12" s="118" t="s">
        <v>53</v>
      </c>
      <c r="C12" s="119">
        <v>26116377.220000144</v>
      </c>
      <c r="D12">
        <v>6</v>
      </c>
      <c r="E12" s="109">
        <f t="shared" si="1"/>
        <v>25947255.555504605</v>
      </c>
      <c r="F12" s="110">
        <f t="shared" si="2"/>
        <v>1.0065179018310344</v>
      </c>
      <c r="G12" s="111">
        <f t="shared" si="3"/>
        <v>1.1019677150725218</v>
      </c>
      <c r="H12" s="110"/>
      <c r="I12" s="110">
        <v>6</v>
      </c>
      <c r="J12" s="113">
        <f t="shared" si="6"/>
        <v>1.1019700851309602</v>
      </c>
      <c r="K12" s="114">
        <f t="shared" si="7"/>
        <v>66</v>
      </c>
      <c r="L12" s="115">
        <f t="shared" si="4"/>
        <v>25211600.207330015</v>
      </c>
      <c r="M12" s="20">
        <f t="shared" si="5"/>
        <v>6</v>
      </c>
      <c r="N12" s="116">
        <f t="shared" si="0"/>
        <v>27782429.226759188</v>
      </c>
    </row>
    <row r="13" spans="1:14" x14ac:dyDescent="0.25">
      <c r="A13" s="117"/>
      <c r="B13" s="118" t="s">
        <v>54</v>
      </c>
      <c r="C13" s="119">
        <v>27931500.840000022</v>
      </c>
      <c r="D13">
        <v>7</v>
      </c>
      <c r="E13" s="109">
        <f t="shared" si="1"/>
        <v>25934994.63303503</v>
      </c>
      <c r="F13" s="110">
        <f t="shared" si="2"/>
        <v>1.0769811690811733</v>
      </c>
      <c r="G13" s="111">
        <f t="shared" si="3"/>
        <v>1.08081209320871</v>
      </c>
      <c r="H13" s="110"/>
      <c r="I13" s="110">
        <v>7</v>
      </c>
      <c r="J13" s="113">
        <f t="shared" si="6"/>
        <v>1.0808144177666681</v>
      </c>
      <c r="K13" s="114">
        <f t="shared" si="7"/>
        <v>67</v>
      </c>
      <c r="L13" s="115">
        <f t="shared" si="4"/>
        <v>25199339.28486044</v>
      </c>
      <c r="M13" s="20">
        <f t="shared" si="5"/>
        <v>7</v>
      </c>
      <c r="N13" s="116">
        <f t="shared" si="0"/>
        <v>27235809.217271164</v>
      </c>
    </row>
    <row r="14" spans="1:14" x14ac:dyDescent="0.25">
      <c r="A14" s="117"/>
      <c r="B14" s="118" t="s">
        <v>55</v>
      </c>
      <c r="C14" s="119">
        <v>25914893.359999944</v>
      </c>
      <c r="D14">
        <v>8</v>
      </c>
      <c r="E14" s="109">
        <f t="shared" si="1"/>
        <v>25922733.710565455</v>
      </c>
      <c r="F14" s="110">
        <f t="shared" si="2"/>
        <v>0.99969754923793719</v>
      </c>
      <c r="G14" s="111">
        <f t="shared" si="3"/>
        <v>1.0555273337412665</v>
      </c>
      <c r="H14" s="110"/>
      <c r="I14" s="110">
        <v>8</v>
      </c>
      <c r="J14" s="113">
        <f t="shared" si="6"/>
        <v>1.0555296039179967</v>
      </c>
      <c r="K14" s="114">
        <f t="shared" si="7"/>
        <v>68</v>
      </c>
      <c r="L14" s="115">
        <f t="shared" si="4"/>
        <v>25187078.362390861</v>
      </c>
      <c r="M14" s="20">
        <f t="shared" si="5"/>
        <v>8</v>
      </c>
      <c r="N14" s="116">
        <f t="shared" si="0"/>
        <v>26585706.847705968</v>
      </c>
    </row>
    <row r="15" spans="1:14" x14ac:dyDescent="0.25">
      <c r="A15" s="117"/>
      <c r="B15" s="118" t="s">
        <v>56</v>
      </c>
      <c r="C15" s="119">
        <v>24904130.080000129</v>
      </c>
      <c r="D15">
        <v>9</v>
      </c>
      <c r="E15" s="109">
        <f t="shared" si="1"/>
        <v>25910472.788095877</v>
      </c>
      <c r="F15" s="110">
        <f t="shared" si="2"/>
        <v>0.96116077401111355</v>
      </c>
      <c r="G15" s="111">
        <f t="shared" si="3"/>
        <v>1.0008963978765435</v>
      </c>
      <c r="H15" s="110"/>
      <c r="I15" s="110">
        <v>9</v>
      </c>
      <c r="J15" s="113">
        <f t="shared" si="6"/>
        <v>1.0008985505557202</v>
      </c>
      <c r="K15" s="114">
        <f t="shared" si="7"/>
        <v>69</v>
      </c>
      <c r="L15" s="115">
        <f t="shared" si="4"/>
        <v>25174817.439921286</v>
      </c>
      <c r="M15" s="20">
        <f t="shared" si="5"/>
        <v>9</v>
      </c>
      <c r="N15" s="116">
        <f t="shared" si="0"/>
        <v>25197438.28612208</v>
      </c>
    </row>
    <row r="16" spans="1:14" x14ac:dyDescent="0.25">
      <c r="A16" s="117"/>
      <c r="B16" s="118" t="s">
        <v>57</v>
      </c>
      <c r="C16" s="119">
        <v>22360354.450000327</v>
      </c>
      <c r="D16">
        <v>10</v>
      </c>
      <c r="E16" s="109">
        <f t="shared" si="1"/>
        <v>25898211.865626302</v>
      </c>
      <c r="F16" s="110">
        <f t="shared" si="2"/>
        <v>0.86339375729945134</v>
      </c>
      <c r="G16" s="111">
        <f t="shared" si="3"/>
        <v>0.96665768913595973</v>
      </c>
      <c r="H16" s="110"/>
      <c r="I16" s="110">
        <v>10</v>
      </c>
      <c r="J16" s="113">
        <f t="shared" si="6"/>
        <v>0.96665976817619093</v>
      </c>
      <c r="K16" s="114">
        <f t="shared" si="7"/>
        <v>70</v>
      </c>
      <c r="L16" s="115">
        <f t="shared" si="4"/>
        <v>25162556.517451711</v>
      </c>
      <c r="M16" s="20">
        <f t="shared" si="5"/>
        <v>10</v>
      </c>
      <c r="N16" s="116">
        <f t="shared" si="0"/>
        <v>24323631.049880173</v>
      </c>
    </row>
    <row r="17" spans="1:14" x14ac:dyDescent="0.25">
      <c r="A17" s="117"/>
      <c r="B17" s="118" t="s">
        <v>58</v>
      </c>
      <c r="C17" s="119">
        <v>23825298.739999592</v>
      </c>
      <c r="D17">
        <v>11</v>
      </c>
      <c r="E17" s="109">
        <f t="shared" si="1"/>
        <v>25885950.943156723</v>
      </c>
      <c r="F17" s="110">
        <f t="shared" si="2"/>
        <v>0.92039495834315144</v>
      </c>
      <c r="G17" s="111">
        <f t="shared" si="3"/>
        <v>0.89081968578710491</v>
      </c>
      <c r="H17" s="110"/>
      <c r="I17" s="162">
        <v>11</v>
      </c>
      <c r="J17" s="113">
        <f t="shared" si="6"/>
        <v>0.89082160171865576</v>
      </c>
      <c r="K17" s="114">
        <f t="shared" si="7"/>
        <v>71</v>
      </c>
      <c r="L17" s="115">
        <f t="shared" si="4"/>
        <v>25150295.594982132</v>
      </c>
      <c r="M17" s="20">
        <f t="shared" si="5"/>
        <v>11</v>
      </c>
      <c r="N17" s="116">
        <f t="shared" si="0"/>
        <v>22404426.605619635</v>
      </c>
    </row>
    <row r="18" spans="1:14" ht="15.75" thickBot="1" x14ac:dyDescent="0.3">
      <c r="A18" s="117"/>
      <c r="B18" s="118" t="s">
        <v>59</v>
      </c>
      <c r="C18" s="119">
        <v>22241744.100000586</v>
      </c>
      <c r="D18">
        <v>12</v>
      </c>
      <c r="E18" s="109">
        <f t="shared" si="1"/>
        <v>25873690.020687148</v>
      </c>
      <c r="F18" s="110">
        <f t="shared" si="2"/>
        <v>0.85962783361079687</v>
      </c>
      <c r="G18" s="120">
        <f t="shared" si="3"/>
        <v>1.0055078645011502</v>
      </c>
      <c r="H18" s="121"/>
      <c r="I18" s="110">
        <v>12</v>
      </c>
      <c r="J18" s="122">
        <f t="shared" si="6"/>
        <v>1.0055100270984445</v>
      </c>
      <c r="K18" s="114">
        <f t="shared" si="7"/>
        <v>72</v>
      </c>
      <c r="L18" s="115">
        <f t="shared" si="4"/>
        <v>25138034.672512557</v>
      </c>
      <c r="M18" s="20">
        <f t="shared" si="5"/>
        <v>12</v>
      </c>
      <c r="N18" s="116">
        <f t="shared" si="0"/>
        <v>25276545.924759738</v>
      </c>
    </row>
    <row r="19" spans="1:14" x14ac:dyDescent="0.25">
      <c r="A19" s="161">
        <v>2012</v>
      </c>
      <c r="B19" s="107" t="s">
        <v>48</v>
      </c>
      <c r="C19" s="108">
        <v>21149853.329999886</v>
      </c>
      <c r="D19">
        <v>13</v>
      </c>
      <c r="E19" s="109">
        <f t="shared" si="1"/>
        <v>25861429.098217573</v>
      </c>
      <c r="F19" s="110">
        <f t="shared" si="2"/>
        <v>0.8178145627481036</v>
      </c>
      <c r="K19" s="114">
        <f t="shared" si="7"/>
        <v>73</v>
      </c>
      <c r="L19" s="115">
        <f t="shared" si="4"/>
        <v>25125773.750042979</v>
      </c>
      <c r="M19" s="20">
        <f>I7</f>
        <v>1</v>
      </c>
      <c r="N19" s="116">
        <f t="shared" si="0"/>
        <v>20497786.422238138</v>
      </c>
    </row>
    <row r="20" spans="1:14" x14ac:dyDescent="0.25">
      <c r="A20" s="117"/>
      <c r="B20" s="118" t="s">
        <v>49</v>
      </c>
      <c r="C20" s="119">
        <v>23770186.149999913</v>
      </c>
      <c r="D20">
        <v>14</v>
      </c>
      <c r="E20" s="109">
        <f t="shared" si="1"/>
        <v>25849168.175747994</v>
      </c>
      <c r="F20" s="110">
        <f t="shared" si="2"/>
        <v>0.91957257534891945</v>
      </c>
      <c r="K20" s="114">
        <f t="shared" si="7"/>
        <v>74</v>
      </c>
      <c r="L20" s="115">
        <f t="shared" si="4"/>
        <v>25113512.827573404</v>
      </c>
      <c r="M20" s="20">
        <f t="shared" ref="M20:M30" si="8">I8</f>
        <v>2</v>
      </c>
      <c r="N20" s="116">
        <f t="shared" si="0"/>
        <v>23036855.265515592</v>
      </c>
    </row>
    <row r="21" spans="1:14" x14ac:dyDescent="0.25">
      <c r="A21" s="117"/>
      <c r="B21" s="118" t="s">
        <v>50</v>
      </c>
      <c r="C21" s="119">
        <v>29608386.439999919</v>
      </c>
      <c r="D21">
        <v>15</v>
      </c>
      <c r="E21" s="109">
        <f t="shared" si="1"/>
        <v>25836907.253278419</v>
      </c>
      <c r="F21" s="110">
        <f t="shared" si="2"/>
        <v>1.1459725480975647</v>
      </c>
      <c r="K21" s="114">
        <f t="shared" si="7"/>
        <v>75</v>
      </c>
      <c r="L21" s="115">
        <f t="shared" si="4"/>
        <v>25101251.905103825</v>
      </c>
      <c r="M21" s="20">
        <f t="shared" si="8"/>
        <v>3</v>
      </c>
      <c r="N21" s="116">
        <f t="shared" si="0"/>
        <v>26671312.849641815</v>
      </c>
    </row>
    <row r="22" spans="1:14" x14ac:dyDescent="0.25">
      <c r="A22" s="117"/>
      <c r="B22" s="118" t="s">
        <v>51</v>
      </c>
      <c r="C22" s="119">
        <v>28588548.319999907</v>
      </c>
      <c r="D22">
        <v>16</v>
      </c>
      <c r="E22" s="109">
        <f t="shared" si="1"/>
        <v>25824646.330808841</v>
      </c>
      <c r="F22" s="110">
        <f t="shared" si="2"/>
        <v>1.1070257440812936</v>
      </c>
      <c r="K22" s="114">
        <f t="shared" si="7"/>
        <v>76</v>
      </c>
      <c r="L22" s="115">
        <f t="shared" si="4"/>
        <v>25088990.98263425</v>
      </c>
      <c r="M22" s="20">
        <f t="shared" si="8"/>
        <v>4</v>
      </c>
      <c r="N22" s="116">
        <f t="shared" si="0"/>
        <v>26410239.341464516</v>
      </c>
    </row>
    <row r="23" spans="1:14" x14ac:dyDescent="0.25">
      <c r="A23" s="117"/>
      <c r="B23" s="118" t="s">
        <v>52</v>
      </c>
      <c r="C23" s="119">
        <v>29712035.849999875</v>
      </c>
      <c r="D23">
        <v>17</v>
      </c>
      <c r="E23" s="109">
        <f t="shared" si="1"/>
        <v>25812385.408339266</v>
      </c>
      <c r="F23" s="110">
        <f t="shared" si="2"/>
        <v>1.1510767168539464</v>
      </c>
      <c r="K23" s="114">
        <f t="shared" si="7"/>
        <v>77</v>
      </c>
      <c r="L23" s="115">
        <f t="shared" si="4"/>
        <v>25076730.060164675</v>
      </c>
      <c r="M23" s="20">
        <f t="shared" si="8"/>
        <v>5</v>
      </c>
      <c r="N23" s="116">
        <f t="shared" si="0"/>
        <v>26317226.580367912</v>
      </c>
    </row>
    <row r="24" spans="1:14" x14ac:dyDescent="0.25">
      <c r="A24" s="117"/>
      <c r="B24" s="118" t="s">
        <v>53</v>
      </c>
      <c r="C24" s="119">
        <v>31191793.009999838</v>
      </c>
      <c r="D24">
        <v>18</v>
      </c>
      <c r="E24" s="109">
        <f t="shared" si="1"/>
        <v>25800124.485869687</v>
      </c>
      <c r="F24" s="110">
        <f t="shared" si="2"/>
        <v>1.2089783918322983</v>
      </c>
      <c r="K24" s="114">
        <f t="shared" si="7"/>
        <v>78</v>
      </c>
      <c r="L24" s="115">
        <f t="shared" si="4"/>
        <v>25064469.137695096</v>
      </c>
      <c r="M24" s="20">
        <f t="shared" si="8"/>
        <v>6</v>
      </c>
      <c r="N24" s="116">
        <f t="shared" si="0"/>
        <v>27620295.189428188</v>
      </c>
    </row>
    <row r="25" spans="1:14" x14ac:dyDescent="0.25">
      <c r="A25" s="117"/>
      <c r="B25" s="118" t="s">
        <v>54</v>
      </c>
      <c r="C25" s="119">
        <v>28311729.799999893</v>
      </c>
      <c r="D25">
        <v>19</v>
      </c>
      <c r="E25" s="109">
        <f t="shared" si="1"/>
        <v>25787863.563400112</v>
      </c>
      <c r="F25" s="110">
        <f t="shared" si="2"/>
        <v>1.0978703113732082</v>
      </c>
      <c r="K25" s="114">
        <f t="shared" si="7"/>
        <v>79</v>
      </c>
      <c r="L25" s="115">
        <f t="shared" si="4"/>
        <v>25052208.215225521</v>
      </c>
      <c r="M25" s="20">
        <f t="shared" si="8"/>
        <v>7</v>
      </c>
      <c r="N25" s="116">
        <f t="shared" si="0"/>
        <v>27076787.835908312</v>
      </c>
    </row>
    <row r="26" spans="1:14" x14ac:dyDescent="0.25">
      <c r="A26" s="117"/>
      <c r="B26" s="118" t="s">
        <v>55</v>
      </c>
      <c r="C26" s="119">
        <v>27438261.909999844</v>
      </c>
      <c r="D26">
        <v>20</v>
      </c>
      <c r="E26" s="109">
        <f t="shared" si="1"/>
        <v>25775602.640930537</v>
      </c>
      <c r="F26" s="110">
        <f t="shared" si="2"/>
        <v>1.0645051559892174</v>
      </c>
      <c r="K26" s="114">
        <f t="shared" si="7"/>
        <v>80</v>
      </c>
      <c r="L26" s="115">
        <f t="shared" si="4"/>
        <v>25039947.292755943</v>
      </c>
      <c r="M26" s="20">
        <f t="shared" si="8"/>
        <v>8</v>
      </c>
      <c r="N26" s="116">
        <f t="shared" si="0"/>
        <v>26430405.648050193</v>
      </c>
    </row>
    <row r="27" spans="1:14" x14ac:dyDescent="0.25">
      <c r="A27" s="117"/>
      <c r="B27" s="118" t="s">
        <v>56</v>
      </c>
      <c r="C27" s="119">
        <v>26166318.549999885</v>
      </c>
      <c r="D27">
        <v>21</v>
      </c>
      <c r="E27" s="109">
        <f t="shared" si="1"/>
        <v>25763341.718460958</v>
      </c>
      <c r="F27" s="110">
        <f t="shared" si="2"/>
        <v>1.0156414814484322</v>
      </c>
      <c r="K27" s="114">
        <f t="shared" si="7"/>
        <v>81</v>
      </c>
      <c r="L27" s="115">
        <f t="shared" si="4"/>
        <v>25027686.370286368</v>
      </c>
      <c r="M27" s="20">
        <f t="shared" si="8"/>
        <v>9</v>
      </c>
      <c r="N27" s="116">
        <f t="shared" si="0"/>
        <v>25050175.01178278</v>
      </c>
    </row>
    <row r="28" spans="1:14" x14ac:dyDescent="0.25">
      <c r="A28" s="117"/>
      <c r="B28" s="118" t="s">
        <v>57</v>
      </c>
      <c r="C28" s="119">
        <v>25916207.469999935</v>
      </c>
      <c r="D28">
        <v>22</v>
      </c>
      <c r="E28" s="109">
        <f t="shared" si="1"/>
        <v>25751080.795991383</v>
      </c>
      <c r="F28" s="110">
        <f t="shared" si="2"/>
        <v>1.0064124172230571</v>
      </c>
      <c r="K28" s="114">
        <f t="shared" si="7"/>
        <v>82</v>
      </c>
      <c r="L28" s="115">
        <f t="shared" si="4"/>
        <v>25015425.447816789</v>
      </c>
      <c r="M28" s="20">
        <f t="shared" si="8"/>
        <v>10</v>
      </c>
      <c r="N28" s="116">
        <f t="shared" si="0"/>
        <v>24181405.364215363</v>
      </c>
    </row>
    <row r="29" spans="1:14" x14ac:dyDescent="0.25">
      <c r="A29" s="117"/>
      <c r="B29" s="118" t="s">
        <v>58</v>
      </c>
      <c r="C29" s="119">
        <v>23168085.769999787</v>
      </c>
      <c r="D29">
        <v>23</v>
      </c>
      <c r="E29" s="109">
        <f t="shared" si="1"/>
        <v>25738819.873521805</v>
      </c>
      <c r="F29" s="110">
        <f t="shared" si="2"/>
        <v>0.90012230101634927</v>
      </c>
      <c r="K29" s="114">
        <f t="shared" si="7"/>
        <v>83</v>
      </c>
      <c r="L29" s="115">
        <f t="shared" si="4"/>
        <v>25003164.525347214</v>
      </c>
      <c r="M29" s="20">
        <f t="shared" si="8"/>
        <v>11</v>
      </c>
      <c r="N29" s="116">
        <f t="shared" si="0"/>
        <v>22273359.070504878</v>
      </c>
    </row>
    <row r="30" spans="1:14" x14ac:dyDescent="0.25">
      <c r="A30" s="117"/>
      <c r="B30" s="118" t="s">
        <v>59</v>
      </c>
      <c r="C30" s="119">
        <v>27707908.819999915</v>
      </c>
      <c r="D30">
        <v>24</v>
      </c>
      <c r="E30" s="109">
        <f t="shared" si="1"/>
        <v>25726558.95105223</v>
      </c>
      <c r="F30" s="110">
        <f t="shared" si="2"/>
        <v>1.0770157358672581</v>
      </c>
      <c r="K30" s="114">
        <f t="shared" si="7"/>
        <v>84</v>
      </c>
      <c r="L30" s="115">
        <f t="shared" si="4"/>
        <v>24990903.602877639</v>
      </c>
      <c r="M30" s="20">
        <f t="shared" si="8"/>
        <v>12</v>
      </c>
      <c r="N30" s="116">
        <f t="shared" si="0"/>
        <v>25128604.158944108</v>
      </c>
    </row>
    <row r="31" spans="1:14" x14ac:dyDescent="0.25">
      <c r="A31" s="161">
        <v>2013</v>
      </c>
      <c r="B31" s="107" t="s">
        <v>48</v>
      </c>
      <c r="C31" s="108">
        <v>25379304.810000222</v>
      </c>
      <c r="D31">
        <v>25</v>
      </c>
      <c r="E31" s="109">
        <f t="shared" si="1"/>
        <v>25714298.028582651</v>
      </c>
      <c r="F31" s="110">
        <f t="shared" si="2"/>
        <v>0.98697249218275107</v>
      </c>
      <c r="K31" s="114">
        <f t="shared" si="7"/>
        <v>85</v>
      </c>
      <c r="L31" s="115">
        <f t="shared" si="4"/>
        <v>24978642.680408061</v>
      </c>
      <c r="M31" s="20">
        <f>I7</f>
        <v>1</v>
      </c>
      <c r="N31" s="116">
        <f t="shared" si="0"/>
        <v>20377755.840435781</v>
      </c>
    </row>
    <row r="32" spans="1:14" x14ac:dyDescent="0.25">
      <c r="A32" s="117"/>
      <c r="B32" s="118" t="s">
        <v>49</v>
      </c>
      <c r="C32" s="119">
        <v>27823569.500000264</v>
      </c>
      <c r="D32">
        <v>26</v>
      </c>
      <c r="E32" s="109">
        <f t="shared" si="1"/>
        <v>25702037.106113076</v>
      </c>
      <c r="F32" s="110">
        <f t="shared" si="2"/>
        <v>1.0825433558098239</v>
      </c>
      <c r="K32" s="114">
        <f t="shared" si="7"/>
        <v>86</v>
      </c>
      <c r="L32" s="115">
        <f t="shared" si="4"/>
        <v>24966381.757938486</v>
      </c>
      <c r="M32" s="20">
        <f>I8</f>
        <v>2</v>
      </c>
      <c r="N32" s="116">
        <f t="shared" si="0"/>
        <v>22901890.588151991</v>
      </c>
    </row>
    <row r="33" spans="1:14" ht="15.75" thickBot="1" x14ac:dyDescent="0.3">
      <c r="A33" s="117"/>
      <c r="B33" s="118" t="s">
        <v>50</v>
      </c>
      <c r="C33" s="119">
        <v>28518039.220000032</v>
      </c>
      <c r="D33">
        <v>27</v>
      </c>
      <c r="E33" s="109">
        <f t="shared" si="1"/>
        <v>25689776.183643501</v>
      </c>
      <c r="F33" s="110">
        <f t="shared" si="2"/>
        <v>1.1100929418823535</v>
      </c>
      <c r="K33" s="123">
        <f t="shared" si="7"/>
        <v>87</v>
      </c>
      <c r="L33" s="124">
        <f t="shared" si="4"/>
        <v>24954120.835468907</v>
      </c>
      <c r="M33" s="125">
        <f>I9</f>
        <v>3</v>
      </c>
      <c r="N33" s="126">
        <f t="shared" si="0"/>
        <v>26514978.862676907</v>
      </c>
    </row>
    <row r="34" spans="1:14" x14ac:dyDescent="0.25">
      <c r="A34" s="117"/>
      <c r="B34" s="118" t="s">
        <v>51</v>
      </c>
      <c r="C34" s="119">
        <v>33971885.660000049</v>
      </c>
      <c r="D34">
        <v>28</v>
      </c>
      <c r="E34" s="109">
        <f t="shared" si="1"/>
        <v>25677515.261173923</v>
      </c>
      <c r="F34" s="110">
        <f t="shared" si="2"/>
        <v>1.3230207562710616</v>
      </c>
    </row>
    <row r="35" spans="1:14" x14ac:dyDescent="0.25">
      <c r="A35" s="117"/>
      <c r="B35" s="118" t="s">
        <v>52</v>
      </c>
      <c r="C35" s="119">
        <v>31577080.979999781</v>
      </c>
      <c r="D35">
        <v>29</v>
      </c>
      <c r="E35" s="109">
        <f t="shared" si="1"/>
        <v>25665254.338704348</v>
      </c>
      <c r="F35" s="110">
        <f t="shared" si="2"/>
        <v>1.2303435829342293</v>
      </c>
    </row>
    <row r="36" spans="1:14" x14ac:dyDescent="0.25">
      <c r="A36" s="117"/>
      <c r="B36" s="118" t="s">
        <v>53</v>
      </c>
      <c r="C36" s="119">
        <v>29328611.009999774</v>
      </c>
      <c r="D36">
        <v>30</v>
      </c>
      <c r="E36" s="109">
        <f t="shared" si="1"/>
        <v>25652993.416234769</v>
      </c>
      <c r="F36" s="110">
        <f t="shared" si="2"/>
        <v>1.1432822101548139</v>
      </c>
    </row>
    <row r="37" spans="1:14" x14ac:dyDescent="0.25">
      <c r="A37" s="117"/>
      <c r="B37" s="118" t="s">
        <v>54</v>
      </c>
      <c r="C37" s="119">
        <v>34312920.33999972</v>
      </c>
      <c r="D37">
        <v>31</v>
      </c>
      <c r="E37" s="109">
        <f t="shared" si="1"/>
        <v>25640732.493765194</v>
      </c>
      <c r="F37" s="110">
        <f t="shared" si="2"/>
        <v>1.3382191927763085</v>
      </c>
    </row>
    <row r="38" spans="1:14" x14ac:dyDescent="0.25">
      <c r="A38" s="117"/>
      <c r="B38" s="118" t="s">
        <v>55</v>
      </c>
      <c r="C38" s="119">
        <v>31364477.729999848</v>
      </c>
      <c r="D38">
        <v>32</v>
      </c>
      <c r="E38" s="109">
        <f t="shared" si="1"/>
        <v>25628471.571295619</v>
      </c>
      <c r="F38" s="110">
        <f t="shared" si="2"/>
        <v>1.2238138213879546</v>
      </c>
    </row>
    <row r="39" spans="1:14" x14ac:dyDescent="0.25">
      <c r="A39" s="117"/>
      <c r="B39" s="118" t="s">
        <v>56</v>
      </c>
      <c r="C39" s="119">
        <v>29046432.429999951</v>
      </c>
      <c r="D39">
        <v>33</v>
      </c>
      <c r="E39" s="109">
        <f t="shared" si="1"/>
        <v>25616210.64882604</v>
      </c>
      <c r="F39" s="110">
        <f t="shared" si="2"/>
        <v>1.1339082438147858</v>
      </c>
    </row>
    <row r="40" spans="1:14" x14ac:dyDescent="0.25">
      <c r="A40" s="117"/>
      <c r="B40" s="118" t="s">
        <v>57</v>
      </c>
      <c r="C40" s="119">
        <v>27244171.430000003</v>
      </c>
      <c r="D40">
        <v>34</v>
      </c>
      <c r="E40" s="109">
        <f t="shared" si="1"/>
        <v>25603949.726356465</v>
      </c>
      <c r="F40" s="110">
        <f t="shared" si="2"/>
        <v>1.0640612765285626</v>
      </c>
    </row>
    <row r="41" spans="1:14" x14ac:dyDescent="0.25">
      <c r="A41" s="117"/>
      <c r="B41" s="118" t="s">
        <v>58</v>
      </c>
      <c r="C41" s="119">
        <v>24353445.570000127</v>
      </c>
      <c r="D41">
        <v>35</v>
      </c>
      <c r="E41" s="109">
        <f t="shared" si="1"/>
        <v>25591688.803886887</v>
      </c>
      <c r="F41" s="110">
        <f t="shared" si="2"/>
        <v>0.95161541532582661</v>
      </c>
    </row>
    <row r="42" spans="1:14" x14ac:dyDescent="0.25">
      <c r="A42" s="117"/>
      <c r="B42" s="118" t="s">
        <v>59</v>
      </c>
      <c r="C42" s="119">
        <v>25447524.880000181</v>
      </c>
      <c r="D42">
        <v>36</v>
      </c>
      <c r="E42" s="109">
        <f t="shared" si="1"/>
        <v>25579427.881417312</v>
      </c>
      <c r="F42" s="110">
        <f t="shared" si="2"/>
        <v>0.99484339516784293</v>
      </c>
    </row>
    <row r="43" spans="1:14" x14ac:dyDescent="0.25">
      <c r="A43" s="161">
        <v>2014</v>
      </c>
      <c r="B43" s="107" t="s">
        <v>48</v>
      </c>
      <c r="C43" s="108">
        <v>24255100.630000025</v>
      </c>
      <c r="D43">
        <v>37</v>
      </c>
      <c r="E43" s="109">
        <f t="shared" si="1"/>
        <v>25567166.958947733</v>
      </c>
      <c r="F43" s="110">
        <f t="shared" si="2"/>
        <v>0.94868159107911931</v>
      </c>
    </row>
    <row r="44" spans="1:14" x14ac:dyDescent="0.25">
      <c r="A44" s="117"/>
      <c r="B44" s="118" t="s">
        <v>49</v>
      </c>
      <c r="C44" s="119">
        <v>22391875.890000001</v>
      </c>
      <c r="D44">
        <v>38</v>
      </c>
      <c r="E44" s="109">
        <f t="shared" si="1"/>
        <v>25554906.036478158</v>
      </c>
      <c r="F44" s="110">
        <f t="shared" si="2"/>
        <v>0.87622610930507383</v>
      </c>
    </row>
    <row r="45" spans="1:14" x14ac:dyDescent="0.25">
      <c r="A45" s="117"/>
      <c r="B45" s="118" t="s">
        <v>50</v>
      </c>
      <c r="C45" s="119">
        <v>27902910.629999943</v>
      </c>
      <c r="D45">
        <v>39</v>
      </c>
      <c r="E45" s="109">
        <f t="shared" si="1"/>
        <v>25542645.114008583</v>
      </c>
      <c r="F45" s="110">
        <f t="shared" si="2"/>
        <v>1.0924048979836039</v>
      </c>
    </row>
    <row r="46" spans="1:14" x14ac:dyDescent="0.25">
      <c r="A46" s="117"/>
      <c r="B46" s="118" t="s">
        <v>51</v>
      </c>
      <c r="C46" s="119">
        <v>24102028.420000009</v>
      </c>
      <c r="D46">
        <v>40</v>
      </c>
      <c r="E46" s="109">
        <f t="shared" si="1"/>
        <v>25530384.191539004</v>
      </c>
      <c r="F46" s="110">
        <f t="shared" si="2"/>
        <v>0.94405271143501379</v>
      </c>
    </row>
    <row r="47" spans="1:14" x14ac:dyDescent="0.25">
      <c r="A47" s="117"/>
      <c r="B47" s="118" t="s">
        <v>52</v>
      </c>
      <c r="C47" s="119">
        <v>24939643.089999918</v>
      </c>
      <c r="D47">
        <v>41</v>
      </c>
      <c r="E47" s="109">
        <f t="shared" si="1"/>
        <v>25518123.269069429</v>
      </c>
      <c r="F47" s="110">
        <f t="shared" si="2"/>
        <v>0.9773306142865652</v>
      </c>
    </row>
    <row r="48" spans="1:14" x14ac:dyDescent="0.25">
      <c r="A48" s="117"/>
      <c r="B48" s="118" t="s">
        <v>53</v>
      </c>
      <c r="C48" s="119">
        <v>25401741.259999949</v>
      </c>
      <c r="D48">
        <v>42</v>
      </c>
      <c r="E48" s="109">
        <f t="shared" si="1"/>
        <v>25505862.346599851</v>
      </c>
      <c r="F48" s="110">
        <f t="shared" si="2"/>
        <v>0.99591775862407639</v>
      </c>
    </row>
    <row r="49" spans="1:6" x14ac:dyDescent="0.25">
      <c r="A49" s="117"/>
      <c r="B49" s="118" t="s">
        <v>54</v>
      </c>
      <c r="C49" s="119">
        <v>22817313.619999956</v>
      </c>
      <c r="D49">
        <v>43</v>
      </c>
      <c r="E49" s="109">
        <f t="shared" si="1"/>
        <v>25493601.424130276</v>
      </c>
      <c r="F49" s="110">
        <f t="shared" si="2"/>
        <v>0.89502119533424762</v>
      </c>
    </row>
    <row r="50" spans="1:6" x14ac:dyDescent="0.25">
      <c r="A50" s="117"/>
      <c r="B50" s="118" t="s">
        <v>55</v>
      </c>
      <c r="C50" s="119">
        <v>23554471.310000006</v>
      </c>
      <c r="D50">
        <v>44</v>
      </c>
      <c r="E50" s="109">
        <f t="shared" si="1"/>
        <v>25481340.501660697</v>
      </c>
      <c r="F50" s="110">
        <f t="shared" si="2"/>
        <v>0.92438116858353225</v>
      </c>
    </row>
    <row r="51" spans="1:6" x14ac:dyDescent="0.25">
      <c r="A51" s="117"/>
      <c r="B51" s="118" t="s">
        <v>56</v>
      </c>
      <c r="C51" s="119">
        <v>21219769.289999947</v>
      </c>
      <c r="D51">
        <v>45</v>
      </c>
      <c r="E51" s="109">
        <f t="shared" si="1"/>
        <v>25469079.579191122</v>
      </c>
      <c r="F51" s="110">
        <f t="shared" si="2"/>
        <v>0.83315807404901399</v>
      </c>
    </row>
    <row r="52" spans="1:6" x14ac:dyDescent="0.25">
      <c r="A52" s="117"/>
      <c r="B52" s="118" t="s">
        <v>57</v>
      </c>
      <c r="C52" s="119">
        <v>21144903.009999964</v>
      </c>
      <c r="D52">
        <v>46</v>
      </c>
      <c r="E52" s="109">
        <f t="shared" si="1"/>
        <v>25456818.656721547</v>
      </c>
      <c r="F52" s="110">
        <f t="shared" si="2"/>
        <v>0.83061844039246924</v>
      </c>
    </row>
    <row r="53" spans="1:6" x14ac:dyDescent="0.25">
      <c r="A53" s="117"/>
      <c r="B53" s="118" t="s">
        <v>58</v>
      </c>
      <c r="C53" s="119">
        <v>19185427.050000079</v>
      </c>
      <c r="D53">
        <v>47</v>
      </c>
      <c r="E53" s="109">
        <f t="shared" si="1"/>
        <v>25444557.734251969</v>
      </c>
      <c r="F53" s="110">
        <f t="shared" si="2"/>
        <v>0.75400905963375364</v>
      </c>
    </row>
    <row r="54" spans="1:6" x14ac:dyDescent="0.25">
      <c r="A54" s="117"/>
      <c r="B54" s="118" t="s">
        <v>59</v>
      </c>
      <c r="C54" s="119">
        <v>20507489.709999993</v>
      </c>
      <c r="D54">
        <v>48</v>
      </c>
      <c r="E54" s="109">
        <f t="shared" si="1"/>
        <v>25432296.811782394</v>
      </c>
      <c r="F54" s="110">
        <f t="shared" si="2"/>
        <v>0.80635618016612587</v>
      </c>
    </row>
    <row r="55" spans="1:6" x14ac:dyDescent="0.25">
      <c r="A55" s="161">
        <v>2015</v>
      </c>
      <c r="B55" s="107" t="s">
        <v>48</v>
      </c>
      <c r="C55" s="108">
        <v>16116507.929999987</v>
      </c>
      <c r="D55">
        <v>49</v>
      </c>
      <c r="E55" s="109">
        <f t="shared" si="1"/>
        <v>25420035.889312815</v>
      </c>
      <c r="F55" s="110">
        <f t="shared" si="2"/>
        <v>0.63400807143532589</v>
      </c>
    </row>
    <row r="56" spans="1:6" x14ac:dyDescent="0.25">
      <c r="A56" s="117"/>
      <c r="B56" s="118" t="s">
        <v>49</v>
      </c>
      <c r="C56" s="119">
        <v>20363081.129999988</v>
      </c>
      <c r="D56">
        <v>50</v>
      </c>
      <c r="E56" s="109">
        <f t="shared" si="1"/>
        <v>25407774.96684324</v>
      </c>
      <c r="F56" s="110">
        <f t="shared" si="2"/>
        <v>0.80145078254878666</v>
      </c>
    </row>
    <row r="57" spans="1:6" x14ac:dyDescent="0.25">
      <c r="A57" s="117"/>
      <c r="B57" s="118" t="s">
        <v>50</v>
      </c>
      <c r="C57" s="119">
        <v>24924310.180000007</v>
      </c>
      <c r="D57">
        <v>51</v>
      </c>
      <c r="E57" s="109">
        <f t="shared" si="1"/>
        <v>25395514.044373661</v>
      </c>
      <c r="F57" s="110">
        <f t="shared" si="2"/>
        <v>0.98144538978221441</v>
      </c>
    </row>
    <row r="58" spans="1:6" x14ac:dyDescent="0.25">
      <c r="A58" s="117"/>
      <c r="B58" s="118" t="s">
        <v>51</v>
      </c>
      <c r="C58" s="119">
        <v>23881278.159999978</v>
      </c>
      <c r="D58">
        <v>52</v>
      </c>
      <c r="E58" s="109">
        <f t="shared" si="1"/>
        <v>25383253.121904086</v>
      </c>
      <c r="F58" s="110">
        <f t="shared" si="2"/>
        <v>0.94082811392650056</v>
      </c>
    </row>
    <row r="59" spans="1:6" x14ac:dyDescent="0.25">
      <c r="A59" s="117"/>
      <c r="B59" s="118" t="s">
        <v>52</v>
      </c>
      <c r="C59" s="119">
        <v>24039242.570000023</v>
      </c>
      <c r="D59">
        <v>53</v>
      </c>
      <c r="E59" s="109">
        <f t="shared" si="1"/>
        <v>25370992.199434511</v>
      </c>
      <c r="F59" s="110">
        <f t="shared" si="2"/>
        <v>0.947508965397728</v>
      </c>
    </row>
    <row r="60" spans="1:6" x14ac:dyDescent="0.25">
      <c r="A60" s="117"/>
      <c r="B60" s="118" t="s">
        <v>53</v>
      </c>
      <c r="C60" s="119">
        <v>29292943.499999791</v>
      </c>
      <c r="D60">
        <v>54</v>
      </c>
      <c r="E60" s="109">
        <f t="shared" si="1"/>
        <v>25358731.276964933</v>
      </c>
      <c r="F60" s="110">
        <f t="shared" si="2"/>
        <v>1.1551423129203855</v>
      </c>
    </row>
    <row r="61" spans="1:6" x14ac:dyDescent="0.25">
      <c r="A61" s="117"/>
      <c r="B61" s="118" t="s">
        <v>54</v>
      </c>
      <c r="C61" s="119">
        <v>25244288.529999968</v>
      </c>
      <c r="D61">
        <v>55</v>
      </c>
      <c r="E61" s="109">
        <f t="shared" si="1"/>
        <v>25346470.354495358</v>
      </c>
      <c r="F61" s="110">
        <f t="shared" si="2"/>
        <v>0.99596859747861233</v>
      </c>
    </row>
    <row r="62" spans="1:6" x14ac:dyDescent="0.25">
      <c r="A62" s="117"/>
      <c r="B62" s="118" t="s">
        <v>55</v>
      </c>
      <c r="C62" s="119">
        <v>26986987.249999989</v>
      </c>
      <c r="D62">
        <v>56</v>
      </c>
      <c r="E62" s="109">
        <f t="shared" si="1"/>
        <v>25334209.432025779</v>
      </c>
      <c r="F62" s="110">
        <f t="shared" si="2"/>
        <v>1.0652389735076904</v>
      </c>
    </row>
    <row r="63" spans="1:6" x14ac:dyDescent="0.25">
      <c r="A63" s="117"/>
      <c r="B63" s="118" t="s">
        <v>56</v>
      </c>
      <c r="C63" s="119">
        <v>26856798.30999992</v>
      </c>
      <c r="D63">
        <v>57</v>
      </c>
      <c r="E63" s="109">
        <f t="shared" si="1"/>
        <v>25321948.509556204</v>
      </c>
      <c r="F63" s="110">
        <f t="shared" si="2"/>
        <v>1.0606134160593716</v>
      </c>
    </row>
    <row r="64" spans="1:6" x14ac:dyDescent="0.25">
      <c r="A64" s="117"/>
      <c r="B64" s="118" t="s">
        <v>57</v>
      </c>
      <c r="C64" s="119">
        <v>27051058.73999989</v>
      </c>
      <c r="D64">
        <v>58</v>
      </c>
      <c r="E64" s="109">
        <f t="shared" si="1"/>
        <v>25309687.587086629</v>
      </c>
      <c r="F64" s="110">
        <f t="shared" si="2"/>
        <v>1.0688025542362576</v>
      </c>
    </row>
    <row r="65" spans="1:6" x14ac:dyDescent="0.25">
      <c r="A65" s="117"/>
      <c r="B65" s="118" t="s">
        <v>58</v>
      </c>
      <c r="C65" s="119">
        <v>23474916.42999991</v>
      </c>
      <c r="D65">
        <v>59</v>
      </c>
      <c r="E65" s="109">
        <f t="shared" si="1"/>
        <v>25297426.66461705</v>
      </c>
      <c r="F65" s="110">
        <f t="shared" si="2"/>
        <v>0.92795669461644315</v>
      </c>
    </row>
    <row r="66" spans="1:6" ht="15.75" thickBot="1" x14ac:dyDescent="0.3">
      <c r="A66" s="127"/>
      <c r="B66" s="128" t="s">
        <v>59</v>
      </c>
      <c r="C66" s="129">
        <v>32610181.609999992</v>
      </c>
      <c r="D66">
        <v>60</v>
      </c>
      <c r="E66" s="109">
        <f t="shared" si="1"/>
        <v>25285165.742147475</v>
      </c>
      <c r="F66" s="121">
        <f t="shared" si="2"/>
        <v>1.2896961776937279</v>
      </c>
    </row>
    <row r="67" spans="1:6" x14ac:dyDescent="0.25">
      <c r="C67" s="103"/>
      <c r="E67" s="106"/>
    </row>
  </sheetData>
  <mergeCells count="3">
    <mergeCell ref="E1:F1"/>
    <mergeCell ref="F5:J5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0" workbookViewId="0">
      <selection activeCell="O14" sqref="O14"/>
    </sheetView>
  </sheetViews>
  <sheetFormatPr defaultRowHeight="15" x14ac:dyDescent="0.25"/>
  <cols>
    <col min="2" max="2" width="11.42578125" customWidth="1"/>
    <col min="3" max="3" width="20.42578125" bestFit="1" customWidth="1"/>
    <col min="4" max="4" width="23.7109375" bestFit="1" customWidth="1"/>
    <col min="5" max="5" width="21.140625" customWidth="1"/>
    <col min="7" max="7" width="8.28515625" bestFit="1" customWidth="1"/>
    <col min="8" max="8" width="10.7109375" bestFit="1" customWidth="1"/>
    <col min="9" max="9" width="12.7109375" bestFit="1" customWidth="1"/>
    <col min="10" max="10" width="16.5703125" customWidth="1"/>
    <col min="11" max="11" width="12.7109375" bestFit="1" customWidth="1"/>
    <col min="12" max="12" width="21.5703125" bestFit="1" customWidth="1"/>
    <col min="14" max="14" width="16.5703125" bestFit="1" customWidth="1"/>
    <col min="15" max="15" width="21.5703125" bestFit="1" customWidth="1"/>
  </cols>
  <sheetData>
    <row r="1" spans="1:16" x14ac:dyDescent="0.25">
      <c r="A1" s="3" t="s">
        <v>60</v>
      </c>
      <c r="B1" s="3" t="s">
        <v>77</v>
      </c>
      <c r="C1" s="74" t="s">
        <v>136</v>
      </c>
      <c r="D1" s="142" t="s">
        <v>137</v>
      </c>
      <c r="E1" s="143" t="s">
        <v>138</v>
      </c>
      <c r="G1" s="1" t="s">
        <v>139</v>
      </c>
      <c r="H1" s="1" t="s">
        <v>61</v>
      </c>
      <c r="I1" s="1" t="s">
        <v>62</v>
      </c>
      <c r="J1" s="1" t="s">
        <v>140</v>
      </c>
      <c r="K1" s="1" t="s">
        <v>141</v>
      </c>
      <c r="L1" s="1" t="s">
        <v>138</v>
      </c>
      <c r="N1" s="151" t="s">
        <v>142</v>
      </c>
      <c r="O1" s="152" t="s">
        <v>138</v>
      </c>
    </row>
    <row r="2" spans="1:16" x14ac:dyDescent="0.25">
      <c r="A2" s="3">
        <v>1</v>
      </c>
      <c r="B2" s="1" t="s">
        <v>71</v>
      </c>
      <c r="C2" s="74">
        <v>8174.4</v>
      </c>
      <c r="D2" s="144">
        <f>-0.0068*A2^6 + 0.5634*A2^5 - 16.744*A2^4 + 214.56*A2^3 - 1048.6*A2^2 + 459.03*A2 + 7964.1</f>
        <v>7572.9026000000003</v>
      </c>
      <c r="E2" s="145">
        <f>C2-D2</f>
        <v>601.49739999999929</v>
      </c>
      <c r="G2" s="1">
        <v>1</v>
      </c>
      <c r="H2" s="14">
        <v>601.49739999999929</v>
      </c>
      <c r="I2" s="14">
        <v>2746.6390000000192</v>
      </c>
      <c r="J2" s="14">
        <f>H2+I2</f>
        <v>3348.1364000000185</v>
      </c>
      <c r="K2" s="14">
        <f>AVERAGE(H2:I2)</f>
        <v>1674.0682000000093</v>
      </c>
      <c r="L2" s="14">
        <f>K2/$K$14</f>
        <v>-0.23071017955340473</v>
      </c>
      <c r="N2" s="144">
        <f xml:space="preserve"> 2.0463*A2 + 4134.8</f>
        <v>4136.8463000000002</v>
      </c>
      <c r="O2" s="145">
        <f>C2-N2</f>
        <v>4037.5536999999995</v>
      </c>
      <c r="P2" s="145"/>
    </row>
    <row r="3" spans="1:16" x14ac:dyDescent="0.25">
      <c r="A3" s="3">
        <v>2</v>
      </c>
      <c r="B3" s="1" t="s">
        <v>72</v>
      </c>
      <c r="C3" s="74">
        <v>5078.33</v>
      </c>
      <c r="D3" s="144">
        <f t="shared" ref="D3:D37" si="0">-0.0068*A3^6 + 0.5634*A3^5 - 16.744*A3^4 + 214.56*A3^3 - 1048.6*A3^2 + 459.03*A3 + 7964.1</f>
        <v>6153.9296000000013</v>
      </c>
      <c r="E3" s="145">
        <f t="shared" ref="E3:E24" si="1">C3-D3</f>
        <v>-1075.5996000000014</v>
      </c>
      <c r="G3" s="1">
        <v>2</v>
      </c>
      <c r="H3" s="14">
        <v>-1075.5996000000014</v>
      </c>
      <c r="I3" s="14">
        <v>-603.09280000011495</v>
      </c>
      <c r="J3" s="14">
        <f t="shared" ref="J3:J13" si="2">H3+I3</f>
        <v>-1678.6924000001163</v>
      </c>
      <c r="K3" s="14">
        <f t="shared" ref="K3:K12" si="3">AVERAGE(H3:I3)</f>
        <v>-839.34620000005816</v>
      </c>
      <c r="L3" s="14">
        <f t="shared" ref="L3:L13" si="4">K3/$K$14</f>
        <v>0.11567372972587395</v>
      </c>
      <c r="N3" s="144">
        <f t="shared" ref="N3:N37" si="5" xml:space="preserve"> 2.0463*A3 + 4134.8</f>
        <v>4138.8926000000001</v>
      </c>
      <c r="O3" s="145">
        <f t="shared" ref="O3:O37" si="6">C3-N3</f>
        <v>939.4373999999998</v>
      </c>
      <c r="P3" s="145"/>
    </row>
    <row r="4" spans="1:16" x14ac:dyDescent="0.25">
      <c r="A4" s="3">
        <v>3</v>
      </c>
      <c r="B4" s="1" t="s">
        <v>73</v>
      </c>
      <c r="C4" s="74">
        <v>4507.2</v>
      </c>
      <c r="D4" s="144">
        <f t="shared" si="0"/>
        <v>4472.5950000000012</v>
      </c>
      <c r="E4" s="145">
        <f t="shared" si="1"/>
        <v>34.604999999998654</v>
      </c>
      <c r="G4" s="1">
        <v>3</v>
      </c>
      <c r="H4" s="14">
        <v>34.604999999998654</v>
      </c>
      <c r="I4" s="14">
        <v>-807.25500000002921</v>
      </c>
      <c r="J4" s="14">
        <f t="shared" si="2"/>
        <v>-772.65000000003056</v>
      </c>
      <c r="K4" s="14">
        <f t="shared" si="3"/>
        <v>-386.32500000001528</v>
      </c>
      <c r="L4" s="14">
        <f t="shared" si="4"/>
        <v>5.3241026928276945E-2</v>
      </c>
      <c r="N4" s="144">
        <f t="shared" si="5"/>
        <v>4140.9389000000001</v>
      </c>
      <c r="O4" s="145">
        <f t="shared" si="6"/>
        <v>366.26109999999971</v>
      </c>
      <c r="P4" s="145"/>
    </row>
    <row r="5" spans="1:16" x14ac:dyDescent="0.25">
      <c r="A5" s="3">
        <v>4</v>
      </c>
      <c r="B5" s="1" t="s">
        <v>74</v>
      </c>
      <c r="C5" s="74">
        <v>2257.19</v>
      </c>
      <c r="D5" s="144">
        <f t="shared" si="0"/>
        <v>3017.0648000000028</v>
      </c>
      <c r="E5" s="145">
        <f t="shared" si="1"/>
        <v>-759.87480000000278</v>
      </c>
      <c r="G5" s="1">
        <v>4</v>
      </c>
      <c r="H5" s="14">
        <v>-759.87480000000278</v>
      </c>
      <c r="I5" s="14">
        <v>-2569.6956000000519</v>
      </c>
      <c r="J5" s="14">
        <f t="shared" si="2"/>
        <v>-3329.5704000000546</v>
      </c>
      <c r="K5" s="14">
        <f t="shared" si="3"/>
        <v>-1664.7852000000273</v>
      </c>
      <c r="L5" s="14">
        <f t="shared" si="4"/>
        <v>0.22943085138936095</v>
      </c>
      <c r="N5" s="144">
        <f t="shared" si="5"/>
        <v>4142.9852000000001</v>
      </c>
      <c r="O5" s="145">
        <f t="shared" si="6"/>
        <v>-1885.7952</v>
      </c>
      <c r="P5" s="145"/>
    </row>
    <row r="6" spans="1:16" x14ac:dyDescent="0.25">
      <c r="A6" s="3">
        <v>5</v>
      </c>
      <c r="B6" s="1" t="s">
        <v>75</v>
      </c>
      <c r="C6" s="74">
        <v>3400.69</v>
      </c>
      <c r="D6" s="144">
        <f t="shared" si="0"/>
        <v>2053.6250000000036</v>
      </c>
      <c r="E6" s="145">
        <f t="shared" si="1"/>
        <v>1347.0649999999964</v>
      </c>
      <c r="G6" s="1">
        <v>5</v>
      </c>
      <c r="H6" s="14">
        <v>1347.0649999999964</v>
      </c>
      <c r="I6" s="14">
        <v>-451.07060000005822</v>
      </c>
      <c r="J6" s="14">
        <f t="shared" si="2"/>
        <v>895.9943999999382</v>
      </c>
      <c r="K6" s="14">
        <f t="shared" si="3"/>
        <v>447.9971999999691</v>
      </c>
      <c r="L6" s="14">
        <f t="shared" si="4"/>
        <v>-6.1740324827515909E-2</v>
      </c>
      <c r="N6" s="144">
        <f t="shared" si="5"/>
        <v>4145.0315000000001</v>
      </c>
      <c r="O6" s="145">
        <f t="shared" si="6"/>
        <v>-744.3415</v>
      </c>
      <c r="P6" s="145"/>
    </row>
    <row r="7" spans="1:16" x14ac:dyDescent="0.25">
      <c r="A7" s="3">
        <v>6</v>
      </c>
      <c r="B7" s="1" t="s">
        <v>76</v>
      </c>
      <c r="C7" s="74">
        <v>2968.71</v>
      </c>
      <c r="D7" s="144">
        <f t="shared" si="0"/>
        <v>1677.1536000000033</v>
      </c>
      <c r="E7" s="145">
        <f t="shared" si="1"/>
        <v>1291.5563999999968</v>
      </c>
      <c r="G7" s="1">
        <v>6</v>
      </c>
      <c r="H7" s="14">
        <v>1291.5563999999968</v>
      </c>
      <c r="I7" s="14">
        <v>-109.92399999976806</v>
      </c>
      <c r="J7" s="14">
        <f t="shared" si="2"/>
        <v>1181.6324000002287</v>
      </c>
      <c r="K7" s="14">
        <f t="shared" si="3"/>
        <v>590.81620000011435</v>
      </c>
      <c r="L7" s="14">
        <f t="shared" si="4"/>
        <v>-8.1422794833021686E-2</v>
      </c>
      <c r="N7" s="144">
        <f t="shared" si="5"/>
        <v>4147.0778</v>
      </c>
      <c r="O7" s="145">
        <f t="shared" si="6"/>
        <v>-1178.3678</v>
      </c>
      <c r="P7" s="145"/>
    </row>
    <row r="8" spans="1:16" x14ac:dyDescent="0.25">
      <c r="A8" s="3">
        <v>7</v>
      </c>
      <c r="B8" s="1" t="s">
        <v>65</v>
      </c>
      <c r="C8" s="74">
        <v>2147.14</v>
      </c>
      <c r="D8" s="144">
        <f t="shared" si="0"/>
        <v>1856.6966000000129</v>
      </c>
      <c r="E8" s="145">
        <f t="shared" si="1"/>
        <v>290.44339999998692</v>
      </c>
      <c r="G8" s="1">
        <v>7</v>
      </c>
      <c r="H8" s="14">
        <v>290.44339999998692</v>
      </c>
      <c r="I8" s="14">
        <v>-473.62180000013223</v>
      </c>
      <c r="J8" s="14">
        <f t="shared" si="2"/>
        <v>-183.1784000001453</v>
      </c>
      <c r="K8" s="14">
        <f t="shared" si="3"/>
        <v>-91.589200000072651</v>
      </c>
      <c r="L8" s="14">
        <f t="shared" si="4"/>
        <v>1.2622281922068252E-2</v>
      </c>
      <c r="N8" s="144">
        <f t="shared" si="5"/>
        <v>4149.1241</v>
      </c>
      <c r="O8" s="145">
        <f t="shared" si="6"/>
        <v>-2001.9841000000001</v>
      </c>
      <c r="P8" s="145"/>
    </row>
    <row r="9" spans="1:16" x14ac:dyDescent="0.25">
      <c r="A9" s="3">
        <v>8</v>
      </c>
      <c r="B9" s="1" t="s">
        <v>66</v>
      </c>
      <c r="C9" s="74">
        <v>1325.56</v>
      </c>
      <c r="D9" s="144">
        <f t="shared" si="0"/>
        <v>2476.1480000000047</v>
      </c>
      <c r="E9" s="145">
        <f t="shared" si="1"/>
        <v>-1150.5880000000047</v>
      </c>
      <c r="G9" s="1">
        <v>8</v>
      </c>
      <c r="H9" s="14">
        <v>-1150.5880000000047</v>
      </c>
      <c r="I9" s="14">
        <v>-1366.5800000000572</v>
      </c>
      <c r="J9" s="14">
        <f t="shared" si="2"/>
        <v>-2517.168000000062</v>
      </c>
      <c r="K9" s="14">
        <f t="shared" si="3"/>
        <v>-1258.584000000031</v>
      </c>
      <c r="L9" s="14">
        <f t="shared" si="4"/>
        <v>0.17345060411699348</v>
      </c>
      <c r="N9" s="144">
        <f t="shared" si="5"/>
        <v>4151.1704</v>
      </c>
      <c r="O9" s="145">
        <f t="shared" si="6"/>
        <v>-2825.6104</v>
      </c>
      <c r="P9" s="145"/>
    </row>
    <row r="10" spans="1:16" x14ac:dyDescent="0.25">
      <c r="A10" s="3">
        <v>9</v>
      </c>
      <c r="B10" s="1" t="s">
        <v>67</v>
      </c>
      <c r="C10" s="74">
        <v>2290.9499999999998</v>
      </c>
      <c r="D10" s="144">
        <f t="shared" si="0"/>
        <v>3370.0337999999947</v>
      </c>
      <c r="E10" s="145">
        <f t="shared" si="1"/>
        <v>-1079.0837999999949</v>
      </c>
      <c r="G10" s="1">
        <v>9</v>
      </c>
      <c r="H10" s="14">
        <v>-1079.0837999999949</v>
      </c>
      <c r="I10" s="14">
        <v>-1074.2566000001452</v>
      </c>
      <c r="J10" s="14">
        <f t="shared" si="2"/>
        <v>-2153.3404000001401</v>
      </c>
      <c r="K10" s="14">
        <f t="shared" si="3"/>
        <v>-1076.6702000000701</v>
      </c>
      <c r="L10" s="14">
        <f t="shared" si="4"/>
        <v>0.14838031996654316</v>
      </c>
      <c r="N10" s="144">
        <f t="shared" si="5"/>
        <v>4153.2166999999999</v>
      </c>
      <c r="O10" s="145">
        <f t="shared" si="6"/>
        <v>-1862.2667000000001</v>
      </c>
      <c r="P10" s="145"/>
    </row>
    <row r="11" spans="1:16" x14ac:dyDescent="0.25">
      <c r="A11" s="3">
        <v>10</v>
      </c>
      <c r="B11" s="1" t="s">
        <v>68</v>
      </c>
      <c r="C11" s="74">
        <v>2953.34</v>
      </c>
      <c r="D11" s="144">
        <f t="shared" si="0"/>
        <v>4354.4000000000142</v>
      </c>
      <c r="E11" s="145">
        <f t="shared" si="1"/>
        <v>-1401.060000000014</v>
      </c>
      <c r="G11" s="1">
        <v>10</v>
      </c>
      <c r="H11" s="14">
        <v>-1401.060000000014</v>
      </c>
      <c r="I11" s="14">
        <v>-2117.0275999997721</v>
      </c>
      <c r="J11" s="14">
        <f t="shared" si="2"/>
        <v>-3518.0875999997861</v>
      </c>
      <c r="K11" s="14">
        <f t="shared" si="3"/>
        <v>-1759.0437999998931</v>
      </c>
      <c r="L11" s="14">
        <f t="shared" si="4"/>
        <v>0.24242101423363543</v>
      </c>
      <c r="N11" s="144">
        <f t="shared" si="5"/>
        <v>4155.2629999999999</v>
      </c>
      <c r="O11" s="145">
        <f t="shared" si="6"/>
        <v>-1201.9229999999998</v>
      </c>
      <c r="P11" s="145"/>
    </row>
    <row r="12" spans="1:16" x14ac:dyDescent="0.25">
      <c r="A12" s="3">
        <v>11</v>
      </c>
      <c r="B12" s="1" t="s">
        <v>69</v>
      </c>
      <c r="C12" s="74">
        <v>4216.28</v>
      </c>
      <c r="D12" s="144">
        <f t="shared" si="0"/>
        <v>5252.8045999999958</v>
      </c>
      <c r="E12" s="145">
        <f t="shared" si="1"/>
        <v>-1036.5245999999961</v>
      </c>
      <c r="G12" s="1">
        <v>11</v>
      </c>
      <c r="H12" s="14">
        <v>-1036.5245999999961</v>
      </c>
      <c r="I12" s="14">
        <v>-3659.8970000004574</v>
      </c>
      <c r="J12" s="14">
        <f t="shared" si="2"/>
        <v>-4696.4216000004535</v>
      </c>
      <c r="K12" s="14">
        <f t="shared" si="3"/>
        <v>-2348.2108000002268</v>
      </c>
      <c r="L12" s="14">
        <f t="shared" si="4"/>
        <v>0.32361652607539731</v>
      </c>
      <c r="N12" s="144">
        <f t="shared" si="5"/>
        <v>4157.3092999999999</v>
      </c>
      <c r="O12" s="145">
        <f t="shared" si="6"/>
        <v>58.970699999999852</v>
      </c>
      <c r="P12" s="145"/>
    </row>
    <row r="13" spans="1:16" x14ac:dyDescent="0.25">
      <c r="A13" s="3">
        <v>12</v>
      </c>
      <c r="B13" s="1" t="s">
        <v>70</v>
      </c>
      <c r="C13" s="74">
        <v>8227.5689999999995</v>
      </c>
      <c r="D13" s="144">
        <f t="shared" si="0"/>
        <v>5917.4136000000371</v>
      </c>
      <c r="E13" s="145">
        <f t="shared" si="1"/>
        <v>2310.1553999999624</v>
      </c>
      <c r="G13" s="1">
        <v>12</v>
      </c>
      <c r="H13" s="14">
        <v>2310.1553999999624</v>
      </c>
      <c r="I13" s="14">
        <v>-3399.1144000007316</v>
      </c>
      <c r="J13" s="14">
        <f t="shared" si="2"/>
        <v>-1088.9590000007693</v>
      </c>
      <c r="K13" s="14">
        <f>AVERAGE(H13:I13)</f>
        <v>-544.47950000038463</v>
      </c>
      <c r="L13" s="14">
        <f t="shared" si="4"/>
        <v>7.5036944855792653E-2</v>
      </c>
      <c r="N13" s="144">
        <f t="shared" si="5"/>
        <v>4159.3555999999999</v>
      </c>
      <c r="O13" s="145">
        <f t="shared" si="6"/>
        <v>4068.2133999999996</v>
      </c>
      <c r="P13" s="145"/>
    </row>
    <row r="14" spans="1:16" x14ac:dyDescent="0.25">
      <c r="A14" s="3">
        <v>13</v>
      </c>
      <c r="B14" s="1" t="s">
        <v>71</v>
      </c>
      <c r="C14" s="74">
        <v>8991.84</v>
      </c>
      <c r="D14" s="144">
        <f t="shared" si="0"/>
        <v>6245.2009999999809</v>
      </c>
      <c r="E14" s="145">
        <f t="shared" si="1"/>
        <v>2746.6390000000192</v>
      </c>
      <c r="J14" s="137" t="s">
        <v>143</v>
      </c>
      <c r="K14" s="76">
        <f>SUM(K2:K13)</f>
        <v>-7256.1523000006873</v>
      </c>
      <c r="L14" s="76">
        <f>SUM(L2:L13)</f>
        <v>0.99999999999999978</v>
      </c>
      <c r="N14" s="144">
        <f t="shared" si="5"/>
        <v>4161.4018999999998</v>
      </c>
      <c r="O14" s="145">
        <f>C14-N14</f>
        <v>4830.4381000000003</v>
      </c>
      <c r="P14" s="145"/>
    </row>
    <row r="15" spans="1:16" ht="30" x14ac:dyDescent="0.25">
      <c r="A15" s="3">
        <v>14</v>
      </c>
      <c r="B15" s="1" t="s">
        <v>72</v>
      </c>
      <c r="C15" s="74">
        <v>5586.16</v>
      </c>
      <c r="D15" s="144">
        <f t="shared" si="0"/>
        <v>6189.2528000001148</v>
      </c>
      <c r="E15" s="145">
        <f t="shared" si="1"/>
        <v>-603.09280000011495</v>
      </c>
      <c r="F15" s="165"/>
      <c r="I15" s="164" t="s">
        <v>144</v>
      </c>
      <c r="J15">
        <f>AVEDEV(K2:K13,L2:L14)</f>
        <v>604.48927712003899</v>
      </c>
      <c r="K15" s="163">
        <f>AVEDEV(L2:L14)</f>
        <v>0.1845674194745566</v>
      </c>
      <c r="N15" s="144">
        <f t="shared" si="5"/>
        <v>4163.4481999999998</v>
      </c>
      <c r="O15" s="145">
        <f t="shared" si="6"/>
        <v>1422.7118</v>
      </c>
    </row>
    <row r="16" spans="1:16" x14ac:dyDescent="0.25">
      <c r="A16" s="3">
        <v>15</v>
      </c>
      <c r="B16" s="1" t="s">
        <v>73</v>
      </c>
      <c r="C16" s="74">
        <v>4957.92</v>
      </c>
      <c r="D16" s="144">
        <f t="shared" si="0"/>
        <v>5765.1750000000293</v>
      </c>
      <c r="E16" s="145">
        <f t="shared" si="1"/>
        <v>-807.25500000002921</v>
      </c>
      <c r="J16" s="139" t="s">
        <v>145</v>
      </c>
      <c r="K16" s="139" t="s">
        <v>146</v>
      </c>
      <c r="N16" s="144">
        <f t="shared" si="5"/>
        <v>4165.4944999999998</v>
      </c>
      <c r="O16" s="145">
        <f t="shared" si="6"/>
        <v>792.42550000000028</v>
      </c>
    </row>
    <row r="17" spans="1:15" x14ac:dyDescent="0.25">
      <c r="A17" s="3">
        <v>16</v>
      </c>
      <c r="B17" s="1" t="s">
        <v>74</v>
      </c>
      <c r="C17" s="74">
        <v>2482.91</v>
      </c>
      <c r="D17" s="144">
        <f t="shared" si="0"/>
        <v>5052.6056000000517</v>
      </c>
      <c r="E17" s="145">
        <f t="shared" si="1"/>
        <v>-2569.6956000000519</v>
      </c>
      <c r="N17" s="144">
        <f t="shared" si="5"/>
        <v>4167.5407999999998</v>
      </c>
      <c r="O17" s="145">
        <f t="shared" si="6"/>
        <v>-1684.6307999999999</v>
      </c>
    </row>
    <row r="18" spans="1:15" x14ac:dyDescent="0.25">
      <c r="A18" s="3">
        <v>17</v>
      </c>
      <c r="B18" s="1" t="s">
        <v>75</v>
      </c>
      <c r="C18" s="74">
        <v>3740.76</v>
      </c>
      <c r="D18" s="144">
        <f t="shared" si="0"/>
        <v>4191.8306000000584</v>
      </c>
      <c r="E18" s="145">
        <f t="shared" si="1"/>
        <v>-451.07060000005822</v>
      </c>
      <c r="N18" s="144">
        <f t="shared" si="5"/>
        <v>4169.5870999999997</v>
      </c>
      <c r="O18" s="145">
        <f t="shared" si="6"/>
        <v>-428.82709999999952</v>
      </c>
    </row>
    <row r="19" spans="1:15" x14ac:dyDescent="0.25">
      <c r="A19" s="3">
        <v>18</v>
      </c>
      <c r="B19" s="1" t="s">
        <v>76</v>
      </c>
      <c r="C19" s="74">
        <v>3265.58</v>
      </c>
      <c r="D19" s="144">
        <f t="shared" si="0"/>
        <v>3375.503999999768</v>
      </c>
      <c r="E19" s="145">
        <f t="shared" si="1"/>
        <v>-109.92399999976806</v>
      </c>
      <c r="N19" s="144">
        <f t="shared" si="5"/>
        <v>4171.6334000000006</v>
      </c>
      <c r="O19" s="145">
        <f t="shared" si="6"/>
        <v>-906.05340000000069</v>
      </c>
    </row>
    <row r="20" spans="1:15" x14ac:dyDescent="0.25">
      <c r="A20" s="3">
        <v>19</v>
      </c>
      <c r="B20" s="1" t="s">
        <v>65</v>
      </c>
      <c r="C20" s="74">
        <v>2361.85</v>
      </c>
      <c r="D20" s="144">
        <f t="shared" si="0"/>
        <v>2835.4718000001321</v>
      </c>
      <c r="E20" s="145">
        <f t="shared" si="1"/>
        <v>-473.62180000013223</v>
      </c>
      <c r="N20" s="144">
        <f t="shared" si="5"/>
        <v>4173.6797000000006</v>
      </c>
      <c r="O20" s="145">
        <f t="shared" si="6"/>
        <v>-1811.8297000000007</v>
      </c>
    </row>
    <row r="21" spans="1:15" x14ac:dyDescent="0.25">
      <c r="A21" s="3">
        <v>20</v>
      </c>
      <c r="B21" s="1" t="s">
        <v>66</v>
      </c>
      <c r="C21" s="74">
        <v>1458.12</v>
      </c>
      <c r="D21" s="144">
        <f t="shared" si="0"/>
        <v>2824.7000000000571</v>
      </c>
      <c r="E21" s="145">
        <f t="shared" si="1"/>
        <v>-1366.5800000000572</v>
      </c>
      <c r="N21" s="144">
        <f t="shared" si="5"/>
        <v>4175.7260000000006</v>
      </c>
      <c r="O21" s="145">
        <f t="shared" si="6"/>
        <v>-2717.6060000000007</v>
      </c>
    </row>
    <row r="22" spans="1:15" x14ac:dyDescent="0.25">
      <c r="A22" s="3">
        <v>21</v>
      </c>
      <c r="B22" s="1" t="s">
        <v>67</v>
      </c>
      <c r="C22" s="74">
        <v>2520.0500000000002</v>
      </c>
      <c r="D22" s="144">
        <f t="shared" si="0"/>
        <v>3594.3066000001454</v>
      </c>
      <c r="E22" s="145">
        <f t="shared" si="1"/>
        <v>-1074.2566000001452</v>
      </c>
      <c r="N22" s="144">
        <f t="shared" si="5"/>
        <v>4177.7723000000005</v>
      </c>
      <c r="O22" s="145">
        <f t="shared" si="6"/>
        <v>-1657.7223000000004</v>
      </c>
    </row>
    <row r="23" spans="1:15" x14ac:dyDescent="0.25">
      <c r="A23" s="3">
        <v>22</v>
      </c>
      <c r="B23" s="1" t="s">
        <v>68</v>
      </c>
      <c r="C23" s="74">
        <v>3248.67</v>
      </c>
      <c r="D23" s="144">
        <f t="shared" si="0"/>
        <v>5365.6975999997721</v>
      </c>
      <c r="E23" s="145">
        <f t="shared" si="1"/>
        <v>-2117.0275999997721</v>
      </c>
      <c r="N23" s="144">
        <f t="shared" si="5"/>
        <v>4179.8186000000005</v>
      </c>
      <c r="O23" s="145">
        <f t="shared" si="6"/>
        <v>-931.14860000000044</v>
      </c>
    </row>
    <row r="24" spans="1:15" x14ac:dyDescent="0.25">
      <c r="A24" s="3">
        <v>23</v>
      </c>
      <c r="B24" s="1" t="s">
        <v>69</v>
      </c>
      <c r="C24" s="74">
        <v>4637.91</v>
      </c>
      <c r="D24" s="144">
        <f t="shared" si="0"/>
        <v>8297.8070000004573</v>
      </c>
      <c r="E24" s="145">
        <f t="shared" si="1"/>
        <v>-3659.8970000004574</v>
      </c>
      <c r="N24" s="144">
        <f t="shared" si="5"/>
        <v>4181.8649000000005</v>
      </c>
      <c r="O24" s="145">
        <f t="shared" si="6"/>
        <v>456.04509999999937</v>
      </c>
    </row>
    <row r="25" spans="1:15" x14ac:dyDescent="0.25">
      <c r="A25" s="3">
        <v>24</v>
      </c>
      <c r="B25" s="1" t="s">
        <v>70</v>
      </c>
      <c r="C25" s="74">
        <v>9050.3263999999999</v>
      </c>
      <c r="D25" s="144">
        <f t="shared" si="0"/>
        <v>12449.440800000732</v>
      </c>
      <c r="E25" s="145">
        <f>C25-D25</f>
        <v>-3399.1144000007316</v>
      </c>
      <c r="N25" s="144">
        <f t="shared" si="5"/>
        <v>4183.9112000000005</v>
      </c>
      <c r="O25" s="145">
        <f t="shared" si="6"/>
        <v>4866.4151999999995</v>
      </c>
    </row>
    <row r="26" spans="1:15" x14ac:dyDescent="0.25">
      <c r="A26" s="141">
        <v>25</v>
      </c>
      <c r="B26" s="2"/>
      <c r="C26" s="2"/>
      <c r="D26" s="146">
        <f t="shared" si="0"/>
        <v>17736.724999999999</v>
      </c>
      <c r="E26" s="147"/>
      <c r="N26" s="144">
        <f t="shared" si="5"/>
        <v>4185.9575000000004</v>
      </c>
      <c r="O26" s="145">
        <f t="shared" si="6"/>
        <v>-4185.9575000000004</v>
      </c>
    </row>
    <row r="27" spans="1:15" x14ac:dyDescent="0.25">
      <c r="A27" s="141">
        <v>26</v>
      </c>
      <c r="B27" s="2"/>
      <c r="C27" s="2"/>
      <c r="D27" s="146">
        <f t="shared" si="0"/>
        <v>23885.657599999795</v>
      </c>
      <c r="E27" s="148"/>
      <c r="N27" s="144">
        <f t="shared" si="5"/>
        <v>4188.0038000000004</v>
      </c>
      <c r="O27" s="145">
        <f t="shared" si="6"/>
        <v>-4188.0038000000004</v>
      </c>
    </row>
    <row r="28" spans="1:15" x14ac:dyDescent="0.25">
      <c r="A28" s="3">
        <v>27</v>
      </c>
      <c r="B28" s="2"/>
      <c r="C28" s="2"/>
      <c r="D28" s="146">
        <f t="shared" si="0"/>
        <v>30379.764600000657</v>
      </c>
      <c r="E28" s="148"/>
      <c r="N28" s="144">
        <f t="shared" si="5"/>
        <v>4190.0501000000004</v>
      </c>
      <c r="O28" s="145">
        <f t="shared" si="6"/>
        <v>-4190.0501000000004</v>
      </c>
    </row>
    <row r="29" spans="1:15" x14ac:dyDescent="0.25">
      <c r="A29" s="141">
        <v>28</v>
      </c>
      <c r="B29" s="2"/>
      <c r="C29" s="2"/>
      <c r="D29" s="146">
        <f t="shared" si="0"/>
        <v>36402.860000001325</v>
      </c>
      <c r="E29" s="148"/>
      <c r="N29" s="144">
        <f t="shared" si="5"/>
        <v>4192.0964000000004</v>
      </c>
      <c r="O29" s="145">
        <f t="shared" si="6"/>
        <v>-4192.0964000000004</v>
      </c>
    </row>
    <row r="30" spans="1:15" x14ac:dyDescent="0.25">
      <c r="A30" s="141">
        <v>29</v>
      </c>
      <c r="B30" s="2"/>
      <c r="C30" s="2"/>
      <c r="D30" s="146">
        <f t="shared" si="0"/>
        <v>40776.909800000394</v>
      </c>
      <c r="E30" s="148"/>
      <c r="N30" s="144">
        <f t="shared" si="5"/>
        <v>4194.1427000000003</v>
      </c>
      <c r="O30" s="145">
        <f t="shared" si="6"/>
        <v>-4194.1427000000003</v>
      </c>
    </row>
    <row r="31" spans="1:15" x14ac:dyDescent="0.25">
      <c r="A31" s="3">
        <v>30</v>
      </c>
      <c r="B31" s="2"/>
      <c r="C31" s="2"/>
      <c r="D31" s="146">
        <f t="shared" si="0"/>
        <v>41895.000000000116</v>
      </c>
      <c r="E31" s="148"/>
      <c r="N31" s="144">
        <f t="shared" si="5"/>
        <v>4196.1890000000003</v>
      </c>
      <c r="O31" s="145">
        <f t="shared" si="6"/>
        <v>-4196.1890000000003</v>
      </c>
    </row>
    <row r="32" spans="1:15" x14ac:dyDescent="0.25">
      <c r="A32" s="141">
        <v>31</v>
      </c>
      <c r="B32" s="2"/>
      <c r="C32" s="2"/>
      <c r="D32" s="146">
        <f t="shared" si="0"/>
        <v>37649.40860000017</v>
      </c>
      <c r="E32" s="148"/>
      <c r="N32" s="144">
        <f t="shared" si="5"/>
        <v>4198.2353000000003</v>
      </c>
      <c r="O32" s="145">
        <f t="shared" si="6"/>
        <v>-4198.2353000000003</v>
      </c>
    </row>
    <row r="33" spans="1:15" x14ac:dyDescent="0.25">
      <c r="A33" s="141">
        <v>32</v>
      </c>
      <c r="B33" s="2"/>
      <c r="C33" s="2"/>
      <c r="D33" s="146">
        <f t="shared" si="0"/>
        <v>25354.781600000279</v>
      </c>
      <c r="E33" s="148"/>
      <c r="N33" s="144">
        <f t="shared" si="5"/>
        <v>4200.2816000000003</v>
      </c>
      <c r="O33" s="145">
        <f t="shared" si="6"/>
        <v>-4200.2816000000003</v>
      </c>
    </row>
    <row r="34" spans="1:15" x14ac:dyDescent="0.25">
      <c r="A34" s="3">
        <v>33</v>
      </c>
      <c r="B34" s="2"/>
      <c r="C34" s="2"/>
      <c r="D34" s="146">
        <f t="shared" si="0"/>
        <v>1666.4130000021869</v>
      </c>
      <c r="E34" s="148"/>
      <c r="N34" s="144">
        <f t="shared" si="5"/>
        <v>4202.3279000000002</v>
      </c>
      <c r="O34" s="145">
        <f t="shared" si="6"/>
        <v>-4202.3279000000002</v>
      </c>
    </row>
    <row r="35" spans="1:15" x14ac:dyDescent="0.25">
      <c r="A35" s="141">
        <v>34</v>
      </c>
      <c r="B35" s="2"/>
      <c r="C35" s="2"/>
      <c r="D35" s="146">
        <f t="shared" si="0"/>
        <v>-37506.371200000285</v>
      </c>
      <c r="E35" s="148"/>
      <c r="N35" s="144">
        <f t="shared" si="5"/>
        <v>4204.3742000000002</v>
      </c>
      <c r="O35" s="145">
        <f t="shared" si="6"/>
        <v>-4204.3742000000002</v>
      </c>
    </row>
    <row r="36" spans="1:15" x14ac:dyDescent="0.25">
      <c r="A36" s="141">
        <v>35</v>
      </c>
      <c r="B36" s="2"/>
      <c r="C36" s="2"/>
      <c r="D36" s="146">
        <f t="shared" si="0"/>
        <v>-97091.724999999991</v>
      </c>
      <c r="E36" s="148"/>
      <c r="N36" s="144">
        <f t="shared" si="5"/>
        <v>4206.4205000000002</v>
      </c>
      <c r="O36" s="145">
        <f t="shared" si="6"/>
        <v>-4206.4205000000002</v>
      </c>
    </row>
    <row r="37" spans="1:15" ht="15.75" thickBot="1" x14ac:dyDescent="0.3">
      <c r="A37" s="3">
        <v>36</v>
      </c>
      <c r="B37" s="2"/>
      <c r="C37" s="2"/>
      <c r="D37" s="149">
        <f t="shared" si="0"/>
        <v>-182951.69040000247</v>
      </c>
      <c r="E37" s="150"/>
      <c r="N37" s="153">
        <f t="shared" si="5"/>
        <v>4208.4668000000001</v>
      </c>
      <c r="O37" s="154">
        <f t="shared" si="6"/>
        <v>-4208.4668000000001</v>
      </c>
    </row>
    <row r="60" spans="9:9" x14ac:dyDescent="0.25">
      <c r="I60">
        <f>-0.0068*A2^6 + 0.5634*A2^5 - 16.744*A2^4 + 214.56*A2^3 - 1048.6*A2^2 + 459.03*A2 + 7964.1</f>
        <v>7572.9026000000003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80" zoomScaleNormal="80" workbookViewId="0">
      <selection activeCell="M7" sqref="M7"/>
    </sheetView>
  </sheetViews>
  <sheetFormatPr defaultRowHeight="15" x14ac:dyDescent="0.25"/>
  <cols>
    <col min="2" max="2" width="10.5703125" customWidth="1"/>
    <col min="3" max="3" width="21.5703125" customWidth="1"/>
    <col min="4" max="4" width="17.42578125" customWidth="1"/>
    <col min="5" max="5" width="16.42578125" customWidth="1"/>
    <col min="6" max="6" width="19.28515625" customWidth="1"/>
    <col min="7" max="7" width="19.5703125" customWidth="1"/>
    <col min="8" max="8" width="14" customWidth="1"/>
    <col min="9" max="9" width="20.7109375" customWidth="1"/>
    <col min="10" max="10" width="11.140625" customWidth="1"/>
    <col min="11" max="11" width="19" customWidth="1"/>
    <col min="12" max="12" width="13.140625" customWidth="1"/>
    <col min="13" max="13" width="13.7109375" customWidth="1"/>
    <col min="16" max="16" width="21.42578125" customWidth="1"/>
    <col min="20" max="20" width="16" customWidth="1"/>
    <col min="25" max="25" width="18.85546875" customWidth="1"/>
    <col min="30" max="30" width="16.5703125" customWidth="1"/>
  </cols>
  <sheetData>
    <row r="1" spans="1:30" ht="63.75" customHeight="1" x14ac:dyDescent="0.25">
      <c r="A1" s="3" t="s">
        <v>60</v>
      </c>
      <c r="B1" s="3" t="s">
        <v>77</v>
      </c>
      <c r="C1" s="74" t="s">
        <v>160</v>
      </c>
      <c r="D1" s="173" t="s">
        <v>137</v>
      </c>
      <c r="E1" s="174" t="s">
        <v>158</v>
      </c>
      <c r="F1" s="166" t="s">
        <v>149</v>
      </c>
      <c r="G1" s="166" t="s">
        <v>150</v>
      </c>
      <c r="H1" t="s">
        <v>159</v>
      </c>
      <c r="I1" t="s">
        <v>161</v>
      </c>
      <c r="J1" t="s">
        <v>162</v>
      </c>
      <c r="K1" s="167" t="s">
        <v>151</v>
      </c>
      <c r="P1" s="167" t="s">
        <v>156</v>
      </c>
    </row>
    <row r="2" spans="1:30" ht="60" x14ac:dyDescent="0.25">
      <c r="A2" s="3">
        <v>1</v>
      </c>
      <c r="B2" s="1" t="s">
        <v>71</v>
      </c>
      <c r="C2" s="138">
        <v>8174.4</v>
      </c>
      <c r="D2" s="1">
        <f>2.046*A2 + 4134</f>
        <v>4136.0460000000003</v>
      </c>
      <c r="E2" s="1">
        <f t="shared" ref="E2:E36" si="0" xml:space="preserve"> -0.0068*A2^6 + 0.5634*A2^5 - 16.744*A2^4 + 214.56*A2^3 - 1048.6*A2^2 + 459.03*A2 + 7964.1</f>
        <v>7572.9026000000003</v>
      </c>
      <c r="F2" s="140">
        <f>C2-E2</f>
        <v>601.49739999999929</v>
      </c>
      <c r="G2" s="140">
        <f>C2-D2</f>
        <v>4038.3539999999994</v>
      </c>
      <c r="H2" s="165">
        <f t="shared" ref="H2:H13" si="1">E2+Y3</f>
        <v>9851.6501583333993</v>
      </c>
      <c r="I2" s="165">
        <f>C2-H2</f>
        <v>-1677.2501583333997</v>
      </c>
      <c r="J2" s="165">
        <f>E2+I2</f>
        <v>5895.6524416666007</v>
      </c>
      <c r="K2">
        <f>ABS(F2)/C2</f>
        <v>7.3583064200430523E-2</v>
      </c>
      <c r="L2" t="s">
        <v>2</v>
      </c>
      <c r="M2" s="175">
        <f>AVERAGE(K2:K25)</f>
        <v>0.37841795089035912</v>
      </c>
      <c r="U2" s="3" t="s">
        <v>147</v>
      </c>
      <c r="V2" s="3" t="s">
        <v>148</v>
      </c>
      <c r="W2" s="37" t="s">
        <v>152</v>
      </c>
      <c r="X2" s="37" t="s">
        <v>153</v>
      </c>
      <c r="Y2" s="37" t="s">
        <v>157</v>
      </c>
      <c r="Z2" s="3" t="s">
        <v>147</v>
      </c>
      <c r="AA2" s="3" t="s">
        <v>148</v>
      </c>
      <c r="AB2" s="37" t="s">
        <v>152</v>
      </c>
      <c r="AC2" s="37" t="s">
        <v>153</v>
      </c>
      <c r="AD2" s="37" t="s">
        <v>138</v>
      </c>
    </row>
    <row r="3" spans="1:30" x14ac:dyDescent="0.25">
      <c r="A3" s="3">
        <v>2</v>
      </c>
      <c r="B3" s="1" t="s">
        <v>72</v>
      </c>
      <c r="C3" s="74">
        <v>5078.33</v>
      </c>
      <c r="D3" s="1">
        <f t="shared" ref="D3:D37" si="2">2.046*A3 + 4134</f>
        <v>4138.0919999999996</v>
      </c>
      <c r="E3" s="1">
        <f t="shared" si="0"/>
        <v>6153.9296000000013</v>
      </c>
      <c r="F3" s="140">
        <f t="shared" ref="F3:F25" si="3">C3-E3</f>
        <v>-1075.5996000000014</v>
      </c>
      <c r="G3" s="140">
        <f t="shared" ref="G3:G25" si="4">C3-D3</f>
        <v>940.23800000000028</v>
      </c>
      <c r="H3" s="165">
        <f t="shared" si="1"/>
        <v>5919.2627583333342</v>
      </c>
      <c r="I3" s="165">
        <f t="shared" ref="I3:I13" si="5">C3-H3</f>
        <v>-840.93275833333428</v>
      </c>
      <c r="J3" s="165">
        <f t="shared" ref="J3:J13" si="6">E3+I3</f>
        <v>5312.996841666667</v>
      </c>
      <c r="K3">
        <f t="shared" ref="K3:K25" si="7">ABS(F3)/C3</f>
        <v>0.21180183249217782</v>
      </c>
      <c r="L3" t="s">
        <v>164</v>
      </c>
      <c r="U3" s="3">
        <f t="shared" ref="U3:U14" si="8">C2-E2</f>
        <v>601.49739999999929</v>
      </c>
      <c r="V3" s="3">
        <f t="shared" ref="V3:V14" si="9">C14-E14</f>
        <v>2746.6390000000192</v>
      </c>
      <c r="W3" s="3">
        <f>U3+V3</f>
        <v>3348.1364000000185</v>
      </c>
      <c r="X3" s="140">
        <f>AVERAGE(U3:V3)</f>
        <v>1674.0682000000093</v>
      </c>
      <c r="Y3" s="168">
        <f>X3-X16</f>
        <v>2278.7475583333999</v>
      </c>
      <c r="Z3" s="145">
        <f t="shared" ref="Z3:Z14" si="10">C2-D2</f>
        <v>4038.3539999999994</v>
      </c>
      <c r="AA3" s="145">
        <f t="shared" ref="AA3:AA14" si="11">C14-D14</f>
        <v>4831.2420000000002</v>
      </c>
      <c r="AB3" s="3">
        <f>Z3+AA3</f>
        <v>8869.5959999999995</v>
      </c>
      <c r="AC3" s="140">
        <f>AVERAGE(Z3:AA3)</f>
        <v>4434.7979999999998</v>
      </c>
      <c r="AD3" s="168">
        <f>AC3-AC16</f>
        <v>4433.9790249999996</v>
      </c>
    </row>
    <row r="4" spans="1:30" x14ac:dyDescent="0.25">
      <c r="A4" s="3">
        <v>3</v>
      </c>
      <c r="B4" s="1" t="s">
        <v>73</v>
      </c>
      <c r="C4" s="74">
        <v>4507.2</v>
      </c>
      <c r="D4" s="1">
        <f t="shared" si="2"/>
        <v>4140.1379999999999</v>
      </c>
      <c r="E4" s="1">
        <f t="shared" si="0"/>
        <v>4472.5950000000012</v>
      </c>
      <c r="F4" s="140">
        <f t="shared" si="3"/>
        <v>34.604999999998654</v>
      </c>
      <c r="G4" s="140">
        <f t="shared" si="4"/>
        <v>367.0619999999999</v>
      </c>
      <c r="H4" s="165">
        <f t="shared" si="1"/>
        <v>4690.9493583333769</v>
      </c>
      <c r="I4" s="165">
        <f t="shared" si="5"/>
        <v>-183.74935833337713</v>
      </c>
      <c r="J4" s="165">
        <f t="shared" si="6"/>
        <v>4288.845641666624</v>
      </c>
      <c r="K4">
        <f t="shared" si="7"/>
        <v>7.6777156549517785E-3</v>
      </c>
      <c r="L4" t="s">
        <v>165</v>
      </c>
      <c r="M4" s="176">
        <f>DEVSQ(K2:K25)</f>
        <v>1.937982099946747</v>
      </c>
      <c r="U4" s="3">
        <f t="shared" si="8"/>
        <v>-1075.5996000000014</v>
      </c>
      <c r="V4" s="3">
        <f t="shared" si="9"/>
        <v>-603.09280000011495</v>
      </c>
      <c r="W4" s="3">
        <f t="shared" ref="W4:W14" si="12">U4+V4</f>
        <v>-1678.6924000001163</v>
      </c>
      <c r="X4" s="140">
        <f t="shared" ref="X4:X14" si="13">AVERAGE(U4:V4)</f>
        <v>-839.34620000005816</v>
      </c>
      <c r="Y4" s="168">
        <f>X4-X16</f>
        <v>-234.66684166666755</v>
      </c>
      <c r="Z4" s="145">
        <f t="shared" si="10"/>
        <v>940.23800000000028</v>
      </c>
      <c r="AA4" s="145">
        <f t="shared" si="11"/>
        <v>1423.5159999999996</v>
      </c>
      <c r="AB4" s="3">
        <f t="shared" ref="AB4:AB13" si="14">Z4+AA4</f>
        <v>2363.7539999999999</v>
      </c>
      <c r="AC4" s="140">
        <f t="shared" ref="AC4:AC14" si="15">AVERAGE(Z4:AA4)</f>
        <v>1181.877</v>
      </c>
      <c r="AD4" s="168">
        <f>AC4-AC16</f>
        <v>1181.058025</v>
      </c>
    </row>
    <row r="5" spans="1:30" x14ac:dyDescent="0.25">
      <c r="A5" s="3">
        <v>4</v>
      </c>
      <c r="B5" s="1" t="s">
        <v>74</v>
      </c>
      <c r="C5" s="74">
        <v>2257.19</v>
      </c>
      <c r="D5" s="1">
        <f t="shared" si="2"/>
        <v>4142.1840000000002</v>
      </c>
      <c r="E5" s="1">
        <f t="shared" si="0"/>
        <v>3017.0648000000028</v>
      </c>
      <c r="F5" s="140">
        <f t="shared" si="3"/>
        <v>-759.87480000000278</v>
      </c>
      <c r="G5" s="140">
        <f t="shared" si="4"/>
        <v>-1884.9940000000001</v>
      </c>
      <c r="H5" s="165">
        <f t="shared" si="1"/>
        <v>1956.9589583333661</v>
      </c>
      <c r="I5" s="165">
        <f t="shared" si="5"/>
        <v>300.23104166663393</v>
      </c>
      <c r="J5" s="165">
        <f t="shared" si="6"/>
        <v>3317.295841666637</v>
      </c>
      <c r="K5">
        <f t="shared" si="7"/>
        <v>0.33664636118359675</v>
      </c>
      <c r="M5">
        <f>AVEDEV(K2:K25)</f>
        <v>0.22497133174521858</v>
      </c>
      <c r="U5" s="3">
        <f t="shared" si="8"/>
        <v>34.604999999998654</v>
      </c>
      <c r="V5" s="3">
        <f t="shared" si="9"/>
        <v>-807.25500000002921</v>
      </c>
      <c r="W5" s="3">
        <f t="shared" si="12"/>
        <v>-772.65000000003056</v>
      </c>
      <c r="X5" s="140">
        <f t="shared" si="13"/>
        <v>-386.32500000001528</v>
      </c>
      <c r="Y5" s="168">
        <f>X5-X16</f>
        <v>218.35435833337533</v>
      </c>
      <c r="Z5" s="145">
        <f t="shared" si="10"/>
        <v>367.0619999999999</v>
      </c>
      <c r="AA5" s="145">
        <f t="shared" si="11"/>
        <v>793.23000000000047</v>
      </c>
      <c r="AB5" s="3">
        <f t="shared" si="14"/>
        <v>1160.2920000000004</v>
      </c>
      <c r="AC5" s="140">
        <f t="shared" si="15"/>
        <v>580.14600000000019</v>
      </c>
      <c r="AD5" s="168">
        <f>AC5-AC16</f>
        <v>579.32702500000016</v>
      </c>
    </row>
    <row r="6" spans="1:30" x14ac:dyDescent="0.25">
      <c r="A6" s="3">
        <v>5</v>
      </c>
      <c r="B6" s="1" t="s">
        <v>75</v>
      </c>
      <c r="C6" s="74">
        <v>3400.69</v>
      </c>
      <c r="D6" s="1">
        <f t="shared" si="2"/>
        <v>4144.2299999999996</v>
      </c>
      <c r="E6" s="1">
        <f t="shared" si="0"/>
        <v>2053.6250000000036</v>
      </c>
      <c r="F6" s="140">
        <f t="shared" si="3"/>
        <v>1347.0649999999964</v>
      </c>
      <c r="G6" s="140">
        <f t="shared" si="4"/>
        <v>-743.53999999999951</v>
      </c>
      <c r="H6" s="165">
        <f t="shared" si="1"/>
        <v>3106.3015583333636</v>
      </c>
      <c r="I6" s="165">
        <f t="shared" si="5"/>
        <v>294.38844166663648</v>
      </c>
      <c r="J6" s="165">
        <f t="shared" si="6"/>
        <v>2348.0134416666401</v>
      </c>
      <c r="K6">
        <f t="shared" si="7"/>
        <v>0.39611520015055662</v>
      </c>
      <c r="U6" s="3">
        <f t="shared" si="8"/>
        <v>-759.87480000000278</v>
      </c>
      <c r="V6" s="3">
        <f t="shared" si="9"/>
        <v>-2569.6956000000519</v>
      </c>
      <c r="W6" s="3">
        <f t="shared" si="12"/>
        <v>-3329.5704000000546</v>
      </c>
      <c r="X6" s="140">
        <f t="shared" si="13"/>
        <v>-1664.7852000000273</v>
      </c>
      <c r="Y6" s="168">
        <f>X6-X16</f>
        <v>-1060.1058416666367</v>
      </c>
      <c r="Z6" s="145">
        <f t="shared" si="10"/>
        <v>-1884.9940000000001</v>
      </c>
      <c r="AA6" s="145">
        <f t="shared" si="11"/>
        <v>-1683.826</v>
      </c>
      <c r="AB6" s="3">
        <f t="shared" si="14"/>
        <v>-3568.82</v>
      </c>
      <c r="AC6" s="140">
        <f t="shared" si="15"/>
        <v>-1784.41</v>
      </c>
      <c r="AD6" s="168">
        <f>AC6-AC16</f>
        <v>-1785.228975</v>
      </c>
    </row>
    <row r="7" spans="1:30" x14ac:dyDescent="0.25">
      <c r="A7" s="3">
        <v>6</v>
      </c>
      <c r="B7" s="1" t="s">
        <v>76</v>
      </c>
      <c r="C7" s="74">
        <v>2968.71</v>
      </c>
      <c r="D7" s="1">
        <f t="shared" si="2"/>
        <v>4146.2759999999998</v>
      </c>
      <c r="E7" s="1">
        <f t="shared" si="0"/>
        <v>1677.1536000000033</v>
      </c>
      <c r="F7" s="140">
        <f t="shared" si="3"/>
        <v>1291.5563999999968</v>
      </c>
      <c r="G7" s="140">
        <f t="shared" si="4"/>
        <v>-1177.5659999999998</v>
      </c>
      <c r="H7" s="165">
        <f t="shared" si="1"/>
        <v>2872.6491583335082</v>
      </c>
      <c r="I7" s="165">
        <f t="shared" si="5"/>
        <v>96.060841666491797</v>
      </c>
      <c r="J7" s="165">
        <f t="shared" si="6"/>
        <v>1773.2144416664951</v>
      </c>
      <c r="K7">
        <f t="shared" si="7"/>
        <v>0.43505643865517235</v>
      </c>
      <c r="U7" s="3">
        <f t="shared" si="8"/>
        <v>1347.0649999999964</v>
      </c>
      <c r="V7" s="3">
        <f t="shared" si="9"/>
        <v>-451.07060000005822</v>
      </c>
      <c r="W7" s="3">
        <f t="shared" si="12"/>
        <v>895.9943999999382</v>
      </c>
      <c r="X7" s="140">
        <f t="shared" si="13"/>
        <v>447.9971999999691</v>
      </c>
      <c r="Y7" s="168">
        <f>X7-X16</f>
        <v>1052.6765583333597</v>
      </c>
      <c r="Z7" s="145">
        <f t="shared" si="10"/>
        <v>-743.53999999999951</v>
      </c>
      <c r="AA7" s="145">
        <f t="shared" si="11"/>
        <v>-428.02199999999993</v>
      </c>
      <c r="AB7" s="3">
        <f t="shared" si="14"/>
        <v>-1171.5619999999994</v>
      </c>
      <c r="AC7" s="140">
        <f t="shared" si="15"/>
        <v>-585.78099999999972</v>
      </c>
      <c r="AD7" s="168">
        <f>AC7-AC16</f>
        <v>-586.59997499999974</v>
      </c>
    </row>
    <row r="8" spans="1:30" x14ac:dyDescent="0.25">
      <c r="A8" s="3">
        <v>7</v>
      </c>
      <c r="B8" s="1" t="s">
        <v>65</v>
      </c>
      <c r="C8" s="74">
        <v>2147.14</v>
      </c>
      <c r="D8" s="1">
        <f t="shared" si="2"/>
        <v>4148.3220000000001</v>
      </c>
      <c r="E8" s="1">
        <f t="shared" si="0"/>
        <v>1856.6966000000129</v>
      </c>
      <c r="F8" s="140">
        <f t="shared" si="3"/>
        <v>290.44339999998692</v>
      </c>
      <c r="G8" s="140">
        <f t="shared" si="4"/>
        <v>-2001.1820000000002</v>
      </c>
      <c r="H8" s="165">
        <f t="shared" si="1"/>
        <v>2369.7867583333309</v>
      </c>
      <c r="I8" s="165">
        <f t="shared" si="5"/>
        <v>-222.64675833333104</v>
      </c>
      <c r="J8" s="165">
        <f t="shared" si="6"/>
        <v>1634.0498416666819</v>
      </c>
      <c r="K8">
        <f t="shared" si="7"/>
        <v>0.13526989390537503</v>
      </c>
      <c r="U8" s="3">
        <f t="shared" si="8"/>
        <v>1291.5563999999968</v>
      </c>
      <c r="V8" s="3">
        <f t="shared" si="9"/>
        <v>-109.92399999976806</v>
      </c>
      <c r="W8" s="3">
        <f t="shared" si="12"/>
        <v>1181.6324000002287</v>
      </c>
      <c r="X8" s="140">
        <f t="shared" si="13"/>
        <v>590.81620000011435</v>
      </c>
      <c r="Y8" s="168">
        <f>X8-X16</f>
        <v>1195.495558333505</v>
      </c>
      <c r="Z8" s="145">
        <f t="shared" si="10"/>
        <v>-1177.5659999999998</v>
      </c>
      <c r="AA8" s="145">
        <f t="shared" si="11"/>
        <v>-905.2480000000005</v>
      </c>
      <c r="AB8" s="3">
        <f t="shared" si="14"/>
        <v>-2082.8140000000003</v>
      </c>
      <c r="AC8" s="140">
        <f t="shared" si="15"/>
        <v>-1041.4070000000002</v>
      </c>
      <c r="AD8" s="168">
        <f>AC8-AC16</f>
        <v>-1042.2259750000001</v>
      </c>
    </row>
    <row r="9" spans="1:30" x14ac:dyDescent="0.25">
      <c r="A9" s="3">
        <v>8</v>
      </c>
      <c r="B9" s="1" t="s">
        <v>66</v>
      </c>
      <c r="C9" s="74">
        <v>1325.56</v>
      </c>
      <c r="D9" s="1">
        <f t="shared" si="2"/>
        <v>4150.3680000000004</v>
      </c>
      <c r="E9" s="1">
        <f t="shared" si="0"/>
        <v>2476.1480000000047</v>
      </c>
      <c r="F9" s="140">
        <f t="shared" si="3"/>
        <v>-1150.5880000000047</v>
      </c>
      <c r="G9" s="140">
        <f t="shared" si="4"/>
        <v>-2824.8080000000004</v>
      </c>
      <c r="H9" s="165">
        <f t="shared" si="1"/>
        <v>1822.2433583333643</v>
      </c>
      <c r="I9" s="165">
        <f t="shared" si="5"/>
        <v>-496.68335833336437</v>
      </c>
      <c r="J9" s="165">
        <f t="shared" si="6"/>
        <v>1979.4646416666403</v>
      </c>
      <c r="K9">
        <f t="shared" si="7"/>
        <v>0.86800144844443461</v>
      </c>
      <c r="U9" s="3">
        <f t="shared" si="8"/>
        <v>290.44339999998692</v>
      </c>
      <c r="V9" s="3">
        <f t="shared" si="9"/>
        <v>-473.62180000013223</v>
      </c>
      <c r="W9" s="3">
        <f t="shared" si="12"/>
        <v>-183.1784000001453</v>
      </c>
      <c r="X9" s="140">
        <f t="shared" si="13"/>
        <v>-91.589200000072651</v>
      </c>
      <c r="Y9" s="168">
        <f>X9-X16</f>
        <v>513.09015833331796</v>
      </c>
      <c r="Z9" s="145">
        <f t="shared" si="10"/>
        <v>-2001.1820000000002</v>
      </c>
      <c r="AA9" s="145">
        <f t="shared" si="11"/>
        <v>-1811.0239999999999</v>
      </c>
      <c r="AB9" s="3">
        <f t="shared" si="14"/>
        <v>-3812.2060000000001</v>
      </c>
      <c r="AC9" s="140">
        <f t="shared" si="15"/>
        <v>-1906.1030000000001</v>
      </c>
      <c r="AD9" s="168">
        <f>AC9-AC16</f>
        <v>-1906.921975</v>
      </c>
    </row>
    <row r="10" spans="1:30" x14ac:dyDescent="0.25">
      <c r="A10" s="3">
        <v>9</v>
      </c>
      <c r="B10" s="1" t="s">
        <v>67</v>
      </c>
      <c r="C10" s="74">
        <v>2290.9499999999998</v>
      </c>
      <c r="D10" s="1">
        <f t="shared" si="2"/>
        <v>4152.4139999999998</v>
      </c>
      <c r="E10" s="1">
        <f t="shared" si="0"/>
        <v>3370.0337999999947</v>
      </c>
      <c r="F10" s="140">
        <f t="shared" si="3"/>
        <v>-1079.0837999999949</v>
      </c>
      <c r="G10" s="140">
        <f t="shared" si="4"/>
        <v>-1861.4639999999999</v>
      </c>
      <c r="H10" s="165">
        <f t="shared" si="1"/>
        <v>2898.0429583333153</v>
      </c>
      <c r="I10" s="165">
        <f t="shared" si="5"/>
        <v>-607.09295833331544</v>
      </c>
      <c r="J10" s="165">
        <f t="shared" si="6"/>
        <v>2762.9408416666793</v>
      </c>
      <c r="K10">
        <f t="shared" si="7"/>
        <v>0.47102023178157315</v>
      </c>
      <c r="U10" s="3">
        <f t="shared" si="8"/>
        <v>-1150.5880000000047</v>
      </c>
      <c r="V10" s="3">
        <f t="shared" si="9"/>
        <v>-1366.5800000000572</v>
      </c>
      <c r="W10" s="3">
        <f t="shared" si="12"/>
        <v>-2517.168000000062</v>
      </c>
      <c r="X10" s="140">
        <f t="shared" si="13"/>
        <v>-1258.584000000031</v>
      </c>
      <c r="Y10" s="168">
        <f>X10-X16</f>
        <v>-653.90464166664037</v>
      </c>
      <c r="Z10" s="145">
        <f t="shared" si="10"/>
        <v>-2824.8080000000004</v>
      </c>
      <c r="AA10" s="145">
        <f t="shared" si="11"/>
        <v>-2716.8</v>
      </c>
      <c r="AB10" s="3">
        <f t="shared" si="14"/>
        <v>-5541.6080000000002</v>
      </c>
      <c r="AC10" s="140">
        <f t="shared" si="15"/>
        <v>-2770.8040000000001</v>
      </c>
      <c r="AD10" s="168">
        <f>AC10-AC16</f>
        <v>-2771.6229750000002</v>
      </c>
    </row>
    <row r="11" spans="1:30" x14ac:dyDescent="0.25">
      <c r="A11" s="3">
        <v>10</v>
      </c>
      <c r="B11" s="1" t="s">
        <v>68</v>
      </c>
      <c r="C11" s="74">
        <v>2953.34</v>
      </c>
      <c r="D11" s="1">
        <f t="shared" si="2"/>
        <v>4154.46</v>
      </c>
      <c r="E11" s="1">
        <f t="shared" si="0"/>
        <v>4354.4000000000142</v>
      </c>
      <c r="F11" s="140">
        <f t="shared" si="3"/>
        <v>-1401.060000000014</v>
      </c>
      <c r="G11" s="140">
        <f t="shared" si="4"/>
        <v>-1201.1199999999999</v>
      </c>
      <c r="H11" s="165">
        <f t="shared" si="1"/>
        <v>3200.0355583335117</v>
      </c>
      <c r="I11" s="165">
        <f t="shared" si="5"/>
        <v>-246.6955583335116</v>
      </c>
      <c r="J11" s="165">
        <f t="shared" si="6"/>
        <v>4107.704441666503</v>
      </c>
      <c r="K11">
        <f t="shared" si="7"/>
        <v>0.47439847765581139</v>
      </c>
      <c r="U11" s="3">
        <f t="shared" si="8"/>
        <v>-1079.0837999999949</v>
      </c>
      <c r="V11" s="3">
        <f t="shared" si="9"/>
        <v>-1074.2566000001452</v>
      </c>
      <c r="W11" s="3">
        <f t="shared" si="12"/>
        <v>-2153.3404000001401</v>
      </c>
      <c r="X11" s="140">
        <f t="shared" si="13"/>
        <v>-1076.6702000000701</v>
      </c>
      <c r="Y11" s="168">
        <f>X11-X16</f>
        <v>-471.99084166667944</v>
      </c>
      <c r="Z11" s="145">
        <f t="shared" si="10"/>
        <v>-1861.4639999999999</v>
      </c>
      <c r="AA11" s="145">
        <f t="shared" si="11"/>
        <v>-1656.9160000000002</v>
      </c>
      <c r="AB11" s="3">
        <f t="shared" si="14"/>
        <v>-3518.38</v>
      </c>
      <c r="AC11" s="140">
        <f t="shared" si="15"/>
        <v>-1759.19</v>
      </c>
      <c r="AD11" s="168">
        <f>AC11-AC16</f>
        <v>-1760.008975</v>
      </c>
    </row>
    <row r="12" spans="1:30" x14ac:dyDescent="0.25">
      <c r="A12" s="3">
        <v>11</v>
      </c>
      <c r="B12" s="1" t="s">
        <v>69</v>
      </c>
      <c r="C12" s="74">
        <v>4216.28</v>
      </c>
      <c r="D12" s="1">
        <f t="shared" si="2"/>
        <v>4156.5060000000003</v>
      </c>
      <c r="E12" s="1">
        <f t="shared" si="0"/>
        <v>5252.8045999999958</v>
      </c>
      <c r="F12" s="140">
        <f t="shared" si="3"/>
        <v>-1036.5245999999961</v>
      </c>
      <c r="G12" s="140">
        <f t="shared" si="4"/>
        <v>59.773999999999432</v>
      </c>
      <c r="H12" s="165">
        <f t="shared" si="1"/>
        <v>3509.2731583331597</v>
      </c>
      <c r="I12" s="165">
        <f t="shared" si="5"/>
        <v>707.00684166684005</v>
      </c>
      <c r="J12" s="165">
        <f t="shared" si="6"/>
        <v>5959.8114416668359</v>
      </c>
      <c r="K12">
        <f t="shared" si="7"/>
        <v>0.24583865397933632</v>
      </c>
      <c r="U12" s="3">
        <f t="shared" si="8"/>
        <v>-1401.060000000014</v>
      </c>
      <c r="V12" s="3">
        <f t="shared" si="9"/>
        <v>-2117.0275999997721</v>
      </c>
      <c r="W12" s="3">
        <f t="shared" si="12"/>
        <v>-3518.0875999997861</v>
      </c>
      <c r="X12" s="140">
        <f t="shared" si="13"/>
        <v>-1759.0437999998931</v>
      </c>
      <c r="Y12" s="168">
        <f>X12-X16</f>
        <v>-1154.3644416665024</v>
      </c>
      <c r="Z12" s="145">
        <f t="shared" si="10"/>
        <v>-1201.1199999999999</v>
      </c>
      <c r="AA12" s="145">
        <f t="shared" si="11"/>
        <v>-930.34199999999964</v>
      </c>
      <c r="AB12" s="3">
        <f t="shared" si="14"/>
        <v>-2131.4619999999995</v>
      </c>
      <c r="AC12" s="140">
        <f t="shared" si="15"/>
        <v>-1065.7309999999998</v>
      </c>
      <c r="AD12" s="168">
        <f>AC12-AC16</f>
        <v>-1066.5499749999997</v>
      </c>
    </row>
    <row r="13" spans="1:30" x14ac:dyDescent="0.25">
      <c r="A13" s="3">
        <v>12</v>
      </c>
      <c r="B13" s="1" t="s">
        <v>70</v>
      </c>
      <c r="C13" s="74">
        <v>8227.5689999999995</v>
      </c>
      <c r="D13" s="1">
        <f t="shared" si="2"/>
        <v>4158.5519999999997</v>
      </c>
      <c r="E13" s="1">
        <f t="shared" si="0"/>
        <v>5917.4136000000371</v>
      </c>
      <c r="F13" s="140">
        <f t="shared" si="3"/>
        <v>2310.1553999999624</v>
      </c>
      <c r="G13" s="140">
        <f t="shared" si="4"/>
        <v>4069.0169999999998</v>
      </c>
      <c r="H13" s="165">
        <f t="shared" si="1"/>
        <v>5977.6134583330431</v>
      </c>
      <c r="I13" s="165">
        <f t="shared" si="5"/>
        <v>2249.9555416669564</v>
      </c>
      <c r="J13" s="165">
        <f t="shared" si="6"/>
        <v>8167.3691416669935</v>
      </c>
      <c r="K13">
        <f t="shared" si="7"/>
        <v>0.28078225779692184</v>
      </c>
      <c r="U13" s="3">
        <f t="shared" si="8"/>
        <v>-1036.5245999999961</v>
      </c>
      <c r="V13" s="3">
        <f t="shared" si="9"/>
        <v>-3659.8970000004574</v>
      </c>
      <c r="W13" s="3">
        <f t="shared" si="12"/>
        <v>-4696.4216000004535</v>
      </c>
      <c r="X13" s="140">
        <f t="shared" si="13"/>
        <v>-2348.2108000002268</v>
      </c>
      <c r="Y13" s="168">
        <f>X13-X16</f>
        <v>-1743.5314416668361</v>
      </c>
      <c r="Z13" s="145">
        <f t="shared" si="10"/>
        <v>59.773999999999432</v>
      </c>
      <c r="AA13" s="145">
        <f t="shared" si="11"/>
        <v>456.85199999999986</v>
      </c>
      <c r="AB13" s="3">
        <f t="shared" si="14"/>
        <v>516.62599999999929</v>
      </c>
      <c r="AC13" s="140">
        <f t="shared" si="15"/>
        <v>258.31299999999965</v>
      </c>
      <c r="AD13" s="168">
        <f>AC13-AC16</f>
        <v>257.49402499999968</v>
      </c>
    </row>
    <row r="14" spans="1:30" x14ac:dyDescent="0.25">
      <c r="A14" s="3">
        <v>13</v>
      </c>
      <c r="B14" s="1" t="s">
        <v>71</v>
      </c>
      <c r="C14" s="74">
        <v>8991.84</v>
      </c>
      <c r="D14" s="1">
        <f t="shared" si="2"/>
        <v>4160.598</v>
      </c>
      <c r="E14" s="1">
        <f t="shared" si="0"/>
        <v>6245.2009999999809</v>
      </c>
      <c r="F14" s="140">
        <f t="shared" si="3"/>
        <v>2746.6390000000192</v>
      </c>
      <c r="G14" s="140">
        <f t="shared" si="4"/>
        <v>4831.2420000000002</v>
      </c>
      <c r="H14" s="165"/>
      <c r="K14">
        <f t="shared" si="7"/>
        <v>0.30545906065944445</v>
      </c>
      <c r="U14" s="3">
        <f t="shared" si="8"/>
        <v>2310.1553999999624</v>
      </c>
      <c r="V14" s="3">
        <f t="shared" si="9"/>
        <v>-3399.1144000007316</v>
      </c>
      <c r="W14" s="3">
        <f t="shared" si="12"/>
        <v>-1088.9590000007693</v>
      </c>
      <c r="X14" s="140">
        <f t="shared" si="13"/>
        <v>-544.47950000038463</v>
      </c>
      <c r="Y14" s="168">
        <f>X14-X16</f>
        <v>60.199858333005977</v>
      </c>
      <c r="Z14" s="145">
        <f t="shared" si="10"/>
        <v>4069.0169999999998</v>
      </c>
      <c r="AA14" s="145">
        <f t="shared" si="11"/>
        <v>4867.2223999999997</v>
      </c>
      <c r="AB14" s="3">
        <f>Z14+AA14</f>
        <v>8936.2393999999986</v>
      </c>
      <c r="AC14" s="140">
        <f t="shared" si="15"/>
        <v>4468.1196999999993</v>
      </c>
      <c r="AD14" s="168">
        <f>AC14-AC16</f>
        <v>4467.3007249999991</v>
      </c>
    </row>
    <row r="15" spans="1:30" x14ac:dyDescent="0.25">
      <c r="A15" s="3">
        <v>14</v>
      </c>
      <c r="B15" s="1" t="s">
        <v>72</v>
      </c>
      <c r="C15" s="74">
        <v>5586.16</v>
      </c>
      <c r="D15" s="1">
        <f t="shared" si="2"/>
        <v>4162.6440000000002</v>
      </c>
      <c r="E15" s="1">
        <f t="shared" si="0"/>
        <v>6189.2528000001148</v>
      </c>
      <c r="F15" s="140">
        <f t="shared" si="3"/>
        <v>-603.09280000011495</v>
      </c>
      <c r="G15" s="140">
        <f t="shared" si="4"/>
        <v>1423.5159999999996</v>
      </c>
      <c r="K15">
        <f t="shared" si="7"/>
        <v>0.10796196313748889</v>
      </c>
      <c r="W15" s="169" t="s">
        <v>154</v>
      </c>
      <c r="X15" s="170">
        <f>SUM(X3:X14)</f>
        <v>-7256.1523000006873</v>
      </c>
      <c r="Y15" s="171">
        <f>SUM(Y3:Y14)</f>
        <v>1.3642420526593924E-12</v>
      </c>
      <c r="Z15" s="145"/>
      <c r="AB15" s="169" t="s">
        <v>154</v>
      </c>
      <c r="AC15" s="170">
        <f>SUM(AC3:AC14)</f>
        <v>9.8276999999998225</v>
      </c>
      <c r="AD15" s="171">
        <f>SUM(AD3:AD14)</f>
        <v>0</v>
      </c>
    </row>
    <row r="16" spans="1:30" x14ac:dyDescent="0.25">
      <c r="A16" s="3">
        <v>15</v>
      </c>
      <c r="B16" s="1" t="s">
        <v>73</v>
      </c>
      <c r="C16" s="74">
        <v>4957.92</v>
      </c>
      <c r="D16" s="1">
        <f t="shared" si="2"/>
        <v>4164.6899999999996</v>
      </c>
      <c r="E16" s="1">
        <f t="shared" si="0"/>
        <v>5765.1750000000293</v>
      </c>
      <c r="F16" s="140">
        <f t="shared" si="3"/>
        <v>-807.25500000002921</v>
      </c>
      <c r="G16" s="140">
        <f t="shared" si="4"/>
        <v>793.23000000000047</v>
      </c>
      <c r="H16" t="s">
        <v>163</v>
      </c>
      <c r="K16">
        <f t="shared" si="7"/>
        <v>0.16282130409527165</v>
      </c>
      <c r="W16" t="s">
        <v>155</v>
      </c>
      <c r="X16" s="169">
        <f>X15/12</f>
        <v>-604.67935833339061</v>
      </c>
      <c r="AB16" t="s">
        <v>155</v>
      </c>
      <c r="AC16" s="169">
        <f>AC15/12</f>
        <v>0.81897499999998524</v>
      </c>
    </row>
    <row r="17" spans="1:11" x14ac:dyDescent="0.25">
      <c r="A17" s="3">
        <v>16</v>
      </c>
      <c r="B17" s="1" t="s">
        <v>74</v>
      </c>
      <c r="C17" s="74">
        <v>2482.91</v>
      </c>
      <c r="D17" s="1">
        <f t="shared" si="2"/>
        <v>4166.7359999999999</v>
      </c>
      <c r="E17" s="1">
        <f t="shared" si="0"/>
        <v>5052.6056000000517</v>
      </c>
      <c r="F17" s="140">
        <f t="shared" si="3"/>
        <v>-2569.6956000000519</v>
      </c>
      <c r="G17" s="140">
        <f t="shared" si="4"/>
        <v>-1683.826</v>
      </c>
      <c r="K17">
        <f t="shared" si="7"/>
        <v>1.0349531799380776</v>
      </c>
    </row>
    <row r="18" spans="1:11" x14ac:dyDescent="0.25">
      <c r="A18" s="3">
        <v>17</v>
      </c>
      <c r="B18" s="1" t="s">
        <v>75</v>
      </c>
      <c r="C18" s="74">
        <v>3740.76</v>
      </c>
      <c r="D18" s="1">
        <f t="shared" si="2"/>
        <v>4168.7820000000002</v>
      </c>
      <c r="E18" s="1">
        <f t="shared" si="0"/>
        <v>4191.8306000000584</v>
      </c>
      <c r="F18" s="140">
        <f t="shared" si="3"/>
        <v>-451.07060000005822</v>
      </c>
      <c r="G18" s="140">
        <f t="shared" si="4"/>
        <v>-428.02199999999993</v>
      </c>
      <c r="K18">
        <f t="shared" si="7"/>
        <v>0.12058260888163319</v>
      </c>
    </row>
    <row r="19" spans="1:11" x14ac:dyDescent="0.25">
      <c r="A19" s="3">
        <v>18</v>
      </c>
      <c r="B19" s="1" t="s">
        <v>76</v>
      </c>
      <c r="C19" s="74">
        <v>3265.58</v>
      </c>
      <c r="D19" s="1">
        <f t="shared" si="2"/>
        <v>4170.8280000000004</v>
      </c>
      <c r="E19" s="1">
        <f t="shared" si="0"/>
        <v>3375.503999999768</v>
      </c>
      <c r="F19" s="140">
        <f t="shared" si="3"/>
        <v>-109.92399999976806</v>
      </c>
      <c r="G19" s="140">
        <f t="shared" si="4"/>
        <v>-905.2480000000005</v>
      </c>
      <c r="K19">
        <f t="shared" si="7"/>
        <v>3.3661401649865585E-2</v>
      </c>
    </row>
    <row r="20" spans="1:11" x14ac:dyDescent="0.25">
      <c r="A20" s="3">
        <v>19</v>
      </c>
      <c r="B20" s="1" t="s">
        <v>65</v>
      </c>
      <c r="C20" s="74">
        <v>2361.85</v>
      </c>
      <c r="D20" s="1">
        <f t="shared" si="2"/>
        <v>4172.8739999999998</v>
      </c>
      <c r="E20" s="1">
        <f t="shared" si="0"/>
        <v>2835.4718000001321</v>
      </c>
      <c r="F20" s="140">
        <f t="shared" si="3"/>
        <v>-473.62180000013223</v>
      </c>
      <c r="G20" s="140">
        <f t="shared" si="4"/>
        <v>-1811.0239999999999</v>
      </c>
      <c r="K20">
        <f t="shared" si="7"/>
        <v>0.2005300082562958</v>
      </c>
    </row>
    <row r="21" spans="1:11" x14ac:dyDescent="0.25">
      <c r="A21" s="3">
        <v>20</v>
      </c>
      <c r="B21" s="1" t="s">
        <v>66</v>
      </c>
      <c r="C21" s="74">
        <v>1458.12</v>
      </c>
      <c r="D21" s="1">
        <f t="shared" si="2"/>
        <v>4174.92</v>
      </c>
      <c r="E21" s="1">
        <f t="shared" si="0"/>
        <v>2824.7000000000571</v>
      </c>
      <c r="F21" s="140">
        <f t="shared" si="3"/>
        <v>-1366.5800000000572</v>
      </c>
      <c r="G21" s="140">
        <f t="shared" si="4"/>
        <v>-2716.8</v>
      </c>
      <c r="K21">
        <f t="shared" si="7"/>
        <v>0.93722053054622212</v>
      </c>
    </row>
    <row r="22" spans="1:11" x14ac:dyDescent="0.25">
      <c r="A22" s="3">
        <v>21</v>
      </c>
      <c r="B22" s="1" t="s">
        <v>67</v>
      </c>
      <c r="C22" s="74">
        <v>2520.0500000000002</v>
      </c>
      <c r="D22" s="1">
        <f t="shared" si="2"/>
        <v>4176.9660000000003</v>
      </c>
      <c r="E22" s="1">
        <f t="shared" si="0"/>
        <v>3594.3066000001454</v>
      </c>
      <c r="F22" s="140">
        <f t="shared" si="3"/>
        <v>-1074.2566000001452</v>
      </c>
      <c r="G22" s="140">
        <f t="shared" si="4"/>
        <v>-1656.9160000000002</v>
      </c>
      <c r="K22">
        <f t="shared" si="7"/>
        <v>0.42628384357458987</v>
      </c>
    </row>
    <row r="23" spans="1:11" x14ac:dyDescent="0.25">
      <c r="A23" s="3">
        <v>22</v>
      </c>
      <c r="B23" s="1" t="s">
        <v>68</v>
      </c>
      <c r="C23" s="74">
        <v>3248.67</v>
      </c>
      <c r="D23" s="1">
        <f t="shared" si="2"/>
        <v>4179.0119999999997</v>
      </c>
      <c r="E23" s="1">
        <f t="shared" si="0"/>
        <v>5365.6975999997721</v>
      </c>
      <c r="F23" s="140">
        <f t="shared" si="3"/>
        <v>-2117.0275999997721</v>
      </c>
      <c r="G23" s="140">
        <f t="shared" si="4"/>
        <v>-930.34199999999964</v>
      </c>
      <c r="K23">
        <f t="shared" si="7"/>
        <v>0.65165978692811888</v>
      </c>
    </row>
    <row r="24" spans="1:11" x14ac:dyDescent="0.25">
      <c r="A24" s="3">
        <v>23</v>
      </c>
      <c r="B24" s="1" t="s">
        <v>69</v>
      </c>
      <c r="C24" s="74">
        <v>4637.91</v>
      </c>
      <c r="D24" s="1">
        <f t="shared" si="2"/>
        <v>4181.058</v>
      </c>
      <c r="E24" s="1">
        <f t="shared" si="0"/>
        <v>8297.8070000004573</v>
      </c>
      <c r="F24" s="140">
        <f t="shared" si="3"/>
        <v>-3659.8970000004574</v>
      </c>
      <c r="G24" s="140">
        <f t="shared" si="4"/>
        <v>456.85199999999986</v>
      </c>
      <c r="K24">
        <f t="shared" si="7"/>
        <v>0.78912635217165872</v>
      </c>
    </row>
    <row r="25" spans="1:11" x14ac:dyDescent="0.25">
      <c r="A25" s="3">
        <v>24</v>
      </c>
      <c r="B25" s="1" t="s">
        <v>70</v>
      </c>
      <c r="C25" s="74">
        <v>9050.3263999999999</v>
      </c>
      <c r="D25" s="1">
        <f t="shared" si="2"/>
        <v>4183.1040000000003</v>
      </c>
      <c r="E25" s="1">
        <f t="shared" si="0"/>
        <v>12449.440800000732</v>
      </c>
      <c r="F25" s="140">
        <f t="shared" si="3"/>
        <v>-3399.1144000007316</v>
      </c>
      <c r="G25" s="140">
        <f t="shared" si="4"/>
        <v>4867.2223999999997</v>
      </c>
      <c r="K25">
        <f t="shared" si="7"/>
        <v>0.37557920562961483</v>
      </c>
    </row>
    <row r="26" spans="1:11" x14ac:dyDescent="0.25">
      <c r="A26" s="141">
        <v>25</v>
      </c>
      <c r="B26" s="1" t="s">
        <v>71</v>
      </c>
      <c r="C26" s="172">
        <f t="shared" ref="C26:C37" si="16">0.8*C14+(1-0.8)*(E13+Y3)</f>
        <v>8832.7042316666884</v>
      </c>
      <c r="D26" s="1">
        <f t="shared" si="2"/>
        <v>4185.1499999999996</v>
      </c>
      <c r="E26" s="1">
        <f t="shared" si="0"/>
        <v>17736.724999999999</v>
      </c>
    </row>
    <row r="27" spans="1:11" x14ac:dyDescent="0.25">
      <c r="A27" s="141">
        <v>26</v>
      </c>
      <c r="B27" s="1" t="s">
        <v>72</v>
      </c>
      <c r="C27" s="172">
        <f t="shared" si="16"/>
        <v>5671.0348316666623</v>
      </c>
      <c r="D27" s="1">
        <f t="shared" si="2"/>
        <v>4187.1959999999999</v>
      </c>
      <c r="E27" s="1">
        <f t="shared" si="0"/>
        <v>23885.657599999795</v>
      </c>
    </row>
    <row r="28" spans="1:11" x14ac:dyDescent="0.25">
      <c r="A28" s="3">
        <v>27</v>
      </c>
      <c r="B28" s="1" t="s">
        <v>73</v>
      </c>
      <c r="C28" s="172">
        <f t="shared" si="16"/>
        <v>5247.8574316666982</v>
      </c>
      <c r="D28" s="1">
        <f t="shared" si="2"/>
        <v>4189.2420000000002</v>
      </c>
      <c r="E28" s="1">
        <f t="shared" si="0"/>
        <v>30379.764600000657</v>
      </c>
    </row>
    <row r="29" spans="1:11" x14ac:dyDescent="0.25">
      <c r="A29" s="141">
        <v>28</v>
      </c>
      <c r="B29" s="1" t="s">
        <v>74</v>
      </c>
      <c r="C29" s="172">
        <f t="shared" si="16"/>
        <v>2927.3418316666784</v>
      </c>
      <c r="D29" s="1">
        <f t="shared" si="2"/>
        <v>4191.2879999999996</v>
      </c>
      <c r="E29" s="1">
        <f t="shared" si="0"/>
        <v>36402.860000001325</v>
      </c>
    </row>
    <row r="30" spans="1:11" x14ac:dyDescent="0.25">
      <c r="A30" s="141">
        <v>29</v>
      </c>
      <c r="B30" s="1" t="s">
        <v>75</v>
      </c>
      <c r="C30" s="172">
        <f t="shared" si="16"/>
        <v>4213.6644316666825</v>
      </c>
      <c r="D30" s="1">
        <f t="shared" si="2"/>
        <v>4193.3339999999998</v>
      </c>
      <c r="E30" s="1">
        <f t="shared" si="0"/>
        <v>40776.909800000394</v>
      </c>
    </row>
    <row r="31" spans="1:11" x14ac:dyDescent="0.25">
      <c r="A31" s="3">
        <v>30</v>
      </c>
      <c r="B31" s="1" t="s">
        <v>76</v>
      </c>
      <c r="C31" s="172">
        <f t="shared" si="16"/>
        <v>3689.9292316667124</v>
      </c>
      <c r="D31" s="1">
        <f t="shared" si="2"/>
        <v>4195.38</v>
      </c>
      <c r="E31" s="1">
        <f t="shared" si="0"/>
        <v>41895.000000000116</v>
      </c>
    </row>
    <row r="32" spans="1:11" x14ac:dyDescent="0.25">
      <c r="A32" s="141">
        <v>31</v>
      </c>
      <c r="B32" s="1" t="s">
        <v>65</v>
      </c>
      <c r="C32" s="172">
        <f t="shared" si="16"/>
        <v>2667.198831666617</v>
      </c>
      <c r="D32" s="1">
        <f t="shared" si="2"/>
        <v>4197.4260000000004</v>
      </c>
      <c r="E32" s="1">
        <f t="shared" si="0"/>
        <v>37649.40860000017</v>
      </c>
    </row>
    <row r="33" spans="1:5" x14ac:dyDescent="0.25">
      <c r="A33" s="141">
        <v>32</v>
      </c>
      <c r="B33" s="1" t="s">
        <v>66</v>
      </c>
      <c r="C33" s="172">
        <f t="shared" si="16"/>
        <v>1602.8094316666979</v>
      </c>
      <c r="D33" s="1">
        <f t="shared" si="2"/>
        <v>4199.4719999999998</v>
      </c>
      <c r="E33" s="1">
        <f t="shared" si="0"/>
        <v>25354.781600000279</v>
      </c>
    </row>
    <row r="34" spans="1:5" x14ac:dyDescent="0.25">
      <c r="A34" s="3">
        <v>33</v>
      </c>
      <c r="B34" s="1" t="s">
        <v>67</v>
      </c>
      <c r="C34" s="172">
        <f t="shared" si="16"/>
        <v>2486.5818316666755</v>
      </c>
      <c r="D34" s="1">
        <f t="shared" si="2"/>
        <v>4201.518</v>
      </c>
      <c r="E34" s="1">
        <f t="shared" si="0"/>
        <v>1666.4130000021869</v>
      </c>
    </row>
    <row r="35" spans="1:5" x14ac:dyDescent="0.25">
      <c r="A35" s="141">
        <v>34</v>
      </c>
      <c r="B35" s="1" t="s">
        <v>68</v>
      </c>
      <c r="C35" s="172">
        <f t="shared" si="16"/>
        <v>3086.9244316667287</v>
      </c>
      <c r="D35" s="1">
        <f t="shared" si="2"/>
        <v>4203.5640000000003</v>
      </c>
      <c r="E35" s="1">
        <f t="shared" si="0"/>
        <v>-37506.371200000285</v>
      </c>
    </row>
    <row r="36" spans="1:5" x14ac:dyDescent="0.25">
      <c r="A36" s="141">
        <v>35</v>
      </c>
      <c r="B36" s="1" t="s">
        <v>69</v>
      </c>
      <c r="C36" s="172">
        <f t="shared" si="16"/>
        <v>4434.7612316665873</v>
      </c>
      <c r="D36" s="1">
        <f t="shared" si="2"/>
        <v>4205.6099999999997</v>
      </c>
      <c r="E36" s="1">
        <f t="shared" si="0"/>
        <v>-97091.724999999991</v>
      </c>
    </row>
    <row r="37" spans="1:5" x14ac:dyDescent="0.25">
      <c r="A37" s="3">
        <v>36</v>
      </c>
      <c r="B37" s="1" t="s">
        <v>70</v>
      </c>
      <c r="C37" s="172">
        <f t="shared" si="16"/>
        <v>8911.8624916666922</v>
      </c>
      <c r="D37" s="1">
        <f t="shared" si="2"/>
        <v>4207.6559999999999</v>
      </c>
      <c r="E37" s="1">
        <f xml:space="preserve"> -0.0068*A37^6 + 0.5634*A37^5 - 16.744*A37^4 + 214.56*A37^3 - 1048.6*A37^2 + 459.03*A37 + 7964.1</f>
        <v>-182951.69040000247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Задача 1</vt:lpstr>
      <vt:lpstr>Задача 2</vt:lpstr>
      <vt:lpstr>Задача 3</vt:lpstr>
      <vt:lpstr>Задача 4</vt:lpstr>
      <vt:lpstr>Задача 4.2</vt:lpstr>
      <vt:lpstr>Задача 5</vt:lpstr>
      <vt:lpstr>Задача 6</vt:lpstr>
      <vt:lpstr>Задача 6.2</vt:lpstr>
      <vt:lpstr>Задача 7</vt:lpstr>
      <vt:lpstr>Задача 8</vt:lpstr>
      <vt:lpstr>Задача 9</vt:lpstr>
      <vt:lpstr>Задача 9(1)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2019-12-01T11:58:28Z</dcterms:modified>
</cp:coreProperties>
</file>