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 firstSheet="22" activeTab="29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Структура сценария" sheetId="9" state="hidden" r:id="rId7"/>
    <sheet name="Лист7" sheetId="7" r:id="rId8"/>
    <sheet name="Структура сценарію для 7" sheetId="32" r:id="rId9"/>
    <sheet name="Лист8" sheetId="10" r:id="rId10"/>
    <sheet name="Лист9" sheetId="11" r:id="rId11"/>
    <sheet name="Лист10" sheetId="12" r:id="rId12"/>
    <sheet name="Лист11" sheetId="13" r:id="rId13"/>
    <sheet name="Лист12" sheetId="14" r:id="rId14"/>
    <sheet name="Лист13" sheetId="15" r:id="rId15"/>
    <sheet name="Лист14" sheetId="16" r:id="rId16"/>
    <sheet name="Лист15" sheetId="17" r:id="rId17"/>
    <sheet name="Лист15.2" sheetId="18" r:id="rId18"/>
    <sheet name="Лист15.3" sheetId="19" r:id="rId19"/>
    <sheet name="Лист16" sheetId="20" r:id="rId20"/>
    <sheet name="Структура сценария для 16" sheetId="36" r:id="rId21"/>
    <sheet name="Структура сценария 2" sheetId="22" state="hidden" r:id="rId22"/>
    <sheet name="Лист17" sheetId="24" r:id="rId23"/>
    <sheet name="Лист17.2" sheetId="25" r:id="rId24"/>
    <sheet name="Лист17.3" sheetId="26" r:id="rId25"/>
    <sheet name="Лист17.4" sheetId="27" r:id="rId26"/>
    <sheet name="Лист17.5" sheetId="28" r:id="rId27"/>
    <sheet name="Лист18" sheetId="29" r:id="rId28"/>
    <sheet name="Лист19" sheetId="30" r:id="rId29"/>
    <sheet name="Лист20" sheetId="31" r:id="rId30"/>
  </sheets>
  <calcPr calcId="162913" calcMode="manual"/>
  <fileRecoveryPr repairLoad="1"/>
</workbook>
</file>

<file path=xl/calcChain.xml><?xml version="1.0" encoding="utf-8"?>
<calcChain xmlns="http://schemas.openxmlformats.org/spreadsheetml/2006/main">
  <c r="C10" i="29" l="1"/>
  <c r="E11" i="31" l="1"/>
  <c r="D11" i="31"/>
  <c r="C11" i="31"/>
  <c r="B11" i="31"/>
  <c r="E10" i="31"/>
  <c r="D10" i="31"/>
  <c r="C10" i="31"/>
  <c r="B10" i="31"/>
  <c r="E9" i="31"/>
  <c r="D9" i="31"/>
  <c r="C9" i="31"/>
  <c r="B9" i="31"/>
  <c r="E8" i="31"/>
  <c r="D8" i="31"/>
  <c r="C8" i="31"/>
  <c r="B8" i="31"/>
  <c r="E7" i="31"/>
  <c r="D7" i="31"/>
  <c r="C7" i="31"/>
  <c r="B7" i="31"/>
  <c r="E6" i="31"/>
  <c r="D6" i="31"/>
  <c r="C6" i="31"/>
  <c r="B6" i="31"/>
  <c r="B24" i="30"/>
  <c r="B23" i="30"/>
  <c r="B22" i="30"/>
  <c r="B21" i="30"/>
  <c r="B20" i="30"/>
  <c r="B17" i="30"/>
  <c r="B16" i="30"/>
  <c r="B15" i="30"/>
  <c r="B14" i="30"/>
  <c r="B13" i="30"/>
  <c r="B10" i="30"/>
  <c r="B9" i="30"/>
  <c r="B7" i="30"/>
  <c r="E16" i="29"/>
  <c r="D16" i="29"/>
  <c r="C16" i="29"/>
  <c r="B16" i="29"/>
  <c r="E15" i="29"/>
  <c r="D15" i="29"/>
  <c r="C15" i="29"/>
  <c r="B15" i="29"/>
  <c r="E14" i="29"/>
  <c r="D14" i="29"/>
  <c r="C14" i="29"/>
  <c r="B14" i="29"/>
  <c r="E13" i="29"/>
  <c r="D13" i="29"/>
  <c r="C13" i="29"/>
  <c r="B13" i="29"/>
  <c r="E12" i="29"/>
  <c r="D12" i="29"/>
  <c r="C12" i="29"/>
  <c r="B12" i="29"/>
  <c r="E11" i="29"/>
  <c r="D11" i="29"/>
  <c r="C11" i="29"/>
  <c r="B11" i="29"/>
  <c r="E10" i="29"/>
  <c r="D10" i="29"/>
  <c r="B10" i="29"/>
  <c r="C13" i="28"/>
  <c r="B13" i="28"/>
  <c r="C12" i="28"/>
  <c r="B12" i="28"/>
  <c r="C11" i="28"/>
  <c r="B11" i="28"/>
  <c r="C10" i="28"/>
  <c r="B10" i="28"/>
  <c r="C9" i="28"/>
  <c r="B9" i="28"/>
  <c r="C8" i="28"/>
  <c r="C13" i="27"/>
  <c r="B13" i="27"/>
  <c r="C12" i="27"/>
  <c r="B12" i="27"/>
  <c r="C11" i="27"/>
  <c r="B11" i="27"/>
  <c r="C10" i="27"/>
  <c r="B10" i="27"/>
  <c r="C9" i="27"/>
  <c r="B9" i="27"/>
  <c r="C8" i="27"/>
  <c r="B19" i="26"/>
  <c r="C14" i="26"/>
  <c r="B14" i="26"/>
  <c r="C13" i="26"/>
  <c r="B13" i="26"/>
  <c r="C12" i="26"/>
  <c r="B12" i="26"/>
  <c r="C11" i="26"/>
  <c r="B11" i="26"/>
  <c r="C10" i="26"/>
  <c r="B10" i="26"/>
  <c r="C9" i="26"/>
  <c r="B9" i="26"/>
  <c r="C8" i="26"/>
  <c r="C13" i="25"/>
  <c r="B13" i="25"/>
  <c r="C12" i="25"/>
  <c r="B12" i="25"/>
  <c r="C11" i="25"/>
  <c r="B11" i="25"/>
  <c r="C10" i="25"/>
  <c r="B10" i="25"/>
  <c r="C9" i="25"/>
  <c r="B9" i="25"/>
  <c r="C8" i="25"/>
  <c r="C13" i="24"/>
  <c r="B13" i="24"/>
  <c r="C12" i="24"/>
  <c r="B12" i="24"/>
  <c r="C11" i="24"/>
  <c r="B11" i="24"/>
  <c r="C10" i="24"/>
  <c r="B10" i="24"/>
  <c r="C9" i="24"/>
  <c r="B9" i="24"/>
  <c r="C8" i="24"/>
  <c r="B9" i="20"/>
  <c r="B10" i="20" s="1"/>
  <c r="B11" i="20" s="1"/>
  <c r="E18" i="19"/>
  <c r="D18" i="19"/>
  <c r="C18" i="19"/>
  <c r="E17" i="19"/>
  <c r="D17" i="19"/>
  <c r="C17" i="19"/>
  <c r="E16" i="19"/>
  <c r="D16" i="19"/>
  <c r="C16" i="19"/>
  <c r="E15" i="19"/>
  <c r="D15" i="19"/>
  <c r="C15" i="19"/>
  <c r="E14" i="19"/>
  <c r="D14" i="19"/>
  <c r="C14" i="19"/>
  <c r="E13" i="19"/>
  <c r="D13" i="19"/>
  <c r="C13" i="19"/>
  <c r="E12" i="19"/>
  <c r="D12" i="19"/>
  <c r="C12" i="19"/>
  <c r="E11" i="19"/>
  <c r="D11" i="19"/>
  <c r="C11" i="19"/>
  <c r="E10" i="19"/>
  <c r="D10" i="19"/>
  <c r="C10" i="19"/>
  <c r="E9" i="19"/>
  <c r="D9" i="19"/>
  <c r="C9" i="19"/>
  <c r="E8" i="19"/>
  <c r="F24" i="18"/>
  <c r="D24" i="18"/>
  <c r="C24" i="18"/>
  <c r="B24" i="18"/>
  <c r="A24" i="18"/>
  <c r="F23" i="18"/>
  <c r="D23" i="18"/>
  <c r="C23" i="18"/>
  <c r="B23" i="18"/>
  <c r="A23" i="18"/>
  <c r="F22" i="18"/>
  <c r="D22" i="18"/>
  <c r="C22" i="18"/>
  <c r="B22" i="18"/>
  <c r="A22" i="18"/>
  <c r="F21" i="18"/>
  <c r="D21" i="18"/>
  <c r="C21" i="18"/>
  <c r="B21" i="18"/>
  <c r="A21" i="18"/>
  <c r="F20" i="18"/>
  <c r="D20" i="18"/>
  <c r="C20" i="18"/>
  <c r="B20" i="18"/>
  <c r="A20" i="18"/>
  <c r="F19" i="18"/>
  <c r="D19" i="18"/>
  <c r="C19" i="18"/>
  <c r="B19" i="18"/>
  <c r="A19" i="18"/>
  <c r="F18" i="18"/>
  <c r="D18" i="18"/>
  <c r="C18" i="18"/>
  <c r="B18" i="18"/>
  <c r="A18" i="18"/>
  <c r="F17" i="18"/>
  <c r="D17" i="18"/>
  <c r="C17" i="18"/>
  <c r="B17" i="18"/>
  <c r="A17" i="18"/>
  <c r="F16" i="18"/>
  <c r="D16" i="18"/>
  <c r="C16" i="18"/>
  <c r="B16" i="18"/>
  <c r="A16" i="18"/>
  <c r="F15" i="18"/>
  <c r="D15" i="18"/>
  <c r="C15" i="18"/>
  <c r="B15" i="18"/>
  <c r="A15" i="18"/>
  <c r="F14" i="18"/>
  <c r="D14" i="18"/>
  <c r="C14" i="18"/>
  <c r="B14" i="18"/>
  <c r="A14" i="18"/>
  <c r="F13" i="18"/>
  <c r="D13" i="18"/>
  <c r="C13" i="18"/>
  <c r="B13" i="18"/>
  <c r="A13" i="18"/>
  <c r="F12" i="18"/>
  <c r="E32" i="17"/>
  <c r="D32" i="17"/>
  <c r="C32" i="17"/>
  <c r="B32" i="17"/>
  <c r="A32" i="17"/>
  <c r="E31" i="17"/>
  <c r="D31" i="17"/>
  <c r="C31" i="17"/>
  <c r="B31" i="17"/>
  <c r="A31" i="17"/>
  <c r="E30" i="17"/>
  <c r="D30" i="17"/>
  <c r="C30" i="17"/>
  <c r="B30" i="17"/>
  <c r="A30" i="17"/>
  <c r="E29" i="17"/>
  <c r="D29" i="17"/>
  <c r="C29" i="17"/>
  <c r="B29" i="17"/>
  <c r="A29" i="17"/>
  <c r="E28" i="17"/>
  <c r="D28" i="17"/>
  <c r="C28" i="17"/>
  <c r="B28" i="17"/>
  <c r="A28" i="17"/>
  <c r="E27" i="17"/>
  <c r="D27" i="17"/>
  <c r="C27" i="17"/>
  <c r="B27" i="17"/>
  <c r="A27" i="17"/>
  <c r="E26" i="17"/>
  <c r="D26" i="17"/>
  <c r="C26" i="17"/>
  <c r="B26" i="17"/>
  <c r="A26" i="17"/>
  <c r="E25" i="17"/>
  <c r="D25" i="17"/>
  <c r="C25" i="17"/>
  <c r="B25" i="17"/>
  <c r="A25" i="17"/>
  <c r="E24" i="17"/>
  <c r="D24" i="17"/>
  <c r="C24" i="17"/>
  <c r="B24" i="17"/>
  <c r="A24" i="17"/>
  <c r="E23" i="17"/>
  <c r="D23" i="17"/>
  <c r="C23" i="17"/>
  <c r="B23" i="17"/>
  <c r="A23" i="17"/>
  <c r="E22" i="17"/>
  <c r="D22" i="17"/>
  <c r="C22" i="17"/>
  <c r="B22" i="17"/>
  <c r="A22" i="17"/>
  <c r="E21" i="17"/>
  <c r="D21" i="17"/>
  <c r="C21" i="17"/>
  <c r="B21" i="17"/>
  <c r="A21" i="17"/>
  <c r="E20" i="17"/>
  <c r="D20" i="17"/>
  <c r="C20" i="17"/>
  <c r="B20" i="17"/>
  <c r="A20" i="17"/>
  <c r="E19" i="17"/>
  <c r="D19" i="17"/>
  <c r="C19" i="17"/>
  <c r="B19" i="17"/>
  <c r="A19" i="17"/>
  <c r="E18" i="17"/>
  <c r="D18" i="17"/>
  <c r="C18" i="17"/>
  <c r="B18" i="17"/>
  <c r="A18" i="17"/>
  <c r="E17" i="17"/>
  <c r="D17" i="17"/>
  <c r="C17" i="17"/>
  <c r="B17" i="17"/>
  <c r="A17" i="17"/>
  <c r="C9" i="17"/>
  <c r="C8" i="17"/>
  <c r="C7" i="17"/>
  <c r="K34" i="16"/>
  <c r="J34" i="16"/>
  <c r="I34" i="16"/>
  <c r="H34" i="16"/>
  <c r="G34" i="16"/>
  <c r="F34" i="16"/>
  <c r="E34" i="16"/>
  <c r="D34" i="16"/>
  <c r="C34" i="16"/>
  <c r="B34" i="16"/>
  <c r="A34" i="16"/>
  <c r="K33" i="16"/>
  <c r="J33" i="16"/>
  <c r="I33" i="16"/>
  <c r="H33" i="16"/>
  <c r="G33" i="16"/>
  <c r="F33" i="16"/>
  <c r="E33" i="16"/>
  <c r="D33" i="16"/>
  <c r="C33" i="16"/>
  <c r="B33" i="16"/>
  <c r="A33" i="16"/>
  <c r="K32" i="16"/>
  <c r="J32" i="16"/>
  <c r="I32" i="16"/>
  <c r="H32" i="16"/>
  <c r="G32" i="16"/>
  <c r="F32" i="16"/>
  <c r="E32" i="16"/>
  <c r="D32" i="16"/>
  <c r="C32" i="16"/>
  <c r="B32" i="16"/>
  <c r="A32" i="16"/>
  <c r="K31" i="16"/>
  <c r="J31" i="16"/>
  <c r="I31" i="16"/>
  <c r="H31" i="16"/>
  <c r="G31" i="16"/>
  <c r="F31" i="16"/>
  <c r="E31" i="16"/>
  <c r="D31" i="16"/>
  <c r="C31" i="16"/>
  <c r="B31" i="16"/>
  <c r="A31" i="16"/>
  <c r="K30" i="16"/>
  <c r="J30" i="16"/>
  <c r="I30" i="16"/>
  <c r="H30" i="16"/>
  <c r="G30" i="16"/>
  <c r="F30" i="16"/>
  <c r="E30" i="16"/>
  <c r="D30" i="16"/>
  <c r="C30" i="16"/>
  <c r="B30" i="16"/>
  <c r="A30" i="16"/>
  <c r="K29" i="16"/>
  <c r="J29" i="16"/>
  <c r="I29" i="16"/>
  <c r="H29" i="16"/>
  <c r="G29" i="16"/>
  <c r="F29" i="16"/>
  <c r="E29" i="16"/>
  <c r="D29" i="16"/>
  <c r="C29" i="16"/>
  <c r="B29" i="16"/>
  <c r="A29" i="16"/>
  <c r="K28" i="16"/>
  <c r="J28" i="16"/>
  <c r="I28" i="16"/>
  <c r="H28" i="16"/>
  <c r="G28" i="16"/>
  <c r="F28" i="16"/>
  <c r="E28" i="16"/>
  <c r="D28" i="16"/>
  <c r="C28" i="16"/>
  <c r="B28" i="16"/>
  <c r="A28" i="16"/>
  <c r="K27" i="16"/>
  <c r="J27" i="16"/>
  <c r="I27" i="16"/>
  <c r="H27" i="16"/>
  <c r="G27" i="16"/>
  <c r="F27" i="16"/>
  <c r="E27" i="16"/>
  <c r="D27" i="16"/>
  <c r="C27" i="16"/>
  <c r="B27" i="16"/>
  <c r="A27" i="16"/>
  <c r="K26" i="16"/>
  <c r="J26" i="16"/>
  <c r="I26" i="16"/>
  <c r="H26" i="16"/>
  <c r="G26" i="16"/>
  <c r="F26" i="16"/>
  <c r="E26" i="16"/>
  <c r="D26" i="16"/>
  <c r="C26" i="16"/>
  <c r="B26" i="16"/>
  <c r="A26" i="16"/>
  <c r="K25" i="16"/>
  <c r="J25" i="16"/>
  <c r="I25" i="16"/>
  <c r="H25" i="16"/>
  <c r="G25" i="16"/>
  <c r="F25" i="16"/>
  <c r="E25" i="16"/>
  <c r="D25" i="16"/>
  <c r="C25" i="16"/>
  <c r="B25" i="16"/>
  <c r="A25" i="16"/>
  <c r="K24" i="16"/>
  <c r="J24" i="16"/>
  <c r="I24" i="16"/>
  <c r="H24" i="16"/>
  <c r="G24" i="16"/>
  <c r="F24" i="16"/>
  <c r="E24" i="16"/>
  <c r="D24" i="16"/>
  <c r="C24" i="16"/>
  <c r="B24" i="16"/>
  <c r="A24" i="16"/>
  <c r="K23" i="16"/>
  <c r="J23" i="16"/>
  <c r="I23" i="16"/>
  <c r="H23" i="16"/>
  <c r="G23" i="16"/>
  <c r="F23" i="16"/>
  <c r="E23" i="16"/>
  <c r="D23" i="16"/>
  <c r="C23" i="16"/>
  <c r="B23" i="16"/>
  <c r="A23" i="16"/>
  <c r="K22" i="16"/>
  <c r="J22" i="16"/>
  <c r="I22" i="16"/>
  <c r="H22" i="16"/>
  <c r="G22" i="16"/>
  <c r="F22" i="16"/>
  <c r="E22" i="16"/>
  <c r="D22" i="16"/>
  <c r="C22" i="16"/>
  <c r="B22" i="16"/>
  <c r="A22" i="16"/>
  <c r="K21" i="16"/>
  <c r="J21" i="16"/>
  <c r="I21" i="16"/>
  <c r="H21" i="16"/>
  <c r="G21" i="16"/>
  <c r="F21" i="16"/>
  <c r="E21" i="16"/>
  <c r="D21" i="16"/>
  <c r="C21" i="16"/>
  <c r="B21" i="16"/>
  <c r="A21" i="16"/>
  <c r="K20" i="16"/>
  <c r="J20" i="16"/>
  <c r="I20" i="16"/>
  <c r="H20" i="16"/>
  <c r="G20" i="16"/>
  <c r="F20" i="16"/>
  <c r="E20" i="16"/>
  <c r="D20" i="16"/>
  <c r="C20" i="16"/>
  <c r="B20" i="16"/>
  <c r="A20" i="16"/>
  <c r="K19" i="16"/>
  <c r="J19" i="16"/>
  <c r="I19" i="16"/>
  <c r="H19" i="16"/>
  <c r="G19" i="16"/>
  <c r="F19" i="16"/>
  <c r="E19" i="16"/>
  <c r="D19" i="16"/>
  <c r="C19" i="16"/>
  <c r="B19" i="16"/>
  <c r="A19" i="16"/>
  <c r="K18" i="16"/>
  <c r="J18" i="16"/>
  <c r="I18" i="16"/>
  <c r="H18" i="16"/>
  <c r="G18" i="16"/>
  <c r="F18" i="16"/>
  <c r="E18" i="16"/>
  <c r="D18" i="16"/>
  <c r="C18" i="16"/>
  <c r="B18" i="16"/>
  <c r="A18" i="16"/>
  <c r="K17" i="16"/>
  <c r="J17" i="16"/>
  <c r="I17" i="16"/>
  <c r="H17" i="16"/>
  <c r="G17" i="16"/>
  <c r="F17" i="16"/>
  <c r="E17" i="16"/>
  <c r="D17" i="16"/>
  <c r="C17" i="16"/>
  <c r="B17" i="16"/>
  <c r="A17" i="16"/>
  <c r="K16" i="16"/>
  <c r="J16" i="16"/>
  <c r="I16" i="16"/>
  <c r="H16" i="16"/>
  <c r="G16" i="16"/>
  <c r="F16" i="16"/>
  <c r="E16" i="16"/>
  <c r="D16" i="16"/>
  <c r="C16" i="16"/>
  <c r="B16" i="16"/>
  <c r="A16" i="16"/>
  <c r="K15" i="16"/>
  <c r="J15" i="16"/>
  <c r="I15" i="16"/>
  <c r="H15" i="16"/>
  <c r="G15" i="16"/>
  <c r="F15" i="16"/>
  <c r="E15" i="16"/>
  <c r="D15" i="16"/>
  <c r="C15" i="16"/>
  <c r="B15" i="16"/>
  <c r="E10" i="16"/>
  <c r="C10" i="16"/>
  <c r="E9" i="16"/>
  <c r="C9" i="16"/>
  <c r="E8" i="16"/>
  <c r="C8" i="16"/>
  <c r="E3" i="15"/>
  <c r="D3" i="15"/>
  <c r="C3" i="15"/>
  <c r="E2" i="15"/>
  <c r="D2" i="15"/>
  <c r="C2" i="15"/>
  <c r="G3" i="14"/>
  <c r="F3" i="14"/>
  <c r="G2" i="14"/>
  <c r="F2" i="14"/>
  <c r="E2" i="14"/>
  <c r="B8" i="13"/>
  <c r="B7" i="13"/>
  <c r="D13" i="12"/>
  <c r="B13" i="12"/>
  <c r="D12" i="12"/>
  <c r="B12" i="12"/>
  <c r="D11" i="12"/>
  <c r="B11" i="12"/>
  <c r="B9" i="12"/>
  <c r="B7" i="12"/>
  <c r="G3" i="11"/>
  <c r="F3" i="11"/>
  <c r="E3" i="11"/>
  <c r="H2" i="11"/>
  <c r="G2" i="11"/>
  <c r="F2" i="11"/>
  <c r="E2" i="11"/>
  <c r="B7" i="10"/>
  <c r="B6" i="7"/>
  <c r="B5" i="7"/>
  <c r="G6" i="6"/>
  <c r="F6" i="6"/>
  <c r="G5" i="6"/>
  <c r="F5" i="6"/>
  <c r="G4" i="6"/>
  <c r="F4" i="6"/>
  <c r="G3" i="6"/>
  <c r="F3" i="6"/>
  <c r="C9" i="5"/>
  <c r="B6" i="5"/>
  <c r="B6" i="4"/>
  <c r="B10" i="3"/>
  <c r="C10" i="2"/>
  <c r="B10" i="2"/>
  <c r="H11" i="1"/>
  <c r="C11" i="1"/>
  <c r="C7" i="1"/>
</calcChain>
</file>

<file path=xl/sharedStrings.xml><?xml version="1.0" encoding="utf-8"?>
<sst xmlns="http://schemas.openxmlformats.org/spreadsheetml/2006/main" count="368" uniqueCount="225">
  <si>
    <t>пс</t>
  </si>
  <si>
    <t>плт</t>
  </si>
  <si>
    <t>ставка</t>
  </si>
  <si>
    <t>кпер</t>
  </si>
  <si>
    <t>тип</t>
  </si>
  <si>
    <t>бс</t>
  </si>
  <si>
    <t>Ставки:</t>
  </si>
  <si>
    <t>Pt</t>
  </si>
  <si>
    <t>r</t>
  </si>
  <si>
    <t>n</t>
  </si>
  <si>
    <t>m</t>
  </si>
  <si>
    <t>$B$2</t>
  </si>
  <si>
    <t>$B$3</t>
  </si>
  <si>
    <t>пс1</t>
  </si>
  <si>
    <t>пс2</t>
  </si>
  <si>
    <t>nc3</t>
  </si>
  <si>
    <t>Автор: Влад , 08.05.2016</t>
  </si>
  <si>
    <t>Структура сценария</t>
  </si>
  <si>
    <t>Изменяемые:</t>
  </si>
  <si>
    <t>Текущие значения:</t>
  </si>
  <si>
    <t>Результат:</t>
  </si>
  <si>
    <t xml:space="preserve">Примечания: столбец ''Текущие значения'' представляет значения изменяемых ячеек в </t>
  </si>
  <si>
    <t>момент создания Итогового отчета по Сценарию. Изменяемые ячейки для каждого</t>
  </si>
  <si>
    <t>сценария выделены серым цветом.</t>
  </si>
  <si>
    <t>$B$5</t>
  </si>
  <si>
    <t>$B$6</t>
  </si>
  <si>
    <t>Выгоднее деньги положить под проценты</t>
  </si>
  <si>
    <t>Выгодно дать деньги в долг</t>
  </si>
  <si>
    <t>Тип</t>
  </si>
  <si>
    <t>лет</t>
  </si>
  <si>
    <t>P0</t>
  </si>
  <si>
    <t>reff</t>
  </si>
  <si>
    <t>P</t>
  </si>
  <si>
    <t>t</t>
  </si>
  <si>
    <t>Период</t>
  </si>
  <si>
    <t>Дата</t>
  </si>
  <si>
    <t>Банк А</t>
  </si>
  <si>
    <t>Банк ББ</t>
  </si>
  <si>
    <t>Банк ВВВ</t>
  </si>
  <si>
    <t>-</t>
  </si>
  <si>
    <t>$B$15</t>
  </si>
  <si>
    <t>$B$16</t>
  </si>
  <si>
    <t>$B$17</t>
  </si>
  <si>
    <t>$B$18</t>
  </si>
  <si>
    <t>$B$19</t>
  </si>
  <si>
    <t>$C$15</t>
  </si>
  <si>
    <t>$C$16</t>
  </si>
  <si>
    <t>$C$17</t>
  </si>
  <si>
    <t>$C$18</t>
  </si>
  <si>
    <t>$C$19</t>
  </si>
  <si>
    <t>$D$15</t>
  </si>
  <si>
    <t>$D$16</t>
  </si>
  <si>
    <t>$D$17</t>
  </si>
  <si>
    <t>$D$18</t>
  </si>
  <si>
    <t>$D$19</t>
  </si>
  <si>
    <t>$B$9</t>
  </si>
  <si>
    <t>$B$10</t>
  </si>
  <si>
    <t>$B$11</t>
  </si>
  <si>
    <t>А</t>
  </si>
  <si>
    <t>Автор: Влад , 11.05.2016</t>
  </si>
  <si>
    <t>ББ</t>
  </si>
  <si>
    <t>Автор: Влад , 11.05.2016
Автор изменений: Влад , 11.05.2016</t>
  </si>
  <si>
    <t>ВВВ</t>
  </si>
  <si>
    <t>Остаточная стоимость</t>
  </si>
  <si>
    <t>Ед.изм.</t>
  </si>
  <si>
    <t>тыс. грн.</t>
  </si>
  <si>
    <t>Итого:</t>
  </si>
  <si>
    <t>Метод суммы лет(АСЧ)</t>
  </si>
  <si>
    <t>Метод двойного списания(ДДОБ)</t>
  </si>
  <si>
    <t>АПЛ</t>
  </si>
  <si>
    <t>АСЧ</t>
  </si>
  <si>
    <t>ФУО</t>
  </si>
  <si>
    <t>ДДОБ</t>
  </si>
  <si>
    <t>Начальная стоимость</t>
  </si>
  <si>
    <t>Срок полезной службы</t>
  </si>
  <si>
    <t>Равномерное списание(АПЛ)</t>
  </si>
  <si>
    <t>Метод снижающегося остатка(ФУО)</t>
  </si>
  <si>
    <t>внесок</t>
  </si>
  <si>
    <t>періодичний платіж</t>
  </si>
  <si>
    <t>Відсоткова ставка, річна</t>
  </si>
  <si>
    <t>Нарахування відсотків за рік</t>
  </si>
  <si>
    <t>Відсоткова ставка, за період</t>
  </si>
  <si>
    <t>Термін вкладу, років</t>
  </si>
  <si>
    <t>Загальна кількість періодів</t>
  </si>
  <si>
    <t>обов'язковість платежів</t>
  </si>
  <si>
    <t>Майбутнє значення вкалада</t>
  </si>
  <si>
    <t>Аналітичний спосіб</t>
  </si>
  <si>
    <t>Обчислення майбутньої вартості вкладу</t>
  </si>
  <si>
    <t>Майбутня вартість облігації</t>
  </si>
  <si>
    <t>Змінна</t>
  </si>
  <si>
    <t>Постійна</t>
  </si>
  <si>
    <t>Номінал</t>
  </si>
  <si>
    <t>Майбутня вартість:</t>
  </si>
  <si>
    <t>Знаходження суми, яку необхідно внести</t>
  </si>
  <si>
    <t>майбутня вартість</t>
  </si>
  <si>
    <t>Ставка, річна</t>
  </si>
  <si>
    <t>Термін, років</t>
  </si>
  <si>
    <t>потрібна сума</t>
  </si>
  <si>
    <t>щорічна рента</t>
  </si>
  <si>
    <t>вкладення</t>
  </si>
  <si>
    <t>Аналітичний спосіб:</t>
  </si>
  <si>
    <t>P0 за формулою складних відсотків</t>
  </si>
  <si>
    <t>Р0 за функцією ПС</t>
  </si>
  <si>
    <t>Розмір позики</t>
  </si>
  <si>
    <t>Щорічно повертаються гроші</t>
  </si>
  <si>
    <t>Річна облікова ставка</t>
  </si>
  <si>
    <t>Чистий поточний обсяг вкладу</t>
  </si>
  <si>
    <t>висновок:</t>
  </si>
  <si>
    <t>Автор: Acer , 05.12.2019</t>
  </si>
  <si>
    <t>Вигідно дати гроші в борг</t>
  </si>
  <si>
    <t>Платежі (плт)</t>
  </si>
  <si>
    <t>наведена вартість</t>
  </si>
  <si>
    <t>в рік</t>
  </si>
  <si>
    <t>регулярних платежів немає</t>
  </si>
  <si>
    <t>сума вкладу</t>
  </si>
  <si>
    <t>відсотки нараховуються в кінці місяця</t>
  </si>
  <si>
    <t>Кількість періодів(кпер)</t>
  </si>
  <si>
    <t>років</t>
  </si>
  <si>
    <t>періоди</t>
  </si>
  <si>
    <t>роки</t>
  </si>
  <si>
    <t>k (роки, прості)</t>
  </si>
  <si>
    <t>k (роки, складні)</t>
  </si>
  <si>
    <t>Розрахунок іпотечної позики</t>
  </si>
  <si>
    <t>Вихідні дані</t>
  </si>
  <si>
    <t>Ціна</t>
  </si>
  <si>
    <t>Перший внесок</t>
  </si>
  <si>
    <t>Річна процентна ставка</t>
  </si>
  <si>
    <t>Термін погашення позики:</t>
  </si>
  <si>
    <t>періодичні виплати</t>
  </si>
  <si>
    <t>Загальна сума виплат</t>
  </si>
  <si>
    <t>Загальна сума комісійних</t>
  </si>
  <si>
    <t>Щомісячні виплати</t>
  </si>
  <si>
    <t>Щорічні виплати</t>
  </si>
  <si>
    <t>Результат розрахунку</t>
  </si>
  <si>
    <t>місяців</t>
  </si>
  <si>
    <t>Кількість періодів</t>
  </si>
  <si>
    <t>Платіж щомісячний (ПЛТ)</t>
  </si>
  <si>
    <t>річна ставка</t>
  </si>
  <si>
    <t>регулярні виплати</t>
  </si>
  <si>
    <t>отриманий кредит</t>
  </si>
  <si>
    <t>аргумент опущений</t>
  </si>
  <si>
    <t>відсотки нараховуються на початку місяця</t>
  </si>
  <si>
    <t>щомісячна ставка</t>
  </si>
  <si>
    <t>Для простих відсотків</t>
  </si>
  <si>
    <t>За формулою(складні відсотки)</t>
  </si>
  <si>
    <t>за функцією(складні відсотки)</t>
  </si>
  <si>
    <t>reff-функція</t>
  </si>
  <si>
    <t>нарощенна сума</t>
  </si>
  <si>
    <t>Підприємиць 1</t>
  </si>
  <si>
    <t>Підприємиць 2</t>
  </si>
  <si>
    <t>складний</t>
  </si>
  <si>
    <t>простий</t>
  </si>
  <si>
    <t>відсотки</t>
  </si>
  <si>
    <t>сума</t>
  </si>
  <si>
    <t>% прибуток</t>
  </si>
  <si>
    <t>Складний відсоток</t>
  </si>
  <si>
    <t>Капітал</t>
  </si>
  <si>
    <t>відсоток</t>
  </si>
  <si>
    <t>Сума</t>
  </si>
  <si>
    <t>Період</t>
  </si>
  <si>
    <t>Простий (15,5%)</t>
  </si>
  <si>
    <t>Простий (20%)</t>
  </si>
  <si>
    <t xml:space="preserve">Простий кредитний калькулятор </t>
  </si>
  <si>
    <t>Сума кредиту</t>
  </si>
  <si>
    <t>Термін кредиту (міс)</t>
  </si>
  <si>
    <t>Сума щомісячних. виплат</t>
  </si>
  <si>
    <t>переплата</t>
  </si>
  <si>
    <t>Виплата кредиту</t>
  </si>
  <si>
    <t>Виплата відсотків</t>
  </si>
  <si>
    <t>Загальні виплати</t>
  </si>
  <si>
    <t>Залишилось виплатити</t>
  </si>
  <si>
    <t>Річна ставка</t>
  </si>
  <si>
    <t>планована виплата</t>
  </si>
  <si>
    <t>Платіж</t>
  </si>
  <si>
    <t>Сплата відсотків</t>
  </si>
  <si>
    <t>На виплату тіла кредиту</t>
  </si>
  <si>
    <t>Додатково</t>
  </si>
  <si>
    <t>Кредит з достроковим погашенням (зменшення терміну)</t>
  </si>
  <si>
    <t>Кредит з нерегулярними платежами</t>
  </si>
  <si>
    <t>Відсоток по кредиту</t>
  </si>
  <si>
    <t>Розмір початкового внеску</t>
  </si>
  <si>
    <t>Термін кредиту, міс.</t>
  </si>
  <si>
    <t>Відсоток за відкриття рахунку</t>
  </si>
  <si>
    <t>Щомісячні платежі за обслуговування рахунку</t>
  </si>
  <si>
    <t>Сума щомісячних виплат</t>
  </si>
  <si>
    <t>Реальна вартість покупки</t>
  </si>
  <si>
    <t>Загальна сума переплати</t>
  </si>
  <si>
    <t>Річний відсоток банку</t>
  </si>
  <si>
    <t>Автор: Автор , 11.05.2016
Автор изменений: Автор , 11.05.2016</t>
  </si>
  <si>
    <t>Використання функції АПЛ</t>
  </si>
  <si>
    <t>Початкова вартість</t>
  </si>
  <si>
    <t>Ліквідаційна вартість</t>
  </si>
  <si>
    <t>Період (в роках)</t>
  </si>
  <si>
    <t>Рік</t>
  </si>
  <si>
    <t>Величина амортизації</t>
  </si>
  <si>
    <t>Залишкова вартість</t>
  </si>
  <si>
    <t>Використання функції  АСЧ</t>
  </si>
  <si>
    <t>Використання функції  ФУО</t>
  </si>
  <si>
    <t>Використання функції  ДДОБ</t>
  </si>
  <si>
    <t>Використання функції  ПУО</t>
  </si>
  <si>
    <t>Фіксована ставка</t>
  </si>
  <si>
    <t>показники:</t>
  </si>
  <si>
    <t>Початкова вартість:</t>
  </si>
  <si>
    <t>Залишкова вартість:</t>
  </si>
  <si>
    <t>Термін корисної служби:</t>
  </si>
  <si>
    <t>Значення</t>
  </si>
  <si>
    <t>Підсумок:</t>
  </si>
  <si>
    <t>Метод списання</t>
  </si>
  <si>
    <t>Метод рівними частинами(АПЛ)</t>
  </si>
  <si>
    <t>Метод суми років(АСЧ)</t>
  </si>
  <si>
    <t>Метод подвійного списання(ДДОБ)</t>
  </si>
  <si>
    <t>Метод зменшеного залишку(ФУО)</t>
  </si>
  <si>
    <t>Постановка задачі</t>
  </si>
  <si>
    <t>комп'ютер вартістю</t>
  </si>
  <si>
    <t>Термін експлуатації</t>
  </si>
  <si>
    <t>Зниження вартості для кожного року</t>
  </si>
  <si>
    <t>Амортизація за перший рік</t>
  </si>
  <si>
    <t>Амортизація за останній рік</t>
  </si>
  <si>
    <t>Амортизація з фіксованою процентною ставкою</t>
  </si>
  <si>
    <t>Амортизація за 1 рік</t>
  </si>
  <si>
    <t>Амортизація за 2 рік</t>
  </si>
  <si>
    <t>Амортизація за 3 рік</t>
  </si>
  <si>
    <t>Амартізація за 4 рік</t>
  </si>
  <si>
    <t>Амартізація за 5 рік</t>
  </si>
  <si>
    <t>Амортизація з використанням методу подвійного обліку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</si>
</sst>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#,##0.00\ &quot;₽&quot;;[Red]\-#,##0.00\ &quot;₽&quot;"/>
    <numFmt numFmtId="164" formatCode="#,##0.00&quot;р.&quot;;[Red]\-#,##0.00&quot;р.&quot;"/>
    <numFmt numFmtId="165" formatCode="_-* #,##0.00_р_._-;\-* #,##0.00_р_._-;_-* &quot;-&quot;??_р_._-;_-@_-"/>
    <numFmt numFmtId="166" formatCode="0.0%"/>
    <numFmt numFmtId="167" formatCode="#,##0.00_ ;[Red]\-#,##0.00\ "/>
    <numFmt numFmtId="168" formatCode="0.000%"/>
    <numFmt numFmtId="169" formatCode="#,##0.00_ ;\-#,##0.00\ "/>
  </numFmts>
  <fonts count="2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indexed="9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10"/>
      <color indexed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indexed="9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indexed="9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b/>
      <sz val="12"/>
      <color indexed="9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1" xfId="0" applyBorder="1"/>
    <xf numFmtId="4" fontId="0" fillId="0" borderId="1" xfId="0" applyNumberFormat="1" applyBorder="1"/>
    <xf numFmtId="9" fontId="0" fillId="0" borderId="1" xfId="2" applyFont="1" applyBorder="1"/>
    <xf numFmtId="166" fontId="0" fillId="0" borderId="1" xfId="2" applyNumberFormat="1" applyFont="1" applyBorder="1"/>
    <xf numFmtId="10" fontId="0" fillId="0" borderId="1" xfId="2" applyNumberFormat="1" applyFont="1" applyBorder="1"/>
    <xf numFmtId="4" fontId="0" fillId="0" borderId="0" xfId="0" applyNumberFormat="1"/>
    <xf numFmtId="9" fontId="0" fillId="0" borderId="0" xfId="2" applyFont="1"/>
    <xf numFmtId="0" fontId="2" fillId="0" borderId="0" xfId="0" applyFont="1"/>
    <xf numFmtId="0" fontId="3" fillId="0" borderId="0" xfId="0" applyFont="1"/>
    <xf numFmtId="0" fontId="0" fillId="0" borderId="0" xfId="0" applyBorder="1"/>
    <xf numFmtId="4" fontId="0" fillId="0" borderId="0" xfId="0" applyNumberFormat="1" applyBorder="1" applyAlignment="1"/>
    <xf numFmtId="9" fontId="0" fillId="0" borderId="0" xfId="2" applyFont="1" applyBorder="1"/>
    <xf numFmtId="4" fontId="0" fillId="0" borderId="0" xfId="0" applyNumberFormat="1" applyBorder="1"/>
    <xf numFmtId="0" fontId="0" fillId="0" borderId="1" xfId="0" applyFill="1" applyBorder="1"/>
    <xf numFmtId="4" fontId="0" fillId="0" borderId="1" xfId="0" applyNumberFormat="1" applyFill="1" applyBorder="1" applyAlignment="1"/>
    <xf numFmtId="9" fontId="0" fillId="0" borderId="1" xfId="2" applyFont="1" applyFill="1" applyBorder="1"/>
    <xf numFmtId="4" fontId="0" fillId="0" borderId="1" xfId="0" applyNumberFormat="1" applyFill="1" applyBorder="1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3" xfId="0" applyFill="1" applyBorder="1" applyAlignment="1"/>
    <xf numFmtId="0" fontId="4" fillId="2" borderId="4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5" fillId="3" borderId="0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0" fillId="4" borderId="0" xfId="0" applyFill="1" applyBorder="1" applyAlignment="1"/>
    <xf numFmtId="0" fontId="8" fillId="0" borderId="0" xfId="0" applyFont="1" applyFill="1" applyBorder="1" applyAlignment="1">
      <alignment vertical="top" wrapText="1"/>
    </xf>
    <xf numFmtId="167" fontId="0" fillId="0" borderId="0" xfId="0" applyNumberFormat="1" applyFill="1" applyBorder="1" applyAlignment="1"/>
    <xf numFmtId="167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3" fontId="0" fillId="0" borderId="1" xfId="0" applyNumberFormat="1" applyBorder="1"/>
    <xf numFmtId="9" fontId="0" fillId="0" borderId="0" xfId="0" applyNumberFormat="1"/>
    <xf numFmtId="168" fontId="0" fillId="0" borderId="1" xfId="2" applyNumberFormat="1" applyFont="1" applyBorder="1"/>
    <xf numFmtId="168" fontId="0" fillId="0" borderId="1" xfId="0" applyNumberFormat="1" applyBorder="1"/>
    <xf numFmtId="0" fontId="0" fillId="0" borderId="6" xfId="0" applyBorder="1"/>
    <xf numFmtId="168" fontId="0" fillId="0" borderId="6" xfId="2" applyNumberFormat="1" applyFont="1" applyBorder="1"/>
    <xf numFmtId="0" fontId="0" fillId="0" borderId="8" xfId="0" applyBorder="1"/>
    <xf numFmtId="168" fontId="0" fillId="0" borderId="9" xfId="0" applyNumberFormat="1" applyBorder="1"/>
    <xf numFmtId="0" fontId="0" fillId="0" borderId="3" xfId="0" applyBorder="1"/>
    <xf numFmtId="169" fontId="0" fillId="0" borderId="1" xfId="1" applyNumberFormat="1" applyFont="1" applyBorder="1"/>
    <xf numFmtId="0" fontId="2" fillId="0" borderId="3" xfId="0" applyFont="1" applyBorder="1"/>
    <xf numFmtId="0" fontId="2" fillId="0" borderId="0" xfId="0" applyFont="1" applyAlignment="1">
      <alignment horizontal="center" vertical="center"/>
    </xf>
    <xf numFmtId="0" fontId="0" fillId="0" borderId="10" xfId="0" applyBorder="1"/>
    <xf numFmtId="0" fontId="2" fillId="0" borderId="10" xfId="0" applyFont="1" applyBorder="1" applyAlignment="1">
      <alignment horizontal="center" vertical="center"/>
    </xf>
    <xf numFmtId="2" fontId="2" fillId="0" borderId="0" xfId="0" applyNumberFormat="1" applyFont="1"/>
    <xf numFmtId="0" fontId="12" fillId="0" borderId="0" xfId="0" applyFont="1"/>
    <xf numFmtId="0" fontId="2" fillId="0" borderId="1" xfId="0" applyFont="1" applyBorder="1"/>
    <xf numFmtId="0" fontId="2" fillId="0" borderId="0" xfId="0" applyFont="1" applyBorder="1"/>
    <xf numFmtId="167" fontId="0" fillId="0" borderId="0" xfId="0" applyNumberFormat="1" applyBorder="1"/>
    <xf numFmtId="14" fontId="0" fillId="0" borderId="0" xfId="0" applyNumberFormat="1"/>
    <xf numFmtId="166" fontId="0" fillId="0" borderId="0" xfId="2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164" fontId="0" fillId="0" borderId="0" xfId="0" applyNumberFormat="1" applyFill="1" applyBorder="1" applyAlignment="1"/>
    <xf numFmtId="164" fontId="0" fillId="0" borderId="3" xfId="0" applyNumberFormat="1" applyFill="1" applyBorder="1" applyAlignment="1"/>
    <xf numFmtId="0" fontId="13" fillId="2" borderId="4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left"/>
    </xf>
    <xf numFmtId="0" fontId="15" fillId="3" borderId="5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9" fontId="0" fillId="0" borderId="0" xfId="0" applyNumberFormat="1" applyFill="1" applyBorder="1" applyAlignment="1"/>
    <xf numFmtId="4" fontId="0" fillId="0" borderId="0" xfId="0" applyNumberFormat="1" applyFill="1" applyBorder="1" applyAlignment="1"/>
    <xf numFmtId="166" fontId="0" fillId="0" borderId="0" xfId="0" applyNumberFormat="1" applyFill="1" applyBorder="1" applyAlignment="1"/>
    <xf numFmtId="9" fontId="0" fillId="4" borderId="0" xfId="0" applyNumberFormat="1" applyFill="1" applyBorder="1" applyAlignment="1"/>
    <xf numFmtId="4" fontId="0" fillId="4" borderId="0" xfId="0" applyNumberFormat="1" applyFill="1" applyBorder="1" applyAlignment="1"/>
    <xf numFmtId="166" fontId="0" fillId="4" borderId="0" xfId="0" applyNumberFormat="1" applyFill="1" applyBorder="1" applyAlignment="1"/>
    <xf numFmtId="0" fontId="0" fillId="0" borderId="0" xfId="0" applyFill="1" applyBorder="1"/>
    <xf numFmtId="164" fontId="0" fillId="0" borderId="0" xfId="0" applyNumberFormat="1" applyBorder="1"/>
    <xf numFmtId="0" fontId="16" fillId="0" borderId="0" xfId="0" applyFont="1"/>
    <xf numFmtId="0" fontId="2" fillId="0" borderId="1" xfId="0" applyFont="1" applyBorder="1" applyAlignment="1">
      <alignment horizontal="center" vertical="center" wrapText="1"/>
    </xf>
    <xf numFmtId="0" fontId="17" fillId="0" borderId="0" xfId="0" applyFont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" xfId="0" applyBorder="1" applyAlignment="1">
      <alignment wrapText="1"/>
    </xf>
    <xf numFmtId="4" fontId="0" fillId="0" borderId="12" xfId="0" applyNumberFormat="1" applyBorder="1"/>
    <xf numFmtId="4" fontId="0" fillId="0" borderId="17" xfId="0" applyNumberFormat="1" applyBorder="1"/>
    <xf numFmtId="0" fontId="2" fillId="0" borderId="0" xfId="0" applyFont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0" fontId="0" fillId="0" borderId="0" xfId="0" applyFont="1" applyBorder="1"/>
    <xf numFmtId="4" fontId="0" fillId="0" borderId="0" xfId="0" applyNumberFormat="1" applyFont="1" applyBorder="1" applyAlignment="1"/>
    <xf numFmtId="9" fontId="1" fillId="0" borderId="0" xfId="2" applyFont="1" applyBorder="1"/>
    <xf numFmtId="4" fontId="0" fillId="0" borderId="0" xfId="0" applyNumberFormat="1" applyFont="1" applyBorder="1"/>
    <xf numFmtId="0" fontId="18" fillId="0" borderId="0" xfId="0" applyFont="1" applyBorder="1"/>
    <xf numFmtId="0" fontId="0" fillId="0" borderId="0" xfId="0" applyFont="1" applyFill="1" applyBorder="1"/>
    <xf numFmtId="4" fontId="0" fillId="0" borderId="0" xfId="0" applyNumberFormat="1" applyFont="1" applyFill="1" applyBorder="1" applyAlignment="1"/>
    <xf numFmtId="9" fontId="1" fillId="0" borderId="0" xfId="2" applyFont="1" applyFill="1" applyBorder="1"/>
    <xf numFmtId="4" fontId="0" fillId="0" borderId="0" xfId="0" applyNumberFormat="1" applyFont="1" applyFill="1" applyBorder="1"/>
    <xf numFmtId="8" fontId="0" fillId="0" borderId="0" xfId="0" applyNumberFormat="1"/>
    <xf numFmtId="0" fontId="19" fillId="2" borderId="4" xfId="0" applyFont="1" applyFill="1" applyBorder="1" applyAlignment="1">
      <alignment horizontal="left"/>
    </xf>
    <xf numFmtId="0" fontId="19" fillId="2" borderId="2" xfId="0" applyFont="1" applyFill="1" applyBorder="1" applyAlignment="1">
      <alignment horizontal="left"/>
    </xf>
    <xf numFmtId="0" fontId="20" fillId="3" borderId="0" xfId="0" applyFont="1" applyFill="1" applyBorder="1" applyAlignment="1">
      <alignment horizontal="left"/>
    </xf>
    <xf numFmtId="0" fontId="21" fillId="3" borderId="5" xfId="0" applyFont="1" applyFill="1" applyBorder="1" applyAlignment="1">
      <alignment horizontal="left"/>
    </xf>
    <xf numFmtId="0" fontId="20" fillId="3" borderId="3" xfId="0" applyFont="1" applyFill="1" applyBorder="1" applyAlignment="1">
      <alignment horizontal="left"/>
    </xf>
    <xf numFmtId="0" fontId="8" fillId="0" borderId="0" xfId="0" applyFont="1" applyFill="1" applyBorder="1" applyAlignment="1"/>
    <xf numFmtId="1" fontId="0" fillId="0" borderId="0" xfId="0" applyNumberFormat="1"/>
    <xf numFmtId="4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8" fontId="0" fillId="0" borderId="1" xfId="2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22" fillId="2" borderId="4" xfId="0" applyFont="1" applyFill="1" applyBorder="1" applyAlignment="1">
      <alignment horizontal="left"/>
    </xf>
    <xf numFmtId="0" fontId="22" fillId="2" borderId="2" xfId="0" applyFont="1" applyFill="1" applyBorder="1" applyAlignment="1">
      <alignment horizontal="left"/>
    </xf>
    <xf numFmtId="0" fontId="23" fillId="3" borderId="0" xfId="0" applyFont="1" applyFill="1" applyBorder="1" applyAlignment="1">
      <alignment horizontal="left"/>
    </xf>
    <xf numFmtId="0" fontId="24" fillId="3" borderId="5" xfId="0" applyFont="1" applyFill="1" applyBorder="1" applyAlignment="1">
      <alignment horizontal="left"/>
    </xf>
    <xf numFmtId="0" fontId="23" fillId="3" borderId="3" xfId="0" applyFont="1" applyFill="1" applyBorder="1" applyAlignment="1">
      <alignment horizontal="left"/>
    </xf>
    <xf numFmtId="0" fontId="0" fillId="5" borderId="0" xfId="0" applyFill="1"/>
    <xf numFmtId="0" fontId="24" fillId="6" borderId="5" xfId="0" applyFont="1" applyFill="1" applyBorder="1" applyAlignment="1">
      <alignment horizontal="left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Лист14!$A$13</c:f>
              <c:strCache>
                <c:ptCount val="1"/>
                <c:pt idx="0">
                  <c:v>Складний відсоток</c:v>
                </c:pt>
              </c:strCache>
            </c:strRef>
          </c:tx>
          <c:marker>
            <c:symbol val="none"/>
          </c:marker>
          <c:val>
            <c:numRef>
              <c:f>Лист14!$C$15:$C$34</c:f>
              <c:numCache>
                <c:formatCode>General</c:formatCode>
                <c:ptCount val="20"/>
                <c:pt idx="0">
                  <c:v>11299.999999999998</c:v>
                </c:pt>
                <c:pt idx="1">
                  <c:v>12769</c:v>
                </c:pt>
                <c:pt idx="2" formatCode="0.00">
                  <c:v>14428.97</c:v>
                </c:pt>
                <c:pt idx="3" formatCode="0.00">
                  <c:v>16304.736099999998</c:v>
                </c:pt>
                <c:pt idx="4" formatCode="0.00">
                  <c:v>18424.351792999998</c:v>
                </c:pt>
                <c:pt idx="5" formatCode="0.00">
                  <c:v>20819.517526089996</c:v>
                </c:pt>
                <c:pt idx="6" formatCode="0.00">
                  <c:v>23526.054804481693</c:v>
                </c:pt>
                <c:pt idx="7" formatCode="0.00">
                  <c:v>26584.441929064313</c:v>
                </c:pt>
                <c:pt idx="8" formatCode="0.00">
                  <c:v>30040.419379842671</c:v>
                </c:pt>
                <c:pt idx="9" formatCode="0.00">
                  <c:v>33945.673899222216</c:v>
                </c:pt>
                <c:pt idx="10" formatCode="0.00">
                  <c:v>38358.611506121102</c:v>
                </c:pt>
                <c:pt idx="11" formatCode="0.00">
                  <c:v>43345.231001916844</c:v>
                </c:pt>
                <c:pt idx="12" formatCode="0.00">
                  <c:v>48980.111032166031</c:v>
                </c:pt>
                <c:pt idx="13" formatCode="0.00">
                  <c:v>55347.525466347608</c:v>
                </c:pt>
                <c:pt idx="14" formatCode="0.00">
                  <c:v>62542.70377697279</c:v>
                </c:pt>
                <c:pt idx="15" formatCode="0.00">
                  <c:v>70673.255267979242</c:v>
                </c:pt>
                <c:pt idx="16" formatCode="0.00">
                  <c:v>79860.778452816536</c:v>
                </c:pt>
                <c:pt idx="17" formatCode="0.00">
                  <c:v>90242.679651682673</c:v>
                </c:pt>
                <c:pt idx="18" formatCode="0.00">
                  <c:v>101974.2280064014</c:v>
                </c:pt>
                <c:pt idx="19" formatCode="0.00">
                  <c:v>115230.87764723357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7-43F0-B19C-F26F3379F7CD}"/>
            </c:ext>
          </c:extLst>
        </c:ser>
        <c:ser>
          <c:idx val="1"/>
          <c:order val="1"/>
          <c:tx>
            <c:strRef>
              <c:f>Лист14!$E$13</c:f>
              <c:strCache>
                <c:ptCount val="1"/>
                <c:pt idx="0">
                  <c:v>Простий (15,5%)</c:v>
                </c:pt>
              </c:strCache>
            </c:strRef>
          </c:tx>
          <c:marker>
            <c:symbol val="none"/>
          </c:marker>
          <c:val>
            <c:numRef>
              <c:f>Лист14!$G$15:$G$34</c:f>
              <c:numCache>
                <c:formatCode>General</c:formatCode>
                <c:ptCount val="20"/>
                <c:pt idx="0">
                  <c:v>11550</c:v>
                </c:pt>
                <c:pt idx="1">
                  <c:v>13100</c:v>
                </c:pt>
                <c:pt idx="2">
                  <c:v>14650</c:v>
                </c:pt>
                <c:pt idx="3">
                  <c:v>16200</c:v>
                </c:pt>
                <c:pt idx="4">
                  <c:v>17750</c:v>
                </c:pt>
                <c:pt idx="5">
                  <c:v>19300</c:v>
                </c:pt>
                <c:pt idx="6">
                  <c:v>20850</c:v>
                </c:pt>
                <c:pt idx="7">
                  <c:v>22400</c:v>
                </c:pt>
                <c:pt idx="8">
                  <c:v>23950</c:v>
                </c:pt>
                <c:pt idx="9">
                  <c:v>25500</c:v>
                </c:pt>
                <c:pt idx="10">
                  <c:v>27050</c:v>
                </c:pt>
                <c:pt idx="11">
                  <c:v>28600</c:v>
                </c:pt>
                <c:pt idx="12">
                  <c:v>30150</c:v>
                </c:pt>
                <c:pt idx="13">
                  <c:v>31700</c:v>
                </c:pt>
                <c:pt idx="14">
                  <c:v>33250</c:v>
                </c:pt>
                <c:pt idx="15">
                  <c:v>34800</c:v>
                </c:pt>
                <c:pt idx="16">
                  <c:v>36350</c:v>
                </c:pt>
                <c:pt idx="17">
                  <c:v>37900</c:v>
                </c:pt>
                <c:pt idx="18">
                  <c:v>39450</c:v>
                </c:pt>
                <c:pt idx="19">
                  <c:v>41000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7-43F0-B19C-F26F3379F7CD}"/>
            </c:ext>
          </c:extLst>
        </c:ser>
        <c:ser>
          <c:idx val="2"/>
          <c:order val="2"/>
          <c:tx>
            <c:strRef>
              <c:f>Лист14!$I$13</c:f>
              <c:strCache>
                <c:ptCount val="1"/>
                <c:pt idx="0">
                  <c:v>Простий (20%)</c:v>
                </c:pt>
              </c:strCache>
            </c:strRef>
          </c:tx>
          <c:marker>
            <c:symbol val="none"/>
          </c:marker>
          <c:val>
            <c:numRef>
              <c:f>Лист14!$K$15:$K$34</c:f>
              <c:numCache>
                <c:formatCode>General</c:formatCode>
                <c:ptCount val="20"/>
                <c:pt idx="0">
                  <c:v>12000</c:v>
                </c:pt>
                <c:pt idx="1">
                  <c:v>14000</c:v>
                </c:pt>
                <c:pt idx="2">
                  <c:v>16000</c:v>
                </c:pt>
                <c:pt idx="3">
                  <c:v>18000</c:v>
                </c:pt>
                <c:pt idx="4">
                  <c:v>20000</c:v>
                </c:pt>
                <c:pt idx="5">
                  <c:v>22000</c:v>
                </c:pt>
                <c:pt idx="6">
                  <c:v>24000</c:v>
                </c:pt>
                <c:pt idx="7">
                  <c:v>26000</c:v>
                </c:pt>
                <c:pt idx="8">
                  <c:v>28000</c:v>
                </c:pt>
                <c:pt idx="9">
                  <c:v>30000</c:v>
                </c:pt>
                <c:pt idx="10">
                  <c:v>32000</c:v>
                </c:pt>
                <c:pt idx="11">
                  <c:v>34000</c:v>
                </c:pt>
                <c:pt idx="12">
                  <c:v>36000</c:v>
                </c:pt>
                <c:pt idx="13">
                  <c:v>38000</c:v>
                </c:pt>
                <c:pt idx="14">
                  <c:v>40000</c:v>
                </c:pt>
                <c:pt idx="15">
                  <c:v>42000</c:v>
                </c:pt>
                <c:pt idx="16">
                  <c:v>44000</c:v>
                </c:pt>
                <c:pt idx="17">
                  <c:v>46000</c:v>
                </c:pt>
                <c:pt idx="18">
                  <c:v>48000</c:v>
                </c:pt>
                <c:pt idx="19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97-43F0-B19C-F26F3379F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08448"/>
        <c:axId val="108834816"/>
      </c:lineChart>
      <c:catAx>
        <c:axId val="10880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8834816"/>
        <c:crosses val="autoZero"/>
        <c:auto val="1"/>
        <c:lblAlgn val="ctr"/>
        <c:lblOffset val="100"/>
        <c:noMultiLvlLbl val="0"/>
      </c:catAx>
      <c:valAx>
        <c:axId val="10883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80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Лист17!$C$7</c:f>
              <c:strCache>
                <c:ptCount val="1"/>
                <c:pt idx="0">
                  <c:v>Залишкова вартість</c:v>
                </c:pt>
              </c:strCache>
            </c:strRef>
          </c:tx>
          <c:marker>
            <c:symbol val="square"/>
            <c:size val="5"/>
          </c:marker>
          <c:val>
            <c:numRef>
              <c:f>Лист17!$C$8:$C$13</c:f>
              <c:numCache>
                <c:formatCode>#,##0.00</c:formatCode>
                <c:ptCount val="6"/>
                <c:pt idx="0">
                  <c:v>10000</c:v>
                </c:pt>
                <c:pt idx="1">
                  <c:v>8400</c:v>
                </c:pt>
                <c:pt idx="2">
                  <c:v>6800</c:v>
                </c:pt>
                <c:pt idx="3">
                  <c:v>5200</c:v>
                </c:pt>
                <c:pt idx="4">
                  <c:v>3600</c:v>
                </c:pt>
                <c:pt idx="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590-B1F3-48B2BF4A3142}"/>
            </c:ext>
          </c:extLst>
        </c:ser>
        <c:ser>
          <c:idx val="1"/>
          <c:order val="1"/>
          <c:tx>
            <c:strRef>
              <c:f>Лист17!$A$7</c:f>
              <c:strCache>
                <c:ptCount val="1"/>
                <c:pt idx="0">
                  <c:v>Рік</c:v>
                </c:pt>
              </c:strCache>
            </c:strRef>
          </c:tx>
          <c:marker>
            <c:symbol val="none"/>
          </c:marker>
          <c:val>
            <c:numRef>
              <c:f>Лист17!$A$8:$A$13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F-4590-B1F3-48B2BF4A3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86464"/>
        <c:axId val="109488000"/>
      </c:lineChart>
      <c:catAx>
        <c:axId val="10948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488000"/>
        <c:crosses val="autoZero"/>
        <c:auto val="1"/>
        <c:lblAlgn val="ctr"/>
        <c:lblOffset val="100"/>
        <c:noMultiLvlLbl val="0"/>
      </c:catAx>
      <c:valAx>
        <c:axId val="10948800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9486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Лист17!$C$7</c:f>
              <c:strCache>
                <c:ptCount val="1"/>
                <c:pt idx="0">
                  <c:v>Залишкова вартість</c:v>
                </c:pt>
              </c:strCache>
            </c:strRef>
          </c:tx>
          <c:marker>
            <c:symbol val="square"/>
            <c:size val="5"/>
          </c:marker>
          <c:val>
            <c:numRef>
              <c:f>Лист17.2!$C$8:$C$13</c:f>
              <c:numCache>
                <c:formatCode>#,##0.00</c:formatCode>
                <c:ptCount val="6"/>
                <c:pt idx="0">
                  <c:v>10000</c:v>
                </c:pt>
                <c:pt idx="1">
                  <c:v>7333.3333333333339</c:v>
                </c:pt>
                <c:pt idx="2">
                  <c:v>5200</c:v>
                </c:pt>
                <c:pt idx="3">
                  <c:v>3600</c:v>
                </c:pt>
                <c:pt idx="4">
                  <c:v>2533.333333333333</c:v>
                </c:pt>
                <c:pt idx="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F-4F9B-AD98-EA20E997F8C4}"/>
            </c:ext>
          </c:extLst>
        </c:ser>
        <c:ser>
          <c:idx val="1"/>
          <c:order val="1"/>
          <c:tx>
            <c:strRef>
              <c:f>Лист17!$A$7</c:f>
              <c:strCache>
                <c:ptCount val="1"/>
                <c:pt idx="0">
                  <c:v>Рік</c:v>
                </c:pt>
              </c:strCache>
            </c:strRef>
          </c:tx>
          <c:marker>
            <c:symbol val="none"/>
          </c:marker>
          <c:val>
            <c:numRef>
              <c:f>Лист17!$A$8:$A$13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F-4F9B-AD98-EA20E997F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75616"/>
        <c:axId val="118177152"/>
      </c:lineChart>
      <c:catAx>
        <c:axId val="11817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8177152"/>
        <c:crosses val="autoZero"/>
        <c:auto val="1"/>
        <c:lblAlgn val="ctr"/>
        <c:lblOffset val="100"/>
        <c:noMultiLvlLbl val="0"/>
      </c:catAx>
      <c:valAx>
        <c:axId val="11817715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8175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Лист17!$C$7</c:f>
              <c:strCache>
                <c:ptCount val="1"/>
                <c:pt idx="0">
                  <c:v>Залишкова вартість</c:v>
                </c:pt>
              </c:strCache>
            </c:strRef>
          </c:tx>
          <c:marker>
            <c:symbol val="square"/>
            <c:size val="5"/>
          </c:marker>
          <c:val>
            <c:numRef>
              <c:f>Лист17.2!$C$8:$C$13</c:f>
              <c:numCache>
                <c:formatCode>#,##0.00</c:formatCode>
                <c:ptCount val="6"/>
                <c:pt idx="0">
                  <c:v>10000</c:v>
                </c:pt>
                <c:pt idx="1">
                  <c:v>7333.3333333333339</c:v>
                </c:pt>
                <c:pt idx="2">
                  <c:v>5200</c:v>
                </c:pt>
                <c:pt idx="3">
                  <c:v>3600</c:v>
                </c:pt>
                <c:pt idx="4">
                  <c:v>2533.333333333333</c:v>
                </c:pt>
                <c:pt idx="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BF-4886-AB66-A9EDB0E75603}"/>
            </c:ext>
          </c:extLst>
        </c:ser>
        <c:ser>
          <c:idx val="1"/>
          <c:order val="1"/>
          <c:tx>
            <c:strRef>
              <c:f>Лист17!$A$7</c:f>
              <c:strCache>
                <c:ptCount val="1"/>
                <c:pt idx="0">
                  <c:v>Рік</c:v>
                </c:pt>
              </c:strCache>
            </c:strRef>
          </c:tx>
          <c:marker>
            <c:symbol val="none"/>
          </c:marker>
          <c:val>
            <c:numRef>
              <c:f>Лист17!$A$8:$A$13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F-4886-AB66-A9EDB0E75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38592"/>
        <c:axId val="118252672"/>
      </c:lineChart>
      <c:catAx>
        <c:axId val="11823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8252672"/>
        <c:crosses val="autoZero"/>
        <c:auto val="1"/>
        <c:lblAlgn val="ctr"/>
        <c:lblOffset val="100"/>
        <c:noMultiLvlLbl val="0"/>
      </c:catAx>
      <c:valAx>
        <c:axId val="11825267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8238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Лист17!$C$7</c:f>
              <c:strCache>
                <c:ptCount val="1"/>
                <c:pt idx="0">
                  <c:v>Залишкова вартість</c:v>
                </c:pt>
              </c:strCache>
            </c:strRef>
          </c:tx>
          <c:marker>
            <c:symbol val="square"/>
            <c:size val="5"/>
          </c:marker>
          <c:val>
            <c:numRef>
              <c:f>Лист17.3!$C$8:$C$14</c:f>
              <c:numCache>
                <c:formatCode>#,##0.00</c:formatCode>
                <c:ptCount val="7"/>
                <c:pt idx="0">
                  <c:v>10000</c:v>
                </c:pt>
                <c:pt idx="1">
                  <c:v>8625</c:v>
                </c:pt>
                <c:pt idx="2">
                  <c:v>6253.125</c:v>
                </c:pt>
                <c:pt idx="3">
                  <c:v>4533.515625</c:v>
                </c:pt>
                <c:pt idx="4">
                  <c:v>3286.798828125</c:v>
                </c:pt>
                <c:pt idx="5">
                  <c:v>2382.9291503906252</c:v>
                </c:pt>
                <c:pt idx="6">
                  <c:v>2055.2763922119138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7-49B4-97B6-88F6B37C3778}"/>
            </c:ext>
          </c:extLst>
        </c:ser>
        <c:ser>
          <c:idx val="1"/>
          <c:order val="1"/>
          <c:tx>
            <c:strRef>
              <c:f>Лист17!$A$7</c:f>
              <c:strCache>
                <c:ptCount val="1"/>
                <c:pt idx="0">
                  <c:v>Рік</c:v>
                </c:pt>
              </c:strCache>
            </c:strRef>
          </c:tx>
          <c:marker>
            <c:symbol val="none"/>
          </c:marker>
          <c:val>
            <c:numRef>
              <c:f>Лист17!$A$8:$A$13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7-49B4-97B6-88F6B37C3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72768"/>
        <c:axId val="118274304"/>
      </c:lineChart>
      <c:catAx>
        <c:axId val="11827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8274304"/>
        <c:crosses val="autoZero"/>
        <c:auto val="1"/>
        <c:lblAlgn val="ctr"/>
        <c:lblOffset val="100"/>
        <c:noMultiLvlLbl val="0"/>
      </c:catAx>
      <c:valAx>
        <c:axId val="11827430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8272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Лист17!$C$7</c:f>
              <c:strCache>
                <c:ptCount val="1"/>
                <c:pt idx="0">
                  <c:v>Залишкова вартість</c:v>
                </c:pt>
              </c:strCache>
            </c:strRef>
          </c:tx>
          <c:marker>
            <c:symbol val="square"/>
            <c:size val="5"/>
          </c:marker>
          <c:val>
            <c:numRef>
              <c:f>Лист17.2!$C$8:$C$13</c:f>
              <c:numCache>
                <c:formatCode>#,##0.00</c:formatCode>
                <c:ptCount val="6"/>
                <c:pt idx="0">
                  <c:v>10000</c:v>
                </c:pt>
                <c:pt idx="1">
                  <c:v>7333.3333333333339</c:v>
                </c:pt>
                <c:pt idx="2">
                  <c:v>5200</c:v>
                </c:pt>
                <c:pt idx="3">
                  <c:v>3600</c:v>
                </c:pt>
                <c:pt idx="4">
                  <c:v>2533.333333333333</c:v>
                </c:pt>
                <c:pt idx="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7-4095-8EBF-B2D7D2461712}"/>
            </c:ext>
          </c:extLst>
        </c:ser>
        <c:ser>
          <c:idx val="1"/>
          <c:order val="1"/>
          <c:tx>
            <c:strRef>
              <c:f>Лист17!$A$7</c:f>
              <c:strCache>
                <c:ptCount val="1"/>
                <c:pt idx="0">
                  <c:v>Рік</c:v>
                </c:pt>
              </c:strCache>
            </c:strRef>
          </c:tx>
          <c:marker>
            <c:symbol val="none"/>
          </c:marker>
          <c:val>
            <c:numRef>
              <c:f>Лист17!$A$8:$A$13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7-4095-8EBF-B2D7D2461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20448"/>
        <c:axId val="109322240"/>
      </c:lineChart>
      <c:catAx>
        <c:axId val="10932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322240"/>
        <c:crosses val="autoZero"/>
        <c:auto val="1"/>
        <c:lblAlgn val="ctr"/>
        <c:lblOffset val="100"/>
        <c:noMultiLvlLbl val="0"/>
      </c:catAx>
      <c:valAx>
        <c:axId val="10932224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9320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Лист17!$C$7</c:f>
              <c:strCache>
                <c:ptCount val="1"/>
                <c:pt idx="0">
                  <c:v>Залишкова вартість</c:v>
                </c:pt>
              </c:strCache>
            </c:strRef>
          </c:tx>
          <c:marker>
            <c:symbol val="square"/>
            <c:size val="5"/>
          </c:marker>
          <c:val>
            <c:numRef>
              <c:f>Лист17.4!$C$8:$C$13</c:f>
              <c:numCache>
                <c:formatCode>#,##0.00</c:formatCode>
                <c:ptCount val="6"/>
                <c:pt idx="0">
                  <c:v>10000</c:v>
                </c:pt>
                <c:pt idx="1">
                  <c:v>6000</c:v>
                </c:pt>
                <c:pt idx="2">
                  <c:v>3600</c:v>
                </c:pt>
                <c:pt idx="3">
                  <c:v>2160</c:v>
                </c:pt>
                <c:pt idx="4">
                  <c:v>2000</c:v>
                </c:pt>
                <c:pt idx="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88-4EE9-B46F-A80F1BF44BAC}"/>
            </c:ext>
          </c:extLst>
        </c:ser>
        <c:ser>
          <c:idx val="1"/>
          <c:order val="1"/>
          <c:tx>
            <c:strRef>
              <c:f>Лист17!$A$7</c:f>
              <c:strCache>
                <c:ptCount val="1"/>
                <c:pt idx="0">
                  <c:v>Рік</c:v>
                </c:pt>
              </c:strCache>
            </c:strRef>
          </c:tx>
          <c:marker>
            <c:symbol val="none"/>
          </c:marker>
          <c:val>
            <c:numRef>
              <c:f>Лист17!$A$8:$A$13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88-4EE9-B46F-A80F1BF44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62560"/>
        <c:axId val="118203520"/>
      </c:lineChart>
      <c:catAx>
        <c:axId val="109362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18203520"/>
        <c:crosses val="autoZero"/>
        <c:auto val="1"/>
        <c:lblAlgn val="ctr"/>
        <c:lblOffset val="100"/>
        <c:noMultiLvlLbl val="0"/>
      </c:catAx>
      <c:valAx>
        <c:axId val="11820352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9362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Лист17!$C$7</c:f>
              <c:strCache>
                <c:ptCount val="1"/>
                <c:pt idx="0">
                  <c:v>Залишкова вартість</c:v>
                </c:pt>
              </c:strCache>
            </c:strRef>
          </c:tx>
          <c:marker>
            <c:symbol val="square"/>
            <c:size val="5"/>
          </c:marker>
          <c:val>
            <c:numRef>
              <c:f>Лист17.2!$C$8:$C$13</c:f>
              <c:numCache>
                <c:formatCode>#,##0.00</c:formatCode>
                <c:ptCount val="6"/>
                <c:pt idx="0">
                  <c:v>10000</c:v>
                </c:pt>
                <c:pt idx="1">
                  <c:v>7333.3333333333339</c:v>
                </c:pt>
                <c:pt idx="2">
                  <c:v>5200</c:v>
                </c:pt>
                <c:pt idx="3">
                  <c:v>3600</c:v>
                </c:pt>
                <c:pt idx="4">
                  <c:v>2533.333333333333</c:v>
                </c:pt>
                <c:pt idx="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8-4D14-B605-93E40C425E8E}"/>
            </c:ext>
          </c:extLst>
        </c:ser>
        <c:ser>
          <c:idx val="1"/>
          <c:order val="1"/>
          <c:tx>
            <c:strRef>
              <c:f>Лист17!$A$7</c:f>
              <c:strCache>
                <c:ptCount val="1"/>
                <c:pt idx="0">
                  <c:v>Рік</c:v>
                </c:pt>
              </c:strCache>
            </c:strRef>
          </c:tx>
          <c:marker>
            <c:symbol val="none"/>
          </c:marker>
          <c:val>
            <c:numRef>
              <c:f>Лист17!$A$8:$A$13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8-4D14-B605-93E40C425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00256"/>
        <c:axId val="119601792"/>
      </c:lineChart>
      <c:catAx>
        <c:axId val="11960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9601792"/>
        <c:crosses val="autoZero"/>
        <c:auto val="1"/>
        <c:lblAlgn val="ctr"/>
        <c:lblOffset val="100"/>
        <c:noMultiLvlLbl val="0"/>
      </c:catAx>
      <c:valAx>
        <c:axId val="11960179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9600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Лист17!$C$7</c:f>
              <c:strCache>
                <c:ptCount val="1"/>
                <c:pt idx="0">
                  <c:v>Залишкова вартість</c:v>
                </c:pt>
              </c:strCache>
            </c:strRef>
          </c:tx>
          <c:marker>
            <c:symbol val="square"/>
            <c:size val="5"/>
          </c:marker>
          <c:val>
            <c:numRef>
              <c:f>Лист17.5!$C$8:$C$13</c:f>
              <c:numCache>
                <c:formatCode>#,##0.00</c:formatCode>
                <c:ptCount val="6"/>
                <c:pt idx="0">
                  <c:v>10000</c:v>
                </c:pt>
                <c:pt idx="1">
                  <c:v>8000</c:v>
                </c:pt>
                <c:pt idx="2">
                  <c:v>6400</c:v>
                </c:pt>
                <c:pt idx="3">
                  <c:v>4933.333333333333</c:v>
                </c:pt>
                <c:pt idx="4">
                  <c:v>3466.6666666666661</c:v>
                </c:pt>
                <c:pt idx="5">
                  <c:v>1999.9999999999991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8-499D-8C39-0C461C078E5B}"/>
            </c:ext>
          </c:extLst>
        </c:ser>
        <c:ser>
          <c:idx val="1"/>
          <c:order val="1"/>
          <c:tx>
            <c:strRef>
              <c:f>Лист17!$A$7</c:f>
              <c:strCache>
                <c:ptCount val="1"/>
                <c:pt idx="0">
                  <c:v>Рік</c:v>
                </c:pt>
              </c:strCache>
            </c:strRef>
          </c:tx>
          <c:marker>
            <c:symbol val="none"/>
          </c:marker>
          <c:val>
            <c:numRef>
              <c:f>Лист17!$A$8:$A$13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8-499D-8C39-0C461C078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83328"/>
        <c:axId val="119705600"/>
      </c:lineChart>
      <c:catAx>
        <c:axId val="11968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9705600"/>
        <c:crosses val="autoZero"/>
        <c:auto val="1"/>
        <c:lblAlgn val="ctr"/>
        <c:lblOffset val="100"/>
        <c:noMultiLvlLbl val="0"/>
      </c:catAx>
      <c:valAx>
        <c:axId val="11970560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9683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35</xdr:row>
      <xdr:rowOff>114300</xdr:rowOff>
    </xdr:from>
    <xdr:to>
      <xdr:col>10</xdr:col>
      <xdr:colOff>571501</xdr:colOff>
      <xdr:row>57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5</xdr:row>
      <xdr:rowOff>133349</xdr:rowOff>
    </xdr:from>
    <xdr:to>
      <xdr:col>12</xdr:col>
      <xdr:colOff>342900</xdr:colOff>
      <xdr:row>19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5</xdr:row>
      <xdr:rowOff>133349</xdr:rowOff>
    </xdr:from>
    <xdr:to>
      <xdr:col>12</xdr:col>
      <xdr:colOff>190500</xdr:colOff>
      <xdr:row>18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5</xdr:row>
      <xdr:rowOff>133349</xdr:rowOff>
    </xdr:from>
    <xdr:to>
      <xdr:col>12</xdr:col>
      <xdr:colOff>190500</xdr:colOff>
      <xdr:row>18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523874</xdr:colOff>
      <xdr:row>5</xdr:row>
      <xdr:rowOff>133349</xdr:rowOff>
    </xdr:from>
    <xdr:to>
      <xdr:col>12</xdr:col>
      <xdr:colOff>190500</xdr:colOff>
      <xdr:row>18</xdr:row>
      <xdr:rowOff>180974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5</xdr:row>
      <xdr:rowOff>133349</xdr:rowOff>
    </xdr:from>
    <xdr:to>
      <xdr:col>12</xdr:col>
      <xdr:colOff>190500</xdr:colOff>
      <xdr:row>18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523874</xdr:colOff>
      <xdr:row>5</xdr:row>
      <xdr:rowOff>133349</xdr:rowOff>
    </xdr:from>
    <xdr:to>
      <xdr:col>12</xdr:col>
      <xdr:colOff>190500</xdr:colOff>
      <xdr:row>18</xdr:row>
      <xdr:rowOff>180974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5</xdr:row>
      <xdr:rowOff>133349</xdr:rowOff>
    </xdr:from>
    <xdr:to>
      <xdr:col>12</xdr:col>
      <xdr:colOff>190500</xdr:colOff>
      <xdr:row>18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523874</xdr:colOff>
      <xdr:row>5</xdr:row>
      <xdr:rowOff>133349</xdr:rowOff>
    </xdr:from>
    <xdr:to>
      <xdr:col>12</xdr:col>
      <xdr:colOff>190500</xdr:colOff>
      <xdr:row>18</xdr:row>
      <xdr:rowOff>180974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cols>
    <col min="1" max="1" width="30.85546875" customWidth="1"/>
    <col min="3" max="3" width="19.7109375" customWidth="1"/>
    <col min="8" max="8" width="9.7109375" customWidth="1"/>
  </cols>
  <sheetData>
    <row r="1" spans="1:8" x14ac:dyDescent="0.25">
      <c r="A1" t="s">
        <v>87</v>
      </c>
    </row>
    <row r="3" spans="1:8" x14ac:dyDescent="0.25">
      <c r="A3" s="1" t="s">
        <v>77</v>
      </c>
      <c r="B3" s="1" t="s">
        <v>0</v>
      </c>
      <c r="C3" s="2">
        <v>-37000</v>
      </c>
    </row>
    <row r="4" spans="1:8" x14ac:dyDescent="0.25">
      <c r="A4" s="1" t="s">
        <v>78</v>
      </c>
      <c r="B4" s="1" t="s">
        <v>1</v>
      </c>
      <c r="C4" s="1">
        <v>0</v>
      </c>
    </row>
    <row r="5" spans="1:8" x14ac:dyDescent="0.25">
      <c r="A5" s="1" t="s">
        <v>79</v>
      </c>
      <c r="B5" s="1"/>
      <c r="C5" s="4">
        <v>0.115</v>
      </c>
    </row>
    <row r="6" spans="1:8" x14ac:dyDescent="0.25">
      <c r="A6" s="1" t="s">
        <v>80</v>
      </c>
      <c r="B6" s="1"/>
      <c r="C6" s="1">
        <v>2</v>
      </c>
    </row>
    <row r="7" spans="1:8" x14ac:dyDescent="0.25">
      <c r="A7" s="1" t="s">
        <v>81</v>
      </c>
      <c r="B7" s="1" t="s">
        <v>2</v>
      </c>
      <c r="C7" s="5">
        <f>C5/2</f>
        <v>5.7500000000000002E-2</v>
      </c>
    </row>
    <row r="8" spans="1:8" x14ac:dyDescent="0.25">
      <c r="A8" s="1" t="s">
        <v>82</v>
      </c>
      <c r="B8" s="1"/>
      <c r="C8" s="1">
        <v>3</v>
      </c>
    </row>
    <row r="9" spans="1:8" x14ac:dyDescent="0.25">
      <c r="A9" s="1" t="s">
        <v>83</v>
      </c>
      <c r="B9" s="1" t="s">
        <v>3</v>
      </c>
      <c r="C9" s="1">
        <v>6</v>
      </c>
    </row>
    <row r="10" spans="1:8" x14ac:dyDescent="0.25">
      <c r="A10" s="1" t="s">
        <v>84</v>
      </c>
      <c r="B10" s="1" t="s">
        <v>4</v>
      </c>
      <c r="C10" s="1">
        <v>0</v>
      </c>
    </row>
    <row r="11" spans="1:8" x14ac:dyDescent="0.25">
      <c r="A11" s="1" t="s">
        <v>85</v>
      </c>
      <c r="B11" s="1" t="s">
        <v>5</v>
      </c>
      <c r="C11" s="2">
        <f>FV(C7,C9,C4,C3,C10)</f>
        <v>51746.857428072864</v>
      </c>
      <c r="E11" t="s">
        <v>86</v>
      </c>
      <c r="H11" s="6">
        <f>(C3*(1+C7)^C9+C4*(1+C7*C10)*((1+C7)^C9-1)/C7)</f>
        <v>-51746.857428072864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defaultRowHeight="15" x14ac:dyDescent="0.25"/>
  <cols>
    <col min="1" max="1" width="27.42578125" customWidth="1"/>
    <col min="2" max="2" width="11.5703125" bestFit="1" customWidth="1"/>
  </cols>
  <sheetData>
    <row r="1" spans="1:3" x14ac:dyDescent="0.25">
      <c r="A1" s="1" t="s">
        <v>2</v>
      </c>
      <c r="B1" s="3">
        <v>0.08</v>
      </c>
      <c r="C1" t="s">
        <v>112</v>
      </c>
    </row>
    <row r="2" spans="1:3" x14ac:dyDescent="0.25">
      <c r="A2" s="1" t="s">
        <v>110</v>
      </c>
      <c r="B2" s="1">
        <v>0</v>
      </c>
      <c r="C2" t="s">
        <v>113</v>
      </c>
    </row>
    <row r="3" spans="1:3" x14ac:dyDescent="0.25">
      <c r="A3" s="1" t="s">
        <v>111</v>
      </c>
      <c r="B3" s="2">
        <v>-200000</v>
      </c>
      <c r="C3" t="s">
        <v>114</v>
      </c>
    </row>
    <row r="4" spans="1:3" x14ac:dyDescent="0.25">
      <c r="A4" s="1" t="s">
        <v>94</v>
      </c>
      <c r="B4" s="2">
        <v>800000</v>
      </c>
    </row>
    <row r="5" spans="1:3" x14ac:dyDescent="0.25">
      <c r="A5" s="1" t="s">
        <v>28</v>
      </c>
      <c r="B5" s="1">
        <v>0</v>
      </c>
      <c r="C5" t="s">
        <v>115</v>
      </c>
    </row>
    <row r="7" spans="1:3" x14ac:dyDescent="0.25">
      <c r="A7" t="s">
        <v>116</v>
      </c>
      <c r="B7" s="108">
        <f>NPER(B1,B2,B3,B4,B5)</f>
        <v>18.012936684001176</v>
      </c>
      <c r="C7" t="s">
        <v>117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9" sqref="F9"/>
    </sheetView>
  </sheetViews>
  <sheetFormatPr defaultRowHeight="15" x14ac:dyDescent="0.25"/>
  <cols>
    <col min="5" max="5" width="15.7109375" customWidth="1"/>
    <col min="6" max="6" width="11" customWidth="1"/>
    <col min="7" max="7" width="15.28515625" customWidth="1"/>
    <col min="8" max="8" width="17.42578125" customWidth="1"/>
  </cols>
  <sheetData>
    <row r="1" spans="1:8" x14ac:dyDescent="0.25">
      <c r="A1" s="1" t="s">
        <v>30</v>
      </c>
      <c r="B1" s="1" t="s">
        <v>7</v>
      </c>
      <c r="C1" s="1" t="s">
        <v>8</v>
      </c>
      <c r="D1" s="1" t="s">
        <v>10</v>
      </c>
      <c r="E1" s="1" t="s">
        <v>121</v>
      </c>
      <c r="F1" s="1" t="s">
        <v>118</v>
      </c>
      <c r="G1" s="1" t="s">
        <v>119</v>
      </c>
      <c r="H1" s="1" t="s">
        <v>120</v>
      </c>
    </row>
    <row r="2" spans="1:8" x14ac:dyDescent="0.25">
      <c r="A2" s="1">
        <v>100000</v>
      </c>
      <c r="B2" s="1">
        <v>120000</v>
      </c>
      <c r="C2" s="4">
        <v>9.5000000000000001E-2</v>
      </c>
      <c r="D2" s="1">
        <v>4</v>
      </c>
      <c r="E2" s="1">
        <f>LN(B2/A2)/(D2*(LN(1+C2/D2)))</f>
        <v>1.9418753208653547</v>
      </c>
      <c r="F2" s="1">
        <f>NPER(C2/4,0,-A2,B2)</f>
        <v>7.767501283461419</v>
      </c>
      <c r="G2" s="1">
        <f>F2/D2</f>
        <v>1.9418753208653547</v>
      </c>
      <c r="H2" s="110">
        <f>(B2/A2-1)/C2</f>
        <v>2.1052631578947363</v>
      </c>
    </row>
    <row r="3" spans="1:8" x14ac:dyDescent="0.25">
      <c r="A3" s="1"/>
      <c r="B3" s="1"/>
      <c r="C3" s="1"/>
      <c r="D3" s="1">
        <v>2</v>
      </c>
      <c r="E3" s="1">
        <f>LN(B2/A2)/(D3*(LN(1+C2/D3)))</f>
        <v>1.9644021471372042</v>
      </c>
      <c r="F3" s="1">
        <f>NPER(C2/2,0,-A2,B2)</f>
        <v>3.9288042942744084</v>
      </c>
      <c r="G3" s="1">
        <f>F3/D3</f>
        <v>1.9644021471372042</v>
      </c>
      <c r="H3" s="111"/>
    </row>
  </sheetData>
  <mergeCells count="1">
    <mergeCell ref="H2:H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18" sqref="C18"/>
    </sheetView>
  </sheetViews>
  <sheetFormatPr defaultRowHeight="15" x14ac:dyDescent="0.25"/>
  <cols>
    <col min="1" max="1" width="28.5703125" customWidth="1"/>
    <col min="2" max="2" width="23.42578125" customWidth="1"/>
    <col min="3" max="3" width="13.42578125" customWidth="1"/>
    <col min="4" max="4" width="21" customWidth="1"/>
  </cols>
  <sheetData>
    <row r="1" spans="1:5" ht="18.75" x14ac:dyDescent="0.3">
      <c r="A1" s="38" t="s">
        <v>122</v>
      </c>
      <c r="B1" s="37"/>
      <c r="C1" s="37"/>
    </row>
    <row r="3" spans="1:5" x14ac:dyDescent="0.25">
      <c r="A3" s="112" t="s">
        <v>123</v>
      </c>
      <c r="B3" s="112"/>
    </row>
    <row r="4" spans="1:5" x14ac:dyDescent="0.25">
      <c r="A4" t="s">
        <v>124</v>
      </c>
      <c r="B4">
        <v>201900</v>
      </c>
    </row>
    <row r="5" spans="1:5" x14ac:dyDescent="0.25">
      <c r="A5" t="s">
        <v>125</v>
      </c>
      <c r="B5" s="7">
        <v>0.2</v>
      </c>
    </row>
    <row r="6" spans="1:5" x14ac:dyDescent="0.25">
      <c r="A6" t="s">
        <v>126</v>
      </c>
      <c r="B6" s="7">
        <v>0.08</v>
      </c>
    </row>
    <row r="7" spans="1:5" x14ac:dyDescent="0.25">
      <c r="A7" t="s">
        <v>103</v>
      </c>
      <c r="B7">
        <f>B4*(1-B5)</f>
        <v>161520</v>
      </c>
    </row>
    <row r="8" spans="1:5" x14ac:dyDescent="0.25">
      <c r="B8" s="39" t="s">
        <v>131</v>
      </c>
      <c r="D8" s="39" t="s">
        <v>132</v>
      </c>
    </row>
    <row r="9" spans="1:5" x14ac:dyDescent="0.25">
      <c r="A9" t="s">
        <v>127</v>
      </c>
      <c r="B9">
        <f>D9*12</f>
        <v>360</v>
      </c>
      <c r="C9" t="s">
        <v>134</v>
      </c>
      <c r="D9">
        <v>30</v>
      </c>
      <c r="E9" t="s">
        <v>117</v>
      </c>
    </row>
    <row r="10" spans="1:5" x14ac:dyDescent="0.25">
      <c r="A10" s="113" t="s">
        <v>133</v>
      </c>
      <c r="B10" s="113"/>
      <c r="C10" s="113"/>
      <c r="D10" s="113"/>
    </row>
    <row r="11" spans="1:5" x14ac:dyDescent="0.25">
      <c r="A11" s="1" t="s">
        <v>128</v>
      </c>
      <c r="B11" s="40">
        <f>PMT(B6/12,D9*12,-B7)</f>
        <v>1185.1765397299685</v>
      </c>
      <c r="C11" s="1"/>
      <c r="D11" s="40">
        <f>PMT(B6,D9,-B7)</f>
        <v>14347.407040712222</v>
      </c>
    </row>
    <row r="12" spans="1:5" x14ac:dyDescent="0.25">
      <c r="A12" s="1" t="s">
        <v>129</v>
      </c>
      <c r="B12" s="40">
        <f>B9*B11</f>
        <v>426663.55430278863</v>
      </c>
      <c r="C12" s="1"/>
      <c r="D12" s="40">
        <f>D9*D11</f>
        <v>430422.21122136666</v>
      </c>
    </row>
    <row r="13" spans="1:5" x14ac:dyDescent="0.25">
      <c r="A13" s="1" t="s">
        <v>130</v>
      </c>
      <c r="B13" s="40">
        <f>B12-B7</f>
        <v>265143.55430278863</v>
      </c>
      <c r="C13" s="1"/>
      <c r="D13" s="40">
        <f>D12-B7</f>
        <v>268902.21122136666</v>
      </c>
    </row>
  </sheetData>
  <mergeCells count="2">
    <mergeCell ref="A3:B3"/>
    <mergeCell ref="A10:D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9" sqref="B9"/>
    </sheetView>
  </sheetViews>
  <sheetFormatPr defaultRowHeight="15" x14ac:dyDescent="0.25"/>
  <cols>
    <col min="1" max="1" width="28" customWidth="1"/>
    <col min="2" max="2" width="14.28515625" customWidth="1"/>
  </cols>
  <sheetData>
    <row r="1" spans="1:3" x14ac:dyDescent="0.25">
      <c r="A1" s="1" t="s">
        <v>135</v>
      </c>
      <c r="B1" s="1">
        <v>12</v>
      </c>
      <c r="C1" t="s">
        <v>134</v>
      </c>
    </row>
    <row r="2" spans="1:3" x14ac:dyDescent="0.25">
      <c r="A2" s="1" t="s">
        <v>136</v>
      </c>
      <c r="B2" s="1">
        <v>-1700</v>
      </c>
      <c r="C2" t="s">
        <v>138</v>
      </c>
    </row>
    <row r="3" spans="1:3" x14ac:dyDescent="0.25">
      <c r="A3" s="1" t="s">
        <v>111</v>
      </c>
      <c r="B3" s="1">
        <v>20000</v>
      </c>
      <c r="C3" t="s">
        <v>139</v>
      </c>
    </row>
    <row r="4" spans="1:3" x14ac:dyDescent="0.25">
      <c r="A4" s="1" t="s">
        <v>94</v>
      </c>
      <c r="B4" s="1">
        <v>0</v>
      </c>
      <c r="C4" t="s">
        <v>140</v>
      </c>
    </row>
    <row r="5" spans="1:3" x14ac:dyDescent="0.25">
      <c r="A5" s="1" t="s">
        <v>28</v>
      </c>
      <c r="B5" s="1">
        <v>1</v>
      </c>
      <c r="C5" t="s">
        <v>141</v>
      </c>
    </row>
    <row r="7" spans="1:3" ht="15.75" thickBot="1" x14ac:dyDescent="0.3">
      <c r="A7" s="44" t="s">
        <v>2</v>
      </c>
      <c r="B7" s="45">
        <f>RATE(B1,B2,B3,B4,B5,1)</f>
        <v>3.6211724868902024E-3</v>
      </c>
      <c r="C7" t="s">
        <v>142</v>
      </c>
    </row>
    <row r="8" spans="1:3" ht="15.75" thickBot="1" x14ac:dyDescent="0.3">
      <c r="A8" s="46" t="s">
        <v>137</v>
      </c>
      <c r="B8" s="47">
        <f>B7*B1</f>
        <v>4.3454069842682429E-2</v>
      </c>
    </row>
    <row r="11" spans="1:3" x14ac:dyDescent="0.25">
      <c r="B11" s="4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F16" sqref="F16"/>
    </sheetView>
  </sheetViews>
  <sheetFormatPr defaultRowHeight="15" x14ac:dyDescent="0.25"/>
  <cols>
    <col min="5" max="5" width="25" customWidth="1"/>
    <col min="6" max="6" width="30.5703125" customWidth="1"/>
    <col min="7" max="7" width="29.140625" customWidth="1"/>
  </cols>
  <sheetData>
    <row r="1" spans="1:7" x14ac:dyDescent="0.25">
      <c r="A1" s="1" t="s">
        <v>30</v>
      </c>
      <c r="B1" s="1" t="s">
        <v>7</v>
      </c>
      <c r="C1" s="1" t="s">
        <v>9</v>
      </c>
      <c r="D1" s="1" t="s">
        <v>10</v>
      </c>
      <c r="E1" s="1" t="s">
        <v>143</v>
      </c>
      <c r="F1" s="1" t="s">
        <v>144</v>
      </c>
      <c r="G1" s="1" t="s">
        <v>145</v>
      </c>
    </row>
    <row r="2" spans="1:7" x14ac:dyDescent="0.25">
      <c r="A2" s="1">
        <v>50</v>
      </c>
      <c r="B2" s="1">
        <v>55</v>
      </c>
      <c r="C2" s="1">
        <v>3</v>
      </c>
      <c r="D2" s="1">
        <v>4</v>
      </c>
      <c r="E2" s="114">
        <f>(1/C2)*(B2/A2-1)</f>
        <v>3.3333333333333361E-2</v>
      </c>
      <c r="F2" s="42">
        <f>D2*((B2/A2)^(1/(D2*C2))-1)</f>
        <v>3.1896561715615057E-2</v>
      </c>
      <c r="G2" s="43">
        <f>RATE(D2*C2,0,-A2,B2)*D2</f>
        <v>3.1896561715659348E-2</v>
      </c>
    </row>
    <row r="3" spans="1:7" x14ac:dyDescent="0.25">
      <c r="A3" s="1"/>
      <c r="B3" s="1"/>
      <c r="C3" s="1"/>
      <c r="D3" s="1">
        <v>12</v>
      </c>
      <c r="E3" s="114"/>
      <c r="F3" s="42">
        <f>D3*((B2/A2)^(1/(D3*C2))-1)</f>
        <v>3.1812152769753688E-2</v>
      </c>
      <c r="G3" s="43">
        <f>RATE(D3*C2,0,-A2,B2)*D3</f>
        <v>3.1812152983055515E-2</v>
      </c>
    </row>
  </sheetData>
  <mergeCells count="1">
    <mergeCell ref="E2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21" sqref="E21"/>
    </sheetView>
  </sheetViews>
  <sheetFormatPr defaultRowHeight="15" x14ac:dyDescent="0.25"/>
  <cols>
    <col min="3" max="3" width="14.85546875" customWidth="1"/>
    <col min="4" max="5" width="20.7109375" customWidth="1"/>
  </cols>
  <sheetData>
    <row r="1" spans="1:5" x14ac:dyDescent="0.25">
      <c r="A1" s="1" t="s">
        <v>8</v>
      </c>
      <c r="B1" s="1" t="s">
        <v>10</v>
      </c>
      <c r="C1" s="1" t="s">
        <v>31</v>
      </c>
      <c r="D1" s="1" t="s">
        <v>146</v>
      </c>
      <c r="E1" s="1" t="s">
        <v>147</v>
      </c>
    </row>
    <row r="2" spans="1:5" x14ac:dyDescent="0.25">
      <c r="A2" s="1">
        <v>0.75</v>
      </c>
      <c r="B2" s="1">
        <v>4</v>
      </c>
      <c r="C2" s="1">
        <f>(1+(A2/B2))^B2-1</f>
        <v>0.9885406494140625</v>
      </c>
      <c r="D2" s="1">
        <f>EFFECT(A2,B2)</f>
        <v>0.9885406494140625</v>
      </c>
      <c r="E2" s="49">
        <f>100*((1+(A2/B2))^B2)</f>
        <v>198.85406494140625</v>
      </c>
    </row>
    <row r="3" spans="1:5" x14ac:dyDescent="0.25">
      <c r="A3" s="1">
        <v>0.8</v>
      </c>
      <c r="B3" s="1">
        <v>2</v>
      </c>
      <c r="C3" s="1">
        <f>(1+(A3/B3))^B3-1</f>
        <v>0.95999999999999974</v>
      </c>
      <c r="D3" s="1">
        <f>EFFECT(A3,B3)</f>
        <v>0.95999999999999974</v>
      </c>
      <c r="E3" s="49">
        <f>100*((1+(A3/B3))^B3)</f>
        <v>195.99999999999997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7"/>
  <sheetViews>
    <sheetView topLeftCell="A32" zoomScale="60" zoomScaleNormal="60" workbookViewId="0">
      <selection activeCell="K15" sqref="K15"/>
    </sheetView>
  </sheetViews>
  <sheetFormatPr defaultRowHeight="15" x14ac:dyDescent="0.25"/>
  <cols>
    <col min="1" max="1" width="13.28515625" customWidth="1"/>
    <col min="2" max="2" width="15.140625" customWidth="1"/>
    <col min="3" max="3" width="19.7109375" bestFit="1" customWidth="1"/>
    <col min="4" max="4" width="11.140625" bestFit="1" customWidth="1"/>
    <col min="5" max="5" width="20.140625" customWidth="1"/>
    <col min="6" max="6" width="14.85546875" customWidth="1"/>
    <col min="7" max="7" width="17.85546875" customWidth="1"/>
  </cols>
  <sheetData>
    <row r="3" spans="1:12" x14ac:dyDescent="0.25">
      <c r="C3" t="s">
        <v>148</v>
      </c>
      <c r="E3" t="s">
        <v>149</v>
      </c>
    </row>
    <row r="4" spans="1:12" x14ac:dyDescent="0.25">
      <c r="C4" t="s">
        <v>150</v>
      </c>
      <c r="D4" s="8" t="s">
        <v>28</v>
      </c>
      <c r="E4" t="s">
        <v>151</v>
      </c>
    </row>
    <row r="5" spans="1:12" x14ac:dyDescent="0.25">
      <c r="C5">
        <v>10000</v>
      </c>
      <c r="D5" s="8" t="s">
        <v>32</v>
      </c>
      <c r="E5">
        <v>10000</v>
      </c>
    </row>
    <row r="6" spans="1:12" x14ac:dyDescent="0.25">
      <c r="C6">
        <v>0.13</v>
      </c>
      <c r="D6" s="8" t="s">
        <v>8</v>
      </c>
      <c r="E6">
        <v>0.155</v>
      </c>
      <c r="F6">
        <v>0.2</v>
      </c>
    </row>
    <row r="7" spans="1:12" ht="15.75" thickBot="1" x14ac:dyDescent="0.3">
      <c r="C7" s="48">
        <v>20</v>
      </c>
      <c r="D7" s="50" t="s">
        <v>33</v>
      </c>
      <c r="E7" s="48">
        <v>20</v>
      </c>
    </row>
    <row r="8" spans="1:12" x14ac:dyDescent="0.25">
      <c r="C8">
        <f>C5*(1+C6)^C7-C5</f>
        <v>105230.87764723349</v>
      </c>
      <c r="D8" s="8" t="s">
        <v>152</v>
      </c>
      <c r="E8">
        <f>E5*E6*E7</f>
        <v>31000</v>
      </c>
    </row>
    <row r="9" spans="1:12" x14ac:dyDescent="0.25">
      <c r="C9">
        <f>C5*(1+C6)^C7</f>
        <v>115230.87764723349</v>
      </c>
      <c r="D9" s="8" t="s">
        <v>153</v>
      </c>
      <c r="E9">
        <f>E8+E5</f>
        <v>41000</v>
      </c>
    </row>
    <row r="10" spans="1:12" x14ac:dyDescent="0.25">
      <c r="C10" s="7">
        <f>ROUND(C8/C5,2)</f>
        <v>10.52</v>
      </c>
      <c r="D10" s="8" t="s">
        <v>154</v>
      </c>
      <c r="E10" s="7">
        <f>ROUND(E8/E5,2)</f>
        <v>3.1</v>
      </c>
    </row>
    <row r="13" spans="1:12" x14ac:dyDescent="0.25">
      <c r="A13" s="115" t="s">
        <v>155</v>
      </c>
      <c r="B13" s="115"/>
      <c r="C13" s="115"/>
      <c r="E13" s="115" t="s">
        <v>160</v>
      </c>
      <c r="F13" s="115"/>
      <c r="G13" s="115"/>
      <c r="I13" s="115" t="s">
        <v>161</v>
      </c>
      <c r="J13" s="115"/>
      <c r="K13" s="115"/>
    </row>
    <row r="14" spans="1:12" x14ac:dyDescent="0.25">
      <c r="A14" s="51" t="s">
        <v>156</v>
      </c>
      <c r="B14" s="51" t="s">
        <v>157</v>
      </c>
      <c r="C14" s="51" t="s">
        <v>158</v>
      </c>
      <c r="D14" s="53" t="s">
        <v>159</v>
      </c>
      <c r="E14" s="90" t="s">
        <v>156</v>
      </c>
      <c r="F14" s="90" t="s">
        <v>157</v>
      </c>
      <c r="G14" s="90" t="s">
        <v>158</v>
      </c>
      <c r="H14" s="53" t="s">
        <v>159</v>
      </c>
      <c r="I14" s="90" t="s">
        <v>156</v>
      </c>
      <c r="J14" s="90" t="s">
        <v>157</v>
      </c>
      <c r="K14" s="90" t="s">
        <v>158</v>
      </c>
      <c r="L14" s="53"/>
    </row>
    <row r="15" spans="1:12" x14ac:dyDescent="0.25">
      <c r="A15">
        <v>10000</v>
      </c>
      <c r="B15">
        <f>A15*C6</f>
        <v>1300</v>
      </c>
      <c r="C15">
        <f>A15*(1+$C$6)</f>
        <v>11299.999999999998</v>
      </c>
      <c r="D15" s="52">
        <f>1</f>
        <v>1</v>
      </c>
      <c r="E15">
        <f>10000</f>
        <v>10000</v>
      </c>
      <c r="F15">
        <f>ROUND(($E$5*$E$6),2)</f>
        <v>1550</v>
      </c>
      <c r="G15">
        <f>E15+F15</f>
        <v>11550</v>
      </c>
      <c r="H15" s="52">
        <f>1</f>
        <v>1</v>
      </c>
      <c r="I15">
        <f>10000</f>
        <v>10000</v>
      </c>
      <c r="J15">
        <f>ROUND(($E$5*$F$6),2)</f>
        <v>2000</v>
      </c>
      <c r="K15">
        <f>I15+J15</f>
        <v>12000</v>
      </c>
    </row>
    <row r="16" spans="1:12" x14ac:dyDescent="0.25">
      <c r="A16">
        <f>C15</f>
        <v>11299.999999999998</v>
      </c>
      <c r="B16">
        <f>ROUND(A16*($C$6),2)</f>
        <v>1469</v>
      </c>
      <c r="C16">
        <f>ROUND(A16*(1+$C$6),2)</f>
        <v>12769</v>
      </c>
      <c r="D16" s="52">
        <f>D15+1</f>
        <v>2</v>
      </c>
      <c r="E16">
        <f>10000</f>
        <v>10000</v>
      </c>
      <c r="F16">
        <f>ROUND(($E$5*$E$6),2)</f>
        <v>1550</v>
      </c>
      <c r="G16">
        <f>G15+F16</f>
        <v>13100</v>
      </c>
      <c r="H16" s="52">
        <f>H15+1</f>
        <v>2</v>
      </c>
      <c r="I16">
        <f>10000</f>
        <v>10000</v>
      </c>
      <c r="J16">
        <f t="shared" ref="J16:J34" si="0">ROUND(($E$5*$F$6),2)</f>
        <v>2000</v>
      </c>
      <c r="K16">
        <f>K15+J16</f>
        <v>14000</v>
      </c>
    </row>
    <row r="17" spans="1:11" x14ac:dyDescent="0.25">
      <c r="A17">
        <f t="shared" ref="A17:A34" si="1">C16</f>
        <v>12769</v>
      </c>
      <c r="B17">
        <f>ROUND(A17*($C$6),2)</f>
        <v>1659.97</v>
      </c>
      <c r="C17" s="35">
        <f t="shared" ref="C17:C34" si="2">A17*(1+$C$6)</f>
        <v>14428.97</v>
      </c>
      <c r="D17" s="52">
        <f t="shared" ref="D17:D33" si="3">D16+1</f>
        <v>3</v>
      </c>
      <c r="E17">
        <f>10000</f>
        <v>10000</v>
      </c>
      <c r="F17">
        <f>ROUND(($E$5*$E$6),2)</f>
        <v>1550</v>
      </c>
      <c r="G17">
        <f>G16+F17</f>
        <v>14650</v>
      </c>
      <c r="H17" s="52">
        <f t="shared" ref="H17:H33" si="4">H16+1</f>
        <v>3</v>
      </c>
      <c r="I17">
        <f>10000</f>
        <v>10000</v>
      </c>
      <c r="J17">
        <f t="shared" si="0"/>
        <v>2000</v>
      </c>
      <c r="K17">
        <f>K16+J17</f>
        <v>16000</v>
      </c>
    </row>
    <row r="18" spans="1:11" x14ac:dyDescent="0.25">
      <c r="A18" s="35">
        <f t="shared" si="1"/>
        <v>14428.97</v>
      </c>
      <c r="B18">
        <f t="shared" ref="B18:B34" si="5">ROUND(A18*($C$6),2)</f>
        <v>1875.77</v>
      </c>
      <c r="C18" s="35">
        <f t="shared" si="2"/>
        <v>16304.736099999998</v>
      </c>
      <c r="D18" s="52">
        <f t="shared" si="3"/>
        <v>4</v>
      </c>
      <c r="E18">
        <f>10000</f>
        <v>10000</v>
      </c>
      <c r="F18">
        <f t="shared" ref="F18:F34" si="6">ROUND(($E$5*$E$6),2)</f>
        <v>1550</v>
      </c>
      <c r="G18">
        <f t="shared" ref="G18:G34" si="7">G17+F18</f>
        <v>16200</v>
      </c>
      <c r="H18" s="52">
        <f t="shared" si="4"/>
        <v>4</v>
      </c>
      <c r="I18">
        <f>10000</f>
        <v>10000</v>
      </c>
      <c r="J18">
        <f t="shared" si="0"/>
        <v>2000</v>
      </c>
      <c r="K18">
        <f t="shared" ref="K18:K34" si="8">K17+J18</f>
        <v>18000</v>
      </c>
    </row>
    <row r="19" spans="1:11" x14ac:dyDescent="0.25">
      <c r="A19" s="35">
        <f t="shared" si="1"/>
        <v>16304.736099999998</v>
      </c>
      <c r="B19">
        <f t="shared" si="5"/>
        <v>2119.62</v>
      </c>
      <c r="C19" s="35">
        <f t="shared" si="2"/>
        <v>18424.351792999998</v>
      </c>
      <c r="D19" s="52">
        <f t="shared" si="3"/>
        <v>5</v>
      </c>
      <c r="E19">
        <f>10000</f>
        <v>10000</v>
      </c>
      <c r="F19">
        <f t="shared" si="6"/>
        <v>1550</v>
      </c>
      <c r="G19">
        <f t="shared" si="7"/>
        <v>17750</v>
      </c>
      <c r="H19" s="52">
        <f t="shared" si="4"/>
        <v>5</v>
      </c>
      <c r="I19">
        <f>10000</f>
        <v>10000</v>
      </c>
      <c r="J19">
        <f t="shared" si="0"/>
        <v>2000</v>
      </c>
      <c r="K19">
        <f t="shared" si="8"/>
        <v>20000</v>
      </c>
    </row>
    <row r="20" spans="1:11" x14ac:dyDescent="0.25">
      <c r="A20" s="35">
        <f t="shared" si="1"/>
        <v>18424.351792999998</v>
      </c>
      <c r="B20">
        <f t="shared" si="5"/>
        <v>2395.17</v>
      </c>
      <c r="C20" s="35">
        <f t="shared" si="2"/>
        <v>20819.517526089996</v>
      </c>
      <c r="D20" s="52">
        <f t="shared" si="3"/>
        <v>6</v>
      </c>
      <c r="E20">
        <f>10000</f>
        <v>10000</v>
      </c>
      <c r="F20">
        <f t="shared" si="6"/>
        <v>1550</v>
      </c>
      <c r="G20">
        <f t="shared" si="7"/>
        <v>19300</v>
      </c>
      <c r="H20" s="52">
        <f t="shared" si="4"/>
        <v>6</v>
      </c>
      <c r="I20">
        <f>10000</f>
        <v>10000</v>
      </c>
      <c r="J20">
        <f t="shared" si="0"/>
        <v>2000</v>
      </c>
      <c r="K20">
        <f t="shared" si="8"/>
        <v>22000</v>
      </c>
    </row>
    <row r="21" spans="1:11" x14ac:dyDescent="0.25">
      <c r="A21" s="35">
        <f t="shared" si="1"/>
        <v>20819.517526089996</v>
      </c>
      <c r="B21">
        <f t="shared" si="5"/>
        <v>2706.54</v>
      </c>
      <c r="C21" s="35">
        <f t="shared" si="2"/>
        <v>23526.054804481693</v>
      </c>
      <c r="D21" s="52">
        <f t="shared" si="3"/>
        <v>7</v>
      </c>
      <c r="E21">
        <f>10000</f>
        <v>10000</v>
      </c>
      <c r="F21">
        <f t="shared" si="6"/>
        <v>1550</v>
      </c>
      <c r="G21">
        <f t="shared" si="7"/>
        <v>20850</v>
      </c>
      <c r="H21" s="52">
        <f t="shared" si="4"/>
        <v>7</v>
      </c>
      <c r="I21">
        <f>10000</f>
        <v>10000</v>
      </c>
      <c r="J21">
        <f t="shared" si="0"/>
        <v>2000</v>
      </c>
      <c r="K21">
        <f t="shared" si="8"/>
        <v>24000</v>
      </c>
    </row>
    <row r="22" spans="1:11" x14ac:dyDescent="0.25">
      <c r="A22" s="35">
        <f t="shared" si="1"/>
        <v>23526.054804481693</v>
      </c>
      <c r="B22">
        <f t="shared" si="5"/>
        <v>3058.39</v>
      </c>
      <c r="C22" s="35">
        <f t="shared" si="2"/>
        <v>26584.441929064313</v>
      </c>
      <c r="D22" s="52">
        <f t="shared" si="3"/>
        <v>8</v>
      </c>
      <c r="E22">
        <f>10000</f>
        <v>10000</v>
      </c>
      <c r="F22">
        <f t="shared" si="6"/>
        <v>1550</v>
      </c>
      <c r="G22">
        <f t="shared" si="7"/>
        <v>22400</v>
      </c>
      <c r="H22" s="52">
        <f t="shared" si="4"/>
        <v>8</v>
      </c>
      <c r="I22">
        <f>10000</f>
        <v>10000</v>
      </c>
      <c r="J22">
        <f t="shared" si="0"/>
        <v>2000</v>
      </c>
      <c r="K22">
        <f t="shared" si="8"/>
        <v>26000</v>
      </c>
    </row>
    <row r="23" spans="1:11" x14ac:dyDescent="0.25">
      <c r="A23" s="35">
        <f t="shared" si="1"/>
        <v>26584.441929064313</v>
      </c>
      <c r="B23">
        <f t="shared" si="5"/>
        <v>3455.98</v>
      </c>
      <c r="C23" s="35">
        <f t="shared" si="2"/>
        <v>30040.419379842671</v>
      </c>
      <c r="D23" s="52">
        <f t="shared" si="3"/>
        <v>9</v>
      </c>
      <c r="E23">
        <f>10000</f>
        <v>10000</v>
      </c>
      <c r="F23">
        <f t="shared" si="6"/>
        <v>1550</v>
      </c>
      <c r="G23">
        <f t="shared" si="7"/>
        <v>23950</v>
      </c>
      <c r="H23" s="52">
        <f t="shared" si="4"/>
        <v>9</v>
      </c>
      <c r="I23">
        <f>10000</f>
        <v>10000</v>
      </c>
      <c r="J23">
        <f t="shared" si="0"/>
        <v>2000</v>
      </c>
      <c r="K23">
        <f t="shared" si="8"/>
        <v>28000</v>
      </c>
    </row>
    <row r="24" spans="1:11" x14ac:dyDescent="0.25">
      <c r="A24" s="35">
        <f t="shared" si="1"/>
        <v>30040.419379842671</v>
      </c>
      <c r="B24">
        <f t="shared" si="5"/>
        <v>3905.25</v>
      </c>
      <c r="C24" s="35">
        <f t="shared" si="2"/>
        <v>33945.673899222216</v>
      </c>
      <c r="D24" s="52">
        <f t="shared" si="3"/>
        <v>10</v>
      </c>
      <c r="E24">
        <f>10000</f>
        <v>10000</v>
      </c>
      <c r="F24">
        <f t="shared" si="6"/>
        <v>1550</v>
      </c>
      <c r="G24">
        <f t="shared" si="7"/>
        <v>25500</v>
      </c>
      <c r="H24" s="52">
        <f t="shared" si="4"/>
        <v>10</v>
      </c>
      <c r="I24">
        <f>10000</f>
        <v>10000</v>
      </c>
      <c r="J24">
        <f t="shared" si="0"/>
        <v>2000</v>
      </c>
      <c r="K24">
        <f t="shared" si="8"/>
        <v>30000</v>
      </c>
    </row>
    <row r="25" spans="1:11" x14ac:dyDescent="0.25">
      <c r="A25" s="35">
        <f t="shared" si="1"/>
        <v>33945.673899222216</v>
      </c>
      <c r="B25">
        <f t="shared" si="5"/>
        <v>4412.9399999999996</v>
      </c>
      <c r="C25" s="35">
        <f t="shared" si="2"/>
        <v>38358.611506121102</v>
      </c>
      <c r="D25" s="52">
        <f t="shared" si="3"/>
        <v>11</v>
      </c>
      <c r="E25">
        <f>10000</f>
        <v>10000</v>
      </c>
      <c r="F25">
        <f t="shared" si="6"/>
        <v>1550</v>
      </c>
      <c r="G25">
        <f t="shared" si="7"/>
        <v>27050</v>
      </c>
      <c r="H25" s="52">
        <f t="shared" si="4"/>
        <v>11</v>
      </c>
      <c r="I25">
        <f>10000</f>
        <v>10000</v>
      </c>
      <c r="J25">
        <f t="shared" si="0"/>
        <v>2000</v>
      </c>
      <c r="K25">
        <f t="shared" si="8"/>
        <v>32000</v>
      </c>
    </row>
    <row r="26" spans="1:11" x14ac:dyDescent="0.25">
      <c r="A26" s="35">
        <f t="shared" si="1"/>
        <v>38358.611506121102</v>
      </c>
      <c r="B26">
        <f t="shared" si="5"/>
        <v>4986.62</v>
      </c>
      <c r="C26" s="35">
        <f t="shared" si="2"/>
        <v>43345.231001916844</v>
      </c>
      <c r="D26" s="52">
        <f t="shared" si="3"/>
        <v>12</v>
      </c>
      <c r="E26">
        <f>10000</f>
        <v>10000</v>
      </c>
      <c r="F26">
        <f t="shared" si="6"/>
        <v>1550</v>
      </c>
      <c r="G26">
        <f t="shared" si="7"/>
        <v>28600</v>
      </c>
      <c r="H26" s="52">
        <f t="shared" si="4"/>
        <v>12</v>
      </c>
      <c r="I26">
        <f>10000</f>
        <v>10000</v>
      </c>
      <c r="J26">
        <f t="shared" si="0"/>
        <v>2000</v>
      </c>
      <c r="K26">
        <f t="shared" si="8"/>
        <v>34000</v>
      </c>
    </row>
    <row r="27" spans="1:11" x14ac:dyDescent="0.25">
      <c r="A27" s="35">
        <f t="shared" si="1"/>
        <v>43345.231001916844</v>
      </c>
      <c r="B27">
        <f t="shared" si="5"/>
        <v>5634.88</v>
      </c>
      <c r="C27" s="35">
        <f t="shared" si="2"/>
        <v>48980.111032166031</v>
      </c>
      <c r="D27" s="52">
        <f t="shared" si="3"/>
        <v>13</v>
      </c>
      <c r="E27">
        <f>10000</f>
        <v>10000</v>
      </c>
      <c r="F27">
        <f t="shared" si="6"/>
        <v>1550</v>
      </c>
      <c r="G27">
        <f t="shared" si="7"/>
        <v>30150</v>
      </c>
      <c r="H27" s="52">
        <f t="shared" si="4"/>
        <v>13</v>
      </c>
      <c r="I27">
        <f>10000</f>
        <v>10000</v>
      </c>
      <c r="J27">
        <f t="shared" si="0"/>
        <v>2000</v>
      </c>
      <c r="K27">
        <f t="shared" si="8"/>
        <v>36000</v>
      </c>
    </row>
    <row r="28" spans="1:11" x14ac:dyDescent="0.25">
      <c r="A28" s="35">
        <f t="shared" si="1"/>
        <v>48980.111032166031</v>
      </c>
      <c r="B28">
        <f t="shared" si="5"/>
        <v>6367.41</v>
      </c>
      <c r="C28" s="35">
        <f t="shared" si="2"/>
        <v>55347.525466347608</v>
      </c>
      <c r="D28" s="52">
        <f t="shared" si="3"/>
        <v>14</v>
      </c>
      <c r="E28">
        <f>10000</f>
        <v>10000</v>
      </c>
      <c r="F28">
        <f t="shared" si="6"/>
        <v>1550</v>
      </c>
      <c r="G28">
        <f t="shared" si="7"/>
        <v>31700</v>
      </c>
      <c r="H28" s="52">
        <f t="shared" si="4"/>
        <v>14</v>
      </c>
      <c r="I28">
        <f>10000</f>
        <v>10000</v>
      </c>
      <c r="J28">
        <f t="shared" si="0"/>
        <v>2000</v>
      </c>
      <c r="K28">
        <f t="shared" si="8"/>
        <v>38000</v>
      </c>
    </row>
    <row r="29" spans="1:11" x14ac:dyDescent="0.25">
      <c r="A29" s="35">
        <f t="shared" si="1"/>
        <v>55347.525466347608</v>
      </c>
      <c r="B29">
        <f t="shared" si="5"/>
        <v>7195.18</v>
      </c>
      <c r="C29" s="35">
        <f t="shared" si="2"/>
        <v>62542.70377697279</v>
      </c>
      <c r="D29" s="52">
        <f t="shared" si="3"/>
        <v>15</v>
      </c>
      <c r="E29">
        <f>10000</f>
        <v>10000</v>
      </c>
      <c r="F29">
        <f t="shared" si="6"/>
        <v>1550</v>
      </c>
      <c r="G29">
        <f t="shared" si="7"/>
        <v>33250</v>
      </c>
      <c r="H29" s="52">
        <f t="shared" si="4"/>
        <v>15</v>
      </c>
      <c r="I29">
        <f>10000</f>
        <v>10000</v>
      </c>
      <c r="J29">
        <f t="shared" si="0"/>
        <v>2000</v>
      </c>
      <c r="K29">
        <f t="shared" si="8"/>
        <v>40000</v>
      </c>
    </row>
    <row r="30" spans="1:11" x14ac:dyDescent="0.25">
      <c r="A30" s="35">
        <f t="shared" si="1"/>
        <v>62542.70377697279</v>
      </c>
      <c r="B30">
        <f t="shared" si="5"/>
        <v>8130.55</v>
      </c>
      <c r="C30" s="35">
        <f t="shared" si="2"/>
        <v>70673.255267979242</v>
      </c>
      <c r="D30" s="52">
        <f t="shared" si="3"/>
        <v>16</v>
      </c>
      <c r="E30">
        <f>10000</f>
        <v>10000</v>
      </c>
      <c r="F30">
        <f t="shared" si="6"/>
        <v>1550</v>
      </c>
      <c r="G30">
        <f t="shared" si="7"/>
        <v>34800</v>
      </c>
      <c r="H30" s="52">
        <f t="shared" si="4"/>
        <v>16</v>
      </c>
      <c r="I30">
        <f>10000</f>
        <v>10000</v>
      </c>
      <c r="J30">
        <f t="shared" si="0"/>
        <v>2000</v>
      </c>
      <c r="K30">
        <f t="shared" si="8"/>
        <v>42000</v>
      </c>
    </row>
    <row r="31" spans="1:11" x14ac:dyDescent="0.25">
      <c r="A31" s="35">
        <f t="shared" si="1"/>
        <v>70673.255267979242</v>
      </c>
      <c r="B31">
        <f t="shared" si="5"/>
        <v>9187.52</v>
      </c>
      <c r="C31" s="35">
        <f t="shared" si="2"/>
        <v>79860.778452816536</v>
      </c>
      <c r="D31" s="52">
        <f t="shared" si="3"/>
        <v>17</v>
      </c>
      <c r="E31">
        <f>10000</f>
        <v>10000</v>
      </c>
      <c r="F31">
        <f t="shared" si="6"/>
        <v>1550</v>
      </c>
      <c r="G31">
        <f t="shared" si="7"/>
        <v>36350</v>
      </c>
      <c r="H31" s="52">
        <f t="shared" si="4"/>
        <v>17</v>
      </c>
      <c r="I31">
        <f>10000</f>
        <v>10000</v>
      </c>
      <c r="J31">
        <f t="shared" si="0"/>
        <v>2000</v>
      </c>
      <c r="K31">
        <f t="shared" si="8"/>
        <v>44000</v>
      </c>
    </row>
    <row r="32" spans="1:11" x14ac:dyDescent="0.25">
      <c r="A32" s="35">
        <f t="shared" si="1"/>
        <v>79860.778452816536</v>
      </c>
      <c r="B32" s="35">
        <f t="shared" si="5"/>
        <v>10381.9</v>
      </c>
      <c r="C32" s="35">
        <f t="shared" si="2"/>
        <v>90242.679651682673</v>
      </c>
      <c r="D32" s="52">
        <f t="shared" si="3"/>
        <v>18</v>
      </c>
      <c r="E32">
        <f>10000</f>
        <v>10000</v>
      </c>
      <c r="F32">
        <f t="shared" si="6"/>
        <v>1550</v>
      </c>
      <c r="G32">
        <f t="shared" si="7"/>
        <v>37900</v>
      </c>
      <c r="H32" s="52">
        <f t="shared" si="4"/>
        <v>18</v>
      </c>
      <c r="I32">
        <f>10000</f>
        <v>10000</v>
      </c>
      <c r="J32">
        <f t="shared" si="0"/>
        <v>2000</v>
      </c>
      <c r="K32">
        <f t="shared" si="8"/>
        <v>46000</v>
      </c>
    </row>
    <row r="33" spans="1:11" x14ac:dyDescent="0.25">
      <c r="A33" s="35">
        <f t="shared" si="1"/>
        <v>90242.679651682673</v>
      </c>
      <c r="B33">
        <f t="shared" si="5"/>
        <v>11731.55</v>
      </c>
      <c r="C33" s="35">
        <f t="shared" si="2"/>
        <v>101974.2280064014</v>
      </c>
      <c r="D33" s="52">
        <f t="shared" si="3"/>
        <v>19</v>
      </c>
      <c r="E33">
        <f>10000</f>
        <v>10000</v>
      </c>
      <c r="F33">
        <f t="shared" si="6"/>
        <v>1550</v>
      </c>
      <c r="G33">
        <f t="shared" si="7"/>
        <v>39450</v>
      </c>
      <c r="H33" s="52">
        <f t="shared" si="4"/>
        <v>19</v>
      </c>
      <c r="I33">
        <f>10000</f>
        <v>10000</v>
      </c>
      <c r="J33">
        <f t="shared" si="0"/>
        <v>2000</v>
      </c>
      <c r="K33">
        <f t="shared" si="8"/>
        <v>48000</v>
      </c>
    </row>
    <row r="34" spans="1:11" x14ac:dyDescent="0.25">
      <c r="A34" s="35">
        <f t="shared" si="1"/>
        <v>101974.2280064014</v>
      </c>
      <c r="B34">
        <f t="shared" si="5"/>
        <v>13256.65</v>
      </c>
      <c r="C34" s="54">
        <f t="shared" si="2"/>
        <v>115230.87764723357</v>
      </c>
      <c r="D34" s="52">
        <f>D33+1</f>
        <v>20</v>
      </c>
      <c r="E34">
        <f>10000</f>
        <v>10000</v>
      </c>
      <c r="F34">
        <f t="shared" si="6"/>
        <v>1550</v>
      </c>
      <c r="G34" s="8">
        <f t="shared" si="7"/>
        <v>41000</v>
      </c>
      <c r="H34" s="52">
        <f>H33+1</f>
        <v>20</v>
      </c>
      <c r="I34">
        <f>10000</f>
        <v>10000</v>
      </c>
      <c r="J34">
        <f t="shared" si="0"/>
        <v>2000</v>
      </c>
      <c r="K34" s="8">
        <f t="shared" si="8"/>
        <v>50000</v>
      </c>
    </row>
    <row r="35" spans="1:11" x14ac:dyDescent="0.25">
      <c r="D35" s="10"/>
    </row>
    <row r="36" spans="1:11" x14ac:dyDescent="0.25">
      <c r="D36" s="10"/>
    </row>
    <row r="37" spans="1:11" x14ac:dyDescent="0.25">
      <c r="D37" s="10"/>
    </row>
    <row r="38" spans="1:11" x14ac:dyDescent="0.25">
      <c r="D38" s="10"/>
    </row>
    <row r="39" spans="1:11" x14ac:dyDescent="0.25">
      <c r="D39" s="10"/>
    </row>
    <row r="40" spans="1:11" x14ac:dyDescent="0.25">
      <c r="D40" s="10"/>
    </row>
    <row r="41" spans="1:11" x14ac:dyDescent="0.25">
      <c r="D41" s="10"/>
    </row>
    <row r="42" spans="1:11" x14ac:dyDescent="0.25">
      <c r="D42" s="10"/>
    </row>
    <row r="43" spans="1:11" x14ac:dyDescent="0.25">
      <c r="D43" s="10"/>
    </row>
    <row r="44" spans="1:11" x14ac:dyDescent="0.25">
      <c r="D44" s="10"/>
    </row>
    <row r="45" spans="1:11" x14ac:dyDescent="0.25">
      <c r="D45" s="10"/>
    </row>
    <row r="46" spans="1:11" x14ac:dyDescent="0.25">
      <c r="D46" s="10"/>
    </row>
    <row r="47" spans="1:11" x14ac:dyDescent="0.25">
      <c r="D47" s="10"/>
    </row>
    <row r="48" spans="1:11" x14ac:dyDescent="0.25">
      <c r="D48" s="10"/>
    </row>
    <row r="49" spans="4:4" x14ac:dyDescent="0.25">
      <c r="D49" s="10"/>
    </row>
    <row r="50" spans="4:4" x14ac:dyDescent="0.25">
      <c r="D50" s="10"/>
    </row>
    <row r="51" spans="4:4" x14ac:dyDescent="0.25">
      <c r="D51" s="10"/>
    </row>
    <row r="52" spans="4:4" x14ac:dyDescent="0.25">
      <c r="D52" s="10"/>
    </row>
    <row r="53" spans="4:4" x14ac:dyDescent="0.25">
      <c r="D53" s="10"/>
    </row>
    <row r="54" spans="4:4" x14ac:dyDescent="0.25">
      <c r="D54" s="10"/>
    </row>
    <row r="55" spans="4:4" x14ac:dyDescent="0.25">
      <c r="D55" s="10"/>
    </row>
    <row r="56" spans="4:4" x14ac:dyDescent="0.25">
      <c r="D56" s="10"/>
    </row>
    <row r="57" spans="4:4" x14ac:dyDescent="0.25">
      <c r="D57" s="10"/>
    </row>
  </sheetData>
  <mergeCells count="3">
    <mergeCell ref="A13:C13"/>
    <mergeCell ref="E13:G13"/>
    <mergeCell ref="I13:K1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60" zoomScaleNormal="60" workbookViewId="0">
      <selection activeCell="B3" sqref="B3:C9"/>
    </sheetView>
  </sheetViews>
  <sheetFormatPr defaultRowHeight="15" x14ac:dyDescent="0.25"/>
  <cols>
    <col min="2" max="2" width="28.42578125" customWidth="1"/>
    <col min="3" max="3" width="19.28515625" bestFit="1" customWidth="1"/>
    <col min="4" max="4" width="15.28515625" bestFit="1" customWidth="1"/>
    <col min="5" max="5" width="19.5703125" bestFit="1" customWidth="1"/>
  </cols>
  <sheetData>
    <row r="1" spans="1:5" ht="21" x14ac:dyDescent="0.35">
      <c r="A1" s="55" t="s">
        <v>162</v>
      </c>
      <c r="B1" s="55"/>
      <c r="C1" s="55"/>
      <c r="D1" s="55"/>
    </row>
    <row r="3" spans="1:5" x14ac:dyDescent="0.25">
      <c r="B3" t="s">
        <v>163</v>
      </c>
      <c r="C3" s="6">
        <v>1000000</v>
      </c>
    </row>
    <row r="4" spans="1:5" x14ac:dyDescent="0.25">
      <c r="B4" t="s">
        <v>137</v>
      </c>
      <c r="C4" s="7">
        <v>0.12</v>
      </c>
    </row>
    <row r="5" spans="1:5" x14ac:dyDescent="0.25">
      <c r="B5" t="s">
        <v>164</v>
      </c>
      <c r="C5">
        <v>24</v>
      </c>
    </row>
    <row r="7" spans="1:5" x14ac:dyDescent="0.25">
      <c r="B7" s="56" t="s">
        <v>165</v>
      </c>
      <c r="C7" s="34">
        <f>PMT(C4/12,C5,C3,0,0)</f>
        <v>-47073.472223264704</v>
      </c>
    </row>
    <row r="8" spans="1:5" x14ac:dyDescent="0.25">
      <c r="B8" s="56" t="s">
        <v>129</v>
      </c>
      <c r="C8" s="34">
        <f>C7*C5</f>
        <v>-1129763.333358353</v>
      </c>
    </row>
    <row r="9" spans="1:5" x14ac:dyDescent="0.25">
      <c r="B9" s="56" t="s">
        <v>166</v>
      </c>
      <c r="C9" s="34">
        <f>C8+C3</f>
        <v>-129763.333358353</v>
      </c>
    </row>
    <row r="16" spans="1:5" x14ac:dyDescent="0.25">
      <c r="A16" t="s">
        <v>159</v>
      </c>
      <c r="B16" t="s">
        <v>167</v>
      </c>
      <c r="C16" t="s">
        <v>168</v>
      </c>
      <c r="D16" t="s">
        <v>169</v>
      </c>
      <c r="E16" t="s">
        <v>170</v>
      </c>
    </row>
    <row r="17" spans="1:5" x14ac:dyDescent="0.25">
      <c r="A17">
        <f>1</f>
        <v>1</v>
      </c>
      <c r="B17" s="6">
        <f>IF(A17&lt;&gt;"", PPMT($C$4/12,A17,$C$5,$C$3,0), "")</f>
        <v>-37073.472223264704</v>
      </c>
      <c r="C17" s="6">
        <f>IPMT($C$4/12,A17,$C$5,$C$3,0)</f>
        <v>-10000.000000000002</v>
      </c>
      <c r="D17" s="6">
        <f>B17+C17</f>
        <v>-47073.472223264704</v>
      </c>
      <c r="E17" s="6">
        <f>$C$3+SUM($B$17:B17)</f>
        <v>962926.52777673525</v>
      </c>
    </row>
    <row r="18" spans="1:5" x14ac:dyDescent="0.25">
      <c r="A18">
        <f>IF(A17&gt;=$C$5,"",A17+1)</f>
        <v>2</v>
      </c>
      <c r="B18" s="6">
        <f>IF(A18&lt;&gt;"", PPMT($C$4/12,A18,$C$5,$C$3,0), "")</f>
        <v>-37444.206945497353</v>
      </c>
      <c r="C18" s="6">
        <f t="shared" ref="C18:C32" si="0">IPMT($C$4/12,A18,$C$5,$C$3,0)</f>
        <v>-9629.2652777673538</v>
      </c>
      <c r="D18" s="6">
        <f t="shared" ref="D18:D32" si="1">B18+C18</f>
        <v>-47073.472223264704</v>
      </c>
      <c r="E18" s="6">
        <f>$C$3+SUM($B$17:B18)</f>
        <v>925482.32083123794</v>
      </c>
    </row>
    <row r="19" spans="1:5" x14ac:dyDescent="0.25">
      <c r="A19">
        <f t="shared" ref="A19:A32" si="2">IF(A18&gt;=$C$5,"",A18+1)</f>
        <v>3</v>
      </c>
      <c r="B19" s="6">
        <f t="shared" ref="B19:B32" si="3">IF(A19&lt;&gt;"", PPMT($C$4/12,A19,$C$5,$C$3,0), "")</f>
        <v>-37818.649014952323</v>
      </c>
      <c r="C19" s="6">
        <f t="shared" si="0"/>
        <v>-9254.8232083123821</v>
      </c>
      <c r="D19" s="6">
        <f t="shared" si="1"/>
        <v>-47073.472223264704</v>
      </c>
      <c r="E19" s="6">
        <f>$C$3+SUM($B$17:B19)</f>
        <v>887663.67181628558</v>
      </c>
    </row>
    <row r="20" spans="1:5" x14ac:dyDescent="0.25">
      <c r="A20">
        <f t="shared" si="2"/>
        <v>4</v>
      </c>
      <c r="B20" s="6">
        <f t="shared" si="3"/>
        <v>-38196.835505101852</v>
      </c>
      <c r="C20" s="6">
        <f t="shared" si="0"/>
        <v>-8876.6367181628575</v>
      </c>
      <c r="D20" s="6">
        <f t="shared" si="1"/>
        <v>-47073.472223264711</v>
      </c>
      <c r="E20" s="6">
        <f>$C$3+SUM($B$17:B20)</f>
        <v>849466.83631118375</v>
      </c>
    </row>
    <row r="21" spans="1:5" x14ac:dyDescent="0.25">
      <c r="A21">
        <f t="shared" si="2"/>
        <v>5</v>
      </c>
      <c r="B21" s="6">
        <f t="shared" si="3"/>
        <v>-38578.803860152868</v>
      </c>
      <c r="C21" s="6">
        <f t="shared" si="0"/>
        <v>-8494.6683631118394</v>
      </c>
      <c r="D21" s="6">
        <f t="shared" si="1"/>
        <v>-47073.472223264704</v>
      </c>
      <c r="E21" s="6">
        <f>$C$3+SUM($B$17:B21)</f>
        <v>810888.03245103091</v>
      </c>
    </row>
    <row r="22" spans="1:5" x14ac:dyDescent="0.25">
      <c r="A22">
        <f t="shared" si="2"/>
        <v>6</v>
      </c>
      <c r="B22" s="6">
        <f t="shared" si="3"/>
        <v>-38964.591898754392</v>
      </c>
      <c r="C22" s="6">
        <f t="shared" si="0"/>
        <v>-8108.8803245103109</v>
      </c>
      <c r="D22" s="6">
        <f t="shared" si="1"/>
        <v>-47073.472223264704</v>
      </c>
      <c r="E22" s="6">
        <f>$C$3+SUM($B$17:B22)</f>
        <v>771923.44055227656</v>
      </c>
    </row>
    <row r="23" spans="1:5" x14ac:dyDescent="0.25">
      <c r="A23">
        <f t="shared" si="2"/>
        <v>7</v>
      </c>
      <c r="B23" s="6">
        <f t="shared" si="3"/>
        <v>-39354.237817741938</v>
      </c>
      <c r="C23" s="6">
        <f t="shared" si="0"/>
        <v>-7719.2344055227659</v>
      </c>
      <c r="D23" s="6">
        <f t="shared" si="1"/>
        <v>-47073.472223264704</v>
      </c>
      <c r="E23" s="6">
        <f>$C$3+SUM($B$17:B23)</f>
        <v>732569.20273453463</v>
      </c>
    </row>
    <row r="24" spans="1:5" x14ac:dyDescent="0.25">
      <c r="A24">
        <f t="shared" si="2"/>
        <v>8</v>
      </c>
      <c r="B24" s="6">
        <f t="shared" si="3"/>
        <v>-39747.78019591936</v>
      </c>
      <c r="C24" s="6">
        <f t="shared" si="0"/>
        <v>-7325.6920273453461</v>
      </c>
      <c r="D24" s="6">
        <f t="shared" si="1"/>
        <v>-47073.472223264704</v>
      </c>
      <c r="E24" s="6">
        <f>$C$3+SUM($B$17:B24)</f>
        <v>692821.42253861518</v>
      </c>
    </row>
    <row r="25" spans="1:5" x14ac:dyDescent="0.25">
      <c r="A25">
        <f t="shared" si="2"/>
        <v>9</v>
      </c>
      <c r="B25" s="6">
        <f t="shared" si="3"/>
        <v>-40145.257997878551</v>
      </c>
      <c r="C25" s="6">
        <f t="shared" si="0"/>
        <v>-6928.214225386153</v>
      </c>
      <c r="D25" s="6">
        <f t="shared" si="1"/>
        <v>-47073.472223264704</v>
      </c>
      <c r="E25" s="6">
        <f>$C$3+SUM($B$17:B25)</f>
        <v>652676.1645407367</v>
      </c>
    </row>
    <row r="26" spans="1:5" x14ac:dyDescent="0.25">
      <c r="A26">
        <f t="shared" si="2"/>
        <v>10</v>
      </c>
      <c r="B26" s="6">
        <f t="shared" si="3"/>
        <v>-40546.710577857339</v>
      </c>
      <c r="C26" s="6">
        <f t="shared" si="0"/>
        <v>-6526.7616454073659</v>
      </c>
      <c r="D26" s="6">
        <f t="shared" si="1"/>
        <v>-47073.472223264704</v>
      </c>
      <c r="E26" s="6">
        <f>$C$3+SUM($B$17:B26)</f>
        <v>612129.45396287926</v>
      </c>
    </row>
    <row r="27" spans="1:5" x14ac:dyDescent="0.25">
      <c r="A27">
        <f t="shared" si="2"/>
        <v>11</v>
      </c>
      <c r="B27" s="6">
        <f t="shared" si="3"/>
        <v>-40952.177683635913</v>
      </c>
      <c r="C27" s="6">
        <f t="shared" si="0"/>
        <v>-6121.2945396287942</v>
      </c>
      <c r="D27" s="6">
        <f t="shared" si="1"/>
        <v>-47073.472223264704</v>
      </c>
      <c r="E27" s="6">
        <f>$C$3+SUM($B$17:B27)</f>
        <v>571177.27627924341</v>
      </c>
    </row>
    <row r="28" spans="1:5" x14ac:dyDescent="0.25">
      <c r="A28">
        <f t="shared" si="2"/>
        <v>12</v>
      </c>
      <c r="B28" s="6">
        <f t="shared" si="3"/>
        <v>-41361.699460472271</v>
      </c>
      <c r="C28" s="6">
        <f t="shared" si="0"/>
        <v>-5711.7727627924342</v>
      </c>
      <c r="D28" s="6">
        <f t="shared" si="1"/>
        <v>-47073.472223264704</v>
      </c>
      <c r="E28" s="6">
        <f>$C$3+SUM($B$17:B28)</f>
        <v>529815.57681877119</v>
      </c>
    </row>
    <row r="29" spans="1:5" x14ac:dyDescent="0.25">
      <c r="A29">
        <f t="shared" si="2"/>
        <v>13</v>
      </c>
      <c r="B29" s="6">
        <f t="shared" si="3"/>
        <v>-41775.316455076994</v>
      </c>
      <c r="C29" s="6">
        <f t="shared" si="0"/>
        <v>-5298.1557681877121</v>
      </c>
      <c r="D29" s="6">
        <f t="shared" si="1"/>
        <v>-47073.472223264704</v>
      </c>
      <c r="E29" s="6">
        <f>$C$3+SUM($B$17:B29)</f>
        <v>488040.26036369416</v>
      </c>
    </row>
    <row r="30" spans="1:5" x14ac:dyDescent="0.25">
      <c r="A30">
        <f t="shared" si="2"/>
        <v>14</v>
      </c>
      <c r="B30" s="6">
        <f t="shared" si="3"/>
        <v>-42193.069619627764</v>
      </c>
      <c r="C30" s="6">
        <f t="shared" si="0"/>
        <v>-4880.4026036369414</v>
      </c>
      <c r="D30" s="6">
        <f t="shared" si="1"/>
        <v>-47073.472223264704</v>
      </c>
      <c r="E30" s="6">
        <f>$C$3+SUM($B$17:B30)</f>
        <v>445847.19074406638</v>
      </c>
    </row>
    <row r="31" spans="1:5" x14ac:dyDescent="0.25">
      <c r="A31">
        <f t="shared" si="2"/>
        <v>15</v>
      </c>
      <c r="B31" s="6">
        <f t="shared" si="3"/>
        <v>-42615.000315824043</v>
      </c>
      <c r="C31" s="6">
        <f t="shared" si="0"/>
        <v>-4458.471907440663</v>
      </c>
      <c r="D31" s="6">
        <f t="shared" si="1"/>
        <v>-47073.472223264704</v>
      </c>
      <c r="E31" s="6">
        <f>$C$3+SUM($B$17:B31)</f>
        <v>403232.19042824232</v>
      </c>
    </row>
    <row r="32" spans="1:5" x14ac:dyDescent="0.25">
      <c r="A32">
        <f t="shared" si="2"/>
        <v>16</v>
      </c>
      <c r="B32" s="6">
        <f t="shared" si="3"/>
        <v>-43041.150318982283</v>
      </c>
      <c r="C32" s="6">
        <f t="shared" si="0"/>
        <v>-4032.3219042824235</v>
      </c>
      <c r="D32" s="6">
        <f t="shared" si="1"/>
        <v>-47073.472223264704</v>
      </c>
      <c r="E32" s="6">
        <f>$C$3+SUM($B$17:B32)</f>
        <v>360191.04010926001</v>
      </c>
    </row>
  </sheetData>
  <conditionalFormatting sqref="E17:E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{18224555-D39E-4224-B3E9-B74939606D2A}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224555-D39E-4224-B3E9-B74939606D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E17:E32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="80" zoomScaleNormal="80" workbookViewId="0">
      <selection activeCell="F11" sqref="F11"/>
    </sheetView>
  </sheetViews>
  <sheetFormatPr defaultRowHeight="15" x14ac:dyDescent="0.25"/>
  <cols>
    <col min="2" max="2" width="28.42578125" customWidth="1"/>
    <col min="3" max="3" width="20.5703125" bestFit="1" customWidth="1"/>
    <col min="4" max="4" width="35" customWidth="1"/>
    <col min="5" max="5" width="19.5703125" bestFit="1" customWidth="1"/>
    <col min="6" max="6" width="20.85546875" customWidth="1"/>
  </cols>
  <sheetData>
    <row r="1" spans="1:6" ht="21" x14ac:dyDescent="0.35">
      <c r="A1" s="55" t="s">
        <v>177</v>
      </c>
      <c r="B1" s="55"/>
      <c r="C1" s="55"/>
      <c r="D1" s="55"/>
    </row>
    <row r="3" spans="1:6" x14ac:dyDescent="0.25">
      <c r="B3" s="56" t="s">
        <v>163</v>
      </c>
      <c r="C3" s="2">
        <v>1000000</v>
      </c>
    </row>
    <row r="4" spans="1:6" x14ac:dyDescent="0.25">
      <c r="B4" s="1"/>
      <c r="C4" s="1"/>
    </row>
    <row r="5" spans="1:6" x14ac:dyDescent="0.25">
      <c r="B5" s="56" t="s">
        <v>171</v>
      </c>
      <c r="C5" s="3">
        <v>0.12</v>
      </c>
    </row>
    <row r="6" spans="1:6" x14ac:dyDescent="0.25">
      <c r="B6" s="1"/>
      <c r="C6" s="1"/>
    </row>
    <row r="7" spans="1:6" x14ac:dyDescent="0.25">
      <c r="B7" s="56" t="s">
        <v>164</v>
      </c>
      <c r="C7" s="1">
        <v>24</v>
      </c>
    </row>
    <row r="8" spans="1:6" x14ac:dyDescent="0.25">
      <c r="B8" s="57"/>
      <c r="C8" s="58"/>
    </row>
    <row r="9" spans="1:6" x14ac:dyDescent="0.25">
      <c r="B9" s="57" t="s">
        <v>172</v>
      </c>
      <c r="C9" s="58">
        <v>-88848.79</v>
      </c>
    </row>
    <row r="11" spans="1:6" x14ac:dyDescent="0.25">
      <c r="A11" t="s">
        <v>159</v>
      </c>
      <c r="B11" t="s">
        <v>173</v>
      </c>
      <c r="C11" t="s">
        <v>174</v>
      </c>
      <c r="D11" t="s">
        <v>175</v>
      </c>
      <c r="E11" t="s">
        <v>176</v>
      </c>
      <c r="F11" t="s">
        <v>170</v>
      </c>
    </row>
    <row r="12" spans="1:6" x14ac:dyDescent="0.25">
      <c r="B12" s="6">
        <v>1000000</v>
      </c>
      <c r="C12" s="6"/>
      <c r="D12" s="6"/>
      <c r="F12" s="6">
        <f>B12</f>
        <v>1000000</v>
      </c>
    </row>
    <row r="13" spans="1:6" x14ac:dyDescent="0.25">
      <c r="A13">
        <f>1</f>
        <v>1</v>
      </c>
      <c r="B13" s="6">
        <f>$C$9</f>
        <v>-88848.79</v>
      </c>
      <c r="C13" s="6">
        <f>-$C$5/12*F12</f>
        <v>-10000</v>
      </c>
      <c r="D13" s="6">
        <f t="shared" ref="D13:D24" si="0">B13-C13</f>
        <v>-78848.789999999994</v>
      </c>
      <c r="F13" s="6">
        <f t="shared" ref="F13:F24" si="1">F12+D13+E13</f>
        <v>921151.21</v>
      </c>
    </row>
    <row r="14" spans="1:6" x14ac:dyDescent="0.25">
      <c r="A14">
        <f t="shared" ref="A14:A24" si="2">IF(A13&gt;=$C$7,"",A13+1)</f>
        <v>2</v>
      </c>
      <c r="B14" s="6">
        <f>IF(F13=0,0,IF(F13&lt;-$C$9,-F13+C14,B13))</f>
        <v>-88848.79</v>
      </c>
      <c r="C14" s="6">
        <f>-$C$5/12*F13</f>
        <v>-9211.5120999999999</v>
      </c>
      <c r="D14" s="6">
        <f t="shared" si="0"/>
        <v>-79637.277899999986</v>
      </c>
      <c r="F14" s="6">
        <f t="shared" si="1"/>
        <v>841513.93209999998</v>
      </c>
    </row>
    <row r="15" spans="1:6" x14ac:dyDescent="0.25">
      <c r="A15">
        <f t="shared" si="2"/>
        <v>3</v>
      </c>
      <c r="B15" s="6">
        <f t="shared" ref="B15:B24" si="3">IF(F14=0,0,IF(F14&lt;-$C$9,-F14+C15,B14))</f>
        <v>-88848.79</v>
      </c>
      <c r="C15" s="6">
        <f>-$C$5/12*F14</f>
        <v>-8415.1393210000006</v>
      </c>
      <c r="D15" s="6">
        <f t="shared" si="0"/>
        <v>-80433.650678999998</v>
      </c>
      <c r="F15" s="6">
        <f t="shared" si="1"/>
        <v>761080.28142100002</v>
      </c>
    </row>
    <row r="16" spans="1:6" x14ac:dyDescent="0.25">
      <c r="A16">
        <f t="shared" si="2"/>
        <v>4</v>
      </c>
      <c r="B16" s="6">
        <f t="shared" si="3"/>
        <v>-88848.79</v>
      </c>
      <c r="C16" s="6">
        <f>-$C$5/12*F15</f>
        <v>-7610.8028142100002</v>
      </c>
      <c r="D16" s="6">
        <f>B16-C16</f>
        <v>-81237.98718579</v>
      </c>
      <c r="E16" s="6">
        <v>-300000</v>
      </c>
      <c r="F16" s="6">
        <f>F15+D16+E16</f>
        <v>379842.29423521005</v>
      </c>
    </row>
    <row r="17" spans="1:6" x14ac:dyDescent="0.25">
      <c r="A17">
        <f t="shared" si="2"/>
        <v>5</v>
      </c>
      <c r="B17" s="6">
        <f t="shared" si="3"/>
        <v>-88848.79</v>
      </c>
      <c r="C17" s="6">
        <f t="shared" ref="C17:C24" si="4">-$C$5/12*F16</f>
        <v>-3798.4229423521006</v>
      </c>
      <c r="D17" s="6">
        <f t="shared" si="0"/>
        <v>-85050.367057647891</v>
      </c>
      <c r="F17" s="6">
        <f t="shared" si="1"/>
        <v>294791.92717756215</v>
      </c>
    </row>
    <row r="18" spans="1:6" x14ac:dyDescent="0.25">
      <c r="A18">
        <f t="shared" si="2"/>
        <v>6</v>
      </c>
      <c r="B18" s="6">
        <f t="shared" si="3"/>
        <v>-88848.79</v>
      </c>
      <c r="C18" s="6">
        <f t="shared" si="4"/>
        <v>-2947.9192717756214</v>
      </c>
      <c r="D18" s="6">
        <f t="shared" si="0"/>
        <v>-85900.87072822437</v>
      </c>
      <c r="F18" s="6">
        <f t="shared" si="1"/>
        <v>208891.05644933778</v>
      </c>
    </row>
    <row r="19" spans="1:6" x14ac:dyDescent="0.25">
      <c r="A19">
        <f t="shared" si="2"/>
        <v>7</v>
      </c>
      <c r="B19" s="6">
        <f t="shared" si="3"/>
        <v>-88848.79</v>
      </c>
      <c r="C19" s="6">
        <f t="shared" si="4"/>
        <v>-2088.9105644933779</v>
      </c>
      <c r="D19" s="6">
        <f t="shared" si="0"/>
        <v>-86759.87943550662</v>
      </c>
      <c r="F19" s="6">
        <f t="shared" si="1"/>
        <v>122131.17701383115</v>
      </c>
    </row>
    <row r="20" spans="1:6" x14ac:dyDescent="0.25">
      <c r="A20">
        <f t="shared" si="2"/>
        <v>8</v>
      </c>
      <c r="B20" s="6">
        <f t="shared" si="3"/>
        <v>-88848.79</v>
      </c>
      <c r="C20" s="6">
        <f t="shared" si="4"/>
        <v>-1221.3117701383117</v>
      </c>
      <c r="D20" s="6">
        <f t="shared" si="0"/>
        <v>-87627.478229861677</v>
      </c>
      <c r="F20" s="6">
        <f t="shared" si="1"/>
        <v>34503.698783969478</v>
      </c>
    </row>
    <row r="21" spans="1:6" x14ac:dyDescent="0.25">
      <c r="A21">
        <f t="shared" si="2"/>
        <v>9</v>
      </c>
      <c r="B21" s="6">
        <f t="shared" si="3"/>
        <v>-34848.735771809173</v>
      </c>
      <c r="C21" s="6">
        <f t="shared" si="4"/>
        <v>-345.0369878396948</v>
      </c>
      <c r="D21" s="6">
        <f t="shared" si="0"/>
        <v>-34503.698783969478</v>
      </c>
      <c r="F21" s="6">
        <f t="shared" si="1"/>
        <v>0</v>
      </c>
    </row>
    <row r="22" spans="1:6" x14ac:dyDescent="0.25">
      <c r="A22">
        <f t="shared" si="2"/>
        <v>10</v>
      </c>
      <c r="B22" s="6">
        <f t="shared" si="3"/>
        <v>0</v>
      </c>
      <c r="C22" s="6">
        <f t="shared" si="4"/>
        <v>0</v>
      </c>
      <c r="D22" s="6">
        <f t="shared" si="0"/>
        <v>0</v>
      </c>
      <c r="F22" s="6">
        <f t="shared" si="1"/>
        <v>0</v>
      </c>
    </row>
    <row r="23" spans="1:6" x14ac:dyDescent="0.25">
      <c r="A23">
        <f t="shared" si="2"/>
        <v>11</v>
      </c>
      <c r="B23" s="6">
        <f t="shared" si="3"/>
        <v>0</v>
      </c>
      <c r="C23" s="6">
        <f t="shared" si="4"/>
        <v>0</v>
      </c>
      <c r="D23" s="6">
        <f t="shared" si="0"/>
        <v>0</v>
      </c>
      <c r="F23" s="6">
        <f t="shared" si="1"/>
        <v>0</v>
      </c>
    </row>
    <row r="24" spans="1:6" x14ac:dyDescent="0.25">
      <c r="A24">
        <f t="shared" si="2"/>
        <v>12</v>
      </c>
      <c r="B24" s="6">
        <f t="shared" si="3"/>
        <v>0</v>
      </c>
      <c r="C24" s="6">
        <f t="shared" si="4"/>
        <v>0</v>
      </c>
      <c r="D24" s="6">
        <f t="shared" si="0"/>
        <v>0</v>
      </c>
      <c r="F24" s="6">
        <f t="shared" si="1"/>
        <v>0</v>
      </c>
    </row>
    <row r="29" spans="1:6" x14ac:dyDescent="0.25">
      <c r="B29" s="6"/>
      <c r="C29" s="6"/>
      <c r="D29" s="6"/>
      <c r="E29" s="6"/>
    </row>
    <row r="30" spans="1:6" x14ac:dyDescent="0.25">
      <c r="B30" s="6"/>
      <c r="C30" s="6"/>
      <c r="D30" s="6"/>
      <c r="E30" s="6"/>
    </row>
    <row r="31" spans="1:6" x14ac:dyDescent="0.25">
      <c r="B31" s="6"/>
      <c r="C31" s="6"/>
      <c r="D31" s="6"/>
      <c r="E31" s="6"/>
    </row>
    <row r="32" spans="1:6" x14ac:dyDescent="0.25">
      <c r="B32" s="6"/>
      <c r="C32" s="6"/>
      <c r="D32" s="6"/>
      <c r="E32" s="6"/>
    </row>
  </sheetData>
  <conditionalFormatting sqref="F12:F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{91231D09-5FAB-4FFA-A49A-AE560ED9951C}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231D09-5FAB-4FFA-A49A-AE560ED995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F12:F24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G19" sqref="G19"/>
    </sheetView>
  </sheetViews>
  <sheetFormatPr defaultRowHeight="15" x14ac:dyDescent="0.25"/>
  <cols>
    <col min="1" max="1" width="12.85546875" customWidth="1"/>
    <col min="2" max="2" width="28.42578125" customWidth="1"/>
    <col min="3" max="3" width="20.5703125" bestFit="1" customWidth="1"/>
    <col min="4" max="4" width="35" customWidth="1"/>
    <col min="5" max="5" width="19.5703125" bestFit="1" customWidth="1"/>
    <col min="6" max="6" width="20.85546875" customWidth="1"/>
  </cols>
  <sheetData>
    <row r="1" spans="1:5" ht="21" x14ac:dyDescent="0.35">
      <c r="A1" s="55" t="s">
        <v>178</v>
      </c>
      <c r="B1" s="55"/>
      <c r="C1" s="55"/>
      <c r="D1" s="55"/>
    </row>
    <row r="3" spans="1:5" x14ac:dyDescent="0.25">
      <c r="B3" s="56" t="s">
        <v>163</v>
      </c>
      <c r="C3" s="2">
        <v>1000000</v>
      </c>
    </row>
    <row r="4" spans="1:5" x14ac:dyDescent="0.25">
      <c r="B4" s="1"/>
      <c r="C4" s="1"/>
    </row>
    <row r="5" spans="1:5" x14ac:dyDescent="0.25">
      <c r="B5" s="56" t="s">
        <v>171</v>
      </c>
      <c r="C5" s="3">
        <v>0.12</v>
      </c>
    </row>
    <row r="6" spans="1:5" x14ac:dyDescent="0.25">
      <c r="B6" s="10"/>
      <c r="C6" s="10"/>
    </row>
    <row r="7" spans="1:5" x14ac:dyDescent="0.25">
      <c r="A7" t="s">
        <v>35</v>
      </c>
      <c r="B7" t="s">
        <v>173</v>
      </c>
      <c r="C7" t="s">
        <v>174</v>
      </c>
      <c r="D7" t="s">
        <v>175</v>
      </c>
      <c r="E7" t="s">
        <v>170</v>
      </c>
    </row>
    <row r="8" spans="1:5" x14ac:dyDescent="0.25">
      <c r="A8" s="59">
        <v>41640</v>
      </c>
      <c r="B8" s="6">
        <v>1000000</v>
      </c>
      <c r="C8" s="6"/>
      <c r="D8" s="6"/>
      <c r="E8" s="6">
        <f>B8</f>
        <v>1000000</v>
      </c>
    </row>
    <row r="9" spans="1:5" x14ac:dyDescent="0.25">
      <c r="A9" s="59">
        <v>41685</v>
      </c>
      <c r="B9" s="6">
        <v>-100000</v>
      </c>
      <c r="C9" s="6">
        <f>-YEARFRAC(A8,A9,1)*$C$5*E8</f>
        <v>-14794.520547945203</v>
      </c>
      <c r="D9" s="6">
        <f t="shared" ref="D9:D18" si="0">B9-C9</f>
        <v>-85205.479452054802</v>
      </c>
      <c r="E9" s="6">
        <f>E8+D9</f>
        <v>914794.52054794517</v>
      </c>
    </row>
    <row r="10" spans="1:5" x14ac:dyDescent="0.25">
      <c r="A10" s="59">
        <v>41704</v>
      </c>
      <c r="B10" s="6">
        <v>-50000</v>
      </c>
      <c r="C10" s="6">
        <f t="shared" ref="C10:C18" si="1">-YEARFRAC(A9,A10,1)*$C$5*E9</f>
        <v>-5714.3328954775752</v>
      </c>
      <c r="D10" s="6">
        <f t="shared" si="0"/>
        <v>-44285.667104522421</v>
      </c>
      <c r="E10" s="6">
        <f t="shared" ref="E10:E18" si="2">E9+D10</f>
        <v>870508.8534434227</v>
      </c>
    </row>
    <row r="11" spans="1:5" x14ac:dyDescent="0.25">
      <c r="A11" s="59">
        <v>41730</v>
      </c>
      <c r="B11" s="6">
        <v>-75000</v>
      </c>
      <c r="C11" s="6">
        <f t="shared" si="1"/>
        <v>-7441.0619801191206</v>
      </c>
      <c r="D11" s="6">
        <f t="shared" si="0"/>
        <v>-67558.938019880879</v>
      </c>
      <c r="E11" s="6">
        <f t="shared" si="2"/>
        <v>802949.9154235418</v>
      </c>
    </row>
    <row r="12" spans="1:5" x14ac:dyDescent="0.25">
      <c r="A12" s="59">
        <v>41760</v>
      </c>
      <c r="B12" s="6">
        <v>-55000</v>
      </c>
      <c r="C12" s="6">
        <f t="shared" si="1"/>
        <v>-7919.5060151363023</v>
      </c>
      <c r="D12" s="6">
        <f>B12-C12</f>
        <v>-47080.4939848637</v>
      </c>
      <c r="E12" s="6">
        <f t="shared" si="2"/>
        <v>755869.42143867805</v>
      </c>
    </row>
    <row r="13" spans="1:5" x14ac:dyDescent="0.25">
      <c r="A13" s="59">
        <v>41795</v>
      </c>
      <c r="B13" s="6">
        <v>-58000</v>
      </c>
      <c r="C13" s="6">
        <f t="shared" si="1"/>
        <v>-8697.6755343628702</v>
      </c>
      <c r="D13" s="6">
        <f t="shared" si="0"/>
        <v>-49302.324465637132</v>
      </c>
      <c r="E13" s="6">
        <f t="shared" si="2"/>
        <v>706567.09697304096</v>
      </c>
    </row>
    <row r="14" spans="1:5" x14ac:dyDescent="0.25">
      <c r="A14" s="59">
        <v>41827</v>
      </c>
      <c r="B14" s="6">
        <v>-65000</v>
      </c>
      <c r="C14" s="6">
        <f t="shared" si="1"/>
        <v>-7433.473020209527</v>
      </c>
      <c r="D14" s="6">
        <f t="shared" si="0"/>
        <v>-57566.526979790477</v>
      </c>
      <c r="E14" s="6">
        <f t="shared" si="2"/>
        <v>649000.56999325054</v>
      </c>
    </row>
    <row r="15" spans="1:5" x14ac:dyDescent="0.25">
      <c r="A15" s="59">
        <v>41882</v>
      </c>
      <c r="B15" s="6">
        <v>100000</v>
      </c>
      <c r="C15" s="6">
        <f t="shared" si="1"/>
        <v>-11735.352772480694</v>
      </c>
      <c r="D15" s="6">
        <f t="shared" si="0"/>
        <v>111735.35277248069</v>
      </c>
      <c r="E15" s="6">
        <f t="shared" si="2"/>
        <v>760735.92276573123</v>
      </c>
    </row>
    <row r="16" spans="1:5" x14ac:dyDescent="0.25">
      <c r="A16" s="59">
        <v>41883</v>
      </c>
      <c r="B16" s="6">
        <v>-16000</v>
      </c>
      <c r="C16" s="6">
        <f t="shared" si="1"/>
        <v>-250.10496090928152</v>
      </c>
      <c r="D16" s="6">
        <f t="shared" si="0"/>
        <v>-15749.895039090719</v>
      </c>
      <c r="E16" s="6">
        <f t="shared" si="2"/>
        <v>744986.02772664046</v>
      </c>
    </row>
    <row r="17" spans="1:6" x14ac:dyDescent="0.25">
      <c r="A17" s="59">
        <v>41913</v>
      </c>
      <c r="B17" s="6">
        <v>-45400</v>
      </c>
      <c r="C17" s="6">
        <f t="shared" si="1"/>
        <v>-7347.8073967559058</v>
      </c>
      <c r="D17" s="6">
        <f t="shared" si="0"/>
        <v>-38052.192603244097</v>
      </c>
      <c r="E17" s="6">
        <f t="shared" si="2"/>
        <v>706933.83512339636</v>
      </c>
    </row>
    <row r="18" spans="1:6" x14ac:dyDescent="0.25">
      <c r="A18" s="59">
        <v>41944</v>
      </c>
      <c r="B18" s="6">
        <v>-25000</v>
      </c>
      <c r="C18" s="6">
        <f t="shared" si="1"/>
        <v>-7204.9147031754364</v>
      </c>
      <c r="D18" s="6">
        <f t="shared" si="0"/>
        <v>-17795.085296824564</v>
      </c>
      <c r="E18" s="6">
        <f t="shared" si="2"/>
        <v>689138.74982657179</v>
      </c>
    </row>
    <row r="19" spans="1:6" x14ac:dyDescent="0.25">
      <c r="A19" s="59"/>
      <c r="B19" s="6"/>
      <c r="C19" s="6"/>
      <c r="D19" s="6"/>
      <c r="F19" s="6"/>
    </row>
    <row r="20" spans="1:6" x14ac:dyDescent="0.25">
      <c r="A20" s="59"/>
      <c r="B20" s="6"/>
      <c r="C20" s="6"/>
      <c r="D20" s="6"/>
      <c r="F20" s="6"/>
    </row>
    <row r="29" spans="1:6" x14ac:dyDescent="0.25">
      <c r="B29" s="6"/>
      <c r="C29" s="6"/>
      <c r="D29" s="6"/>
      <c r="E29" s="6"/>
    </row>
    <row r="30" spans="1:6" x14ac:dyDescent="0.25">
      <c r="B30" s="6"/>
      <c r="C30" s="6"/>
      <c r="D30" s="6"/>
      <c r="E30" s="6"/>
    </row>
    <row r="31" spans="1:6" x14ac:dyDescent="0.25">
      <c r="B31" s="6"/>
      <c r="C31" s="6"/>
      <c r="D31" s="6"/>
      <c r="E31" s="6"/>
    </row>
    <row r="32" spans="1:6" x14ac:dyDescent="0.25">
      <c r="B32" s="6"/>
      <c r="C32" s="6"/>
      <c r="D32" s="6"/>
      <c r="E32" s="6"/>
    </row>
  </sheetData>
  <conditionalFormatting sqref="E8:E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{555EDE24-8230-4816-B2D3-CDDEBF7928AC}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5EDE24-8230-4816-B2D3-CDDEBF7928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E8:E18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3" sqref="A3:A10"/>
    </sheetView>
  </sheetViews>
  <sheetFormatPr defaultRowHeight="15" x14ac:dyDescent="0.25"/>
  <cols>
    <col min="1" max="1" width="19.42578125" customWidth="1"/>
    <col min="2" max="2" width="12.85546875" customWidth="1"/>
    <col min="3" max="3" width="12.5703125" customWidth="1"/>
  </cols>
  <sheetData>
    <row r="1" spans="1:3" ht="15.75" x14ac:dyDescent="0.25">
      <c r="A1" s="9" t="s">
        <v>88</v>
      </c>
      <c r="B1" s="9"/>
    </row>
    <row r="2" spans="1:3" x14ac:dyDescent="0.25">
      <c r="A2" s="1"/>
      <c r="B2" s="1" t="s">
        <v>89</v>
      </c>
      <c r="C2" s="1" t="s">
        <v>90</v>
      </c>
    </row>
    <row r="3" spans="1:3" x14ac:dyDescent="0.25">
      <c r="A3" s="1" t="s">
        <v>91</v>
      </c>
      <c r="B3" s="109">
        <v>50000</v>
      </c>
      <c r="C3" s="109"/>
    </row>
    <row r="4" spans="1:3" x14ac:dyDescent="0.25">
      <c r="A4" s="1" t="s">
        <v>6</v>
      </c>
      <c r="B4" s="3">
        <v>0.1</v>
      </c>
      <c r="C4" s="3">
        <v>0.2</v>
      </c>
    </row>
    <row r="5" spans="1:3" x14ac:dyDescent="0.25">
      <c r="A5" s="1"/>
      <c r="B5" s="3">
        <v>0.2</v>
      </c>
      <c r="C5" s="3">
        <v>0.2</v>
      </c>
    </row>
    <row r="6" spans="1:3" x14ac:dyDescent="0.25">
      <c r="A6" s="1"/>
      <c r="B6" s="3">
        <v>0.2</v>
      </c>
      <c r="C6" s="3">
        <v>0.2</v>
      </c>
    </row>
    <row r="7" spans="1:3" x14ac:dyDescent="0.25">
      <c r="A7" s="1"/>
      <c r="B7" s="3">
        <v>0.25</v>
      </c>
      <c r="C7" s="3">
        <v>0.2</v>
      </c>
    </row>
    <row r="8" spans="1:3" x14ac:dyDescent="0.25">
      <c r="A8" s="1"/>
      <c r="B8" s="3">
        <v>0.25</v>
      </c>
      <c r="C8" s="3">
        <v>0.2</v>
      </c>
    </row>
    <row r="9" spans="1:3" x14ac:dyDescent="0.25">
      <c r="A9" s="1"/>
      <c r="B9" s="3">
        <v>0.25</v>
      </c>
      <c r="C9" s="3">
        <v>0.2</v>
      </c>
    </row>
    <row r="10" spans="1:3" x14ac:dyDescent="0.25">
      <c r="A10" s="1" t="s">
        <v>92</v>
      </c>
      <c r="B10" s="2">
        <f>FVSCHEDULE(B3,B4:B9)</f>
        <v>154687.5</v>
      </c>
      <c r="C10" s="2">
        <f>FVSCHEDULE(B3,C4:C9)</f>
        <v>149299.19999999998</v>
      </c>
    </row>
  </sheetData>
  <mergeCells count="1">
    <mergeCell ref="B3:C3"/>
  </mergeCells>
  <pageMargins left="0.7" right="0.7" top="0.75" bottom="0.75" header="0.3" footer="0.3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13" sqref="E13"/>
    </sheetView>
  </sheetViews>
  <sheetFormatPr defaultRowHeight="15" x14ac:dyDescent="0.25"/>
  <cols>
    <col min="1" max="1" width="44.42578125" bestFit="1" customWidth="1"/>
    <col min="2" max="2" width="12.85546875" customWidth="1"/>
    <col min="3" max="3" width="10.5703125" customWidth="1"/>
    <col min="4" max="4" width="11.85546875" customWidth="1"/>
  </cols>
  <sheetData>
    <row r="1" spans="1:4" x14ac:dyDescent="0.25">
      <c r="A1" t="s">
        <v>163</v>
      </c>
      <c r="B1" s="6">
        <v>500000</v>
      </c>
    </row>
    <row r="2" spans="1:4" x14ac:dyDescent="0.25">
      <c r="A2" t="s">
        <v>179</v>
      </c>
      <c r="B2" s="7">
        <v>0.13</v>
      </c>
    </row>
    <row r="3" spans="1:4" x14ac:dyDescent="0.25">
      <c r="A3" t="s">
        <v>180</v>
      </c>
      <c r="B3" s="6"/>
    </row>
    <row r="4" spans="1:4" x14ac:dyDescent="0.25">
      <c r="A4" t="s">
        <v>181</v>
      </c>
      <c r="B4">
        <v>48</v>
      </c>
    </row>
    <row r="5" spans="1:4" x14ac:dyDescent="0.25">
      <c r="A5" t="s">
        <v>182</v>
      </c>
      <c r="B5" s="60">
        <v>0</v>
      </c>
    </row>
    <row r="6" spans="1:4" x14ac:dyDescent="0.25">
      <c r="A6" t="s">
        <v>183</v>
      </c>
      <c r="B6" s="6">
        <v>700</v>
      </c>
    </row>
    <row r="9" spans="1:4" x14ac:dyDescent="0.25">
      <c r="A9" t="s">
        <v>184</v>
      </c>
      <c r="B9" s="18">
        <f>PMT(B2/12,B4,B1-B3,0,0)</f>
        <v>-13413.747946882448</v>
      </c>
    </row>
    <row r="10" spans="1:4" x14ac:dyDescent="0.25">
      <c r="A10" t="s">
        <v>185</v>
      </c>
      <c r="B10" s="18">
        <f>B9*B4-B3-B1*B5-B6*B4</f>
        <v>-677459.90145035752</v>
      </c>
    </row>
    <row r="11" spans="1:4" x14ac:dyDescent="0.25">
      <c r="A11" t="s">
        <v>186</v>
      </c>
      <c r="B11" s="18">
        <f>B10+B1</f>
        <v>-177459.90145035752</v>
      </c>
    </row>
    <row r="14" spans="1:4" x14ac:dyDescent="0.25">
      <c r="A14" s="1"/>
      <c r="B14" s="61" t="s">
        <v>36</v>
      </c>
      <c r="C14" s="61" t="s">
        <v>37</v>
      </c>
      <c r="D14" s="61" t="s">
        <v>38</v>
      </c>
    </row>
    <row r="15" spans="1:4" x14ac:dyDescent="0.25">
      <c r="A15" s="1" t="s">
        <v>187</v>
      </c>
      <c r="B15" s="1">
        <v>0.09</v>
      </c>
      <c r="C15" s="1">
        <v>0.12</v>
      </c>
      <c r="D15" s="1">
        <v>0.13</v>
      </c>
    </row>
    <row r="16" spans="1:4" x14ac:dyDescent="0.25">
      <c r="A16" s="1" t="s">
        <v>180</v>
      </c>
      <c r="B16" s="1">
        <v>75000</v>
      </c>
      <c r="C16" s="1">
        <v>32000</v>
      </c>
      <c r="D16" s="62" t="s">
        <v>39</v>
      </c>
    </row>
    <row r="17" spans="1:4" x14ac:dyDescent="0.25">
      <c r="A17" s="1" t="s">
        <v>181</v>
      </c>
      <c r="B17" s="1">
        <v>24</v>
      </c>
      <c r="C17" s="1">
        <v>36</v>
      </c>
      <c r="D17" s="1">
        <v>48</v>
      </c>
    </row>
    <row r="18" spans="1:4" x14ac:dyDescent="0.25">
      <c r="A18" s="1" t="s">
        <v>182</v>
      </c>
      <c r="B18" s="1">
        <v>2</v>
      </c>
      <c r="C18" s="1">
        <v>0.01</v>
      </c>
      <c r="D18" s="1">
        <v>0</v>
      </c>
    </row>
    <row r="19" spans="1:4" x14ac:dyDescent="0.25">
      <c r="A19" s="1" t="s">
        <v>183</v>
      </c>
      <c r="B19" s="1">
        <v>500</v>
      </c>
      <c r="C19" s="62" t="s">
        <v>39</v>
      </c>
      <c r="D19" s="1">
        <v>700</v>
      </c>
    </row>
  </sheetData>
  <scenarios current="2" show="2" sqref="B9:B11">
    <scenario name="А" count="5" user="Автор" comment="Автор: Автор , 11.05.2016_x000a_Автор изменений: Автор , 11.05.2016">
      <inputCells r="B2" val="0,09" numFmtId="9"/>
      <inputCells r="B3" val="75000" numFmtId="4"/>
      <inputCells r="B4" val="24"/>
      <inputCells r="B5" val="0,02" numFmtId="166"/>
      <inputCells r="B6" val="500" numFmtId="4"/>
    </scenario>
    <scenario name="ББ" count="5" user="Автор" comment="Автор: Автор , 11.05.2016_x000a_Автор изменений: Автор , 11.05.2016">
      <inputCells r="B2" val="0,12" numFmtId="9"/>
      <inputCells r="B3" val="32000" numFmtId="4"/>
      <inputCells r="B4" val="36"/>
      <inputCells r="B5" val="0,01" numFmtId="166"/>
      <inputCells r="B6" val="" numFmtId="4"/>
    </scenario>
    <scenario name="ВВВ" count="5" user="Автор" comment="Автор: Автор , 11.05.2016_x000a_Автор изменений: Автор , 11.05.2016">
      <inputCells r="B2" val="0,13" numFmtId="9"/>
      <inputCells r="B3" val="" numFmtId="4"/>
      <inputCells r="B4" val="48"/>
      <inputCells r="B5" val="0" numFmtId="166"/>
      <inputCells r="B6" val="700" numFmtId="4"/>
    </scenario>
  </scenario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7"/>
  <sheetViews>
    <sheetView showGridLines="0" workbookViewId="0">
      <selection activeCell="H15" sqref="H15"/>
    </sheetView>
  </sheetViews>
  <sheetFormatPr defaultRowHeight="15" outlineLevelRow="1" outlineLevelCol="1" x14ac:dyDescent="0.25"/>
  <cols>
    <col min="2" max="2" width="3.140625" customWidth="1"/>
    <col min="3" max="3" width="26.5703125" customWidth="1"/>
    <col min="4" max="7" width="16.140625" bestFit="1" customWidth="1" outlineLevel="1"/>
  </cols>
  <sheetData>
    <row r="1" spans="2:7" ht="15.75" thickBot="1" x14ac:dyDescent="0.3"/>
    <row r="2" spans="2:7" ht="15.75" x14ac:dyDescent="0.25">
      <c r="B2" s="121" t="s">
        <v>17</v>
      </c>
      <c r="C2" s="121"/>
      <c r="D2" s="29"/>
      <c r="E2" s="29"/>
      <c r="F2" s="29"/>
      <c r="G2" s="29"/>
    </row>
    <row r="3" spans="2:7" ht="15.75" collapsed="1" x14ac:dyDescent="0.25">
      <c r="B3" s="120"/>
      <c r="C3" s="120"/>
      <c r="D3" s="30" t="s">
        <v>19</v>
      </c>
      <c r="E3" s="30" t="s">
        <v>58</v>
      </c>
      <c r="F3" s="30" t="s">
        <v>60</v>
      </c>
      <c r="G3" s="30" t="s">
        <v>62</v>
      </c>
    </row>
    <row r="4" spans="2:7" ht="45" hidden="1" outlineLevel="1" x14ac:dyDescent="0.25">
      <c r="B4" s="122"/>
      <c r="C4" s="122"/>
      <c r="D4" s="21"/>
      <c r="E4" s="32" t="s">
        <v>188</v>
      </c>
      <c r="F4" s="32" t="s">
        <v>188</v>
      </c>
      <c r="G4" s="32" t="s">
        <v>188</v>
      </c>
    </row>
    <row r="5" spans="2:7" x14ac:dyDescent="0.25">
      <c r="B5" s="123" t="s">
        <v>18</v>
      </c>
      <c r="C5" s="123"/>
      <c r="D5" s="25"/>
      <c r="E5" s="25"/>
      <c r="F5" s="25"/>
      <c r="G5" s="25"/>
    </row>
    <row r="6" spans="2:7" outlineLevel="1" x14ac:dyDescent="0.25">
      <c r="B6" s="122"/>
      <c r="C6" s="125" t="s">
        <v>179</v>
      </c>
      <c r="D6" s="70">
        <v>0.13</v>
      </c>
      <c r="E6" s="73">
        <v>0.09</v>
      </c>
      <c r="F6" s="73">
        <v>0.12</v>
      </c>
      <c r="G6" s="73">
        <v>0.13</v>
      </c>
    </row>
    <row r="7" spans="2:7" outlineLevel="1" x14ac:dyDescent="0.25">
      <c r="B7" s="122"/>
      <c r="C7" s="125" t="s">
        <v>180</v>
      </c>
      <c r="D7" s="21"/>
      <c r="E7" s="31">
        <v>75000</v>
      </c>
      <c r="F7" s="31">
        <v>32000</v>
      </c>
      <c r="G7" s="31"/>
    </row>
    <row r="8" spans="2:7" outlineLevel="1" x14ac:dyDescent="0.25">
      <c r="B8" s="122"/>
      <c r="C8" s="125" t="s">
        <v>181</v>
      </c>
      <c r="D8" s="21">
        <v>48</v>
      </c>
      <c r="E8" s="31">
        <v>24</v>
      </c>
      <c r="F8" s="31">
        <v>36</v>
      </c>
      <c r="G8" s="31">
        <v>48</v>
      </c>
    </row>
    <row r="9" spans="2:7" outlineLevel="1" x14ac:dyDescent="0.25">
      <c r="B9" s="122"/>
      <c r="C9" s="125" t="s">
        <v>182</v>
      </c>
      <c r="D9" s="72">
        <v>0</v>
      </c>
      <c r="E9" s="75">
        <v>0.02</v>
      </c>
      <c r="F9" s="75">
        <v>0.01</v>
      </c>
      <c r="G9" s="75">
        <v>0</v>
      </c>
    </row>
    <row r="10" spans="2:7" outlineLevel="1" x14ac:dyDescent="0.25">
      <c r="B10" s="122"/>
      <c r="C10" s="125" t="s">
        <v>183</v>
      </c>
      <c r="D10" s="71">
        <v>700</v>
      </c>
      <c r="E10" s="74">
        <v>500</v>
      </c>
      <c r="F10" s="31"/>
      <c r="G10" s="74">
        <v>700</v>
      </c>
    </row>
    <row r="11" spans="2:7" x14ac:dyDescent="0.25">
      <c r="B11" s="123" t="s">
        <v>20</v>
      </c>
      <c r="C11" s="126"/>
      <c r="D11" s="25"/>
      <c r="E11" s="25"/>
      <c r="F11" s="25"/>
      <c r="G11" s="25"/>
    </row>
    <row r="12" spans="2:7" outlineLevel="1" x14ac:dyDescent="0.25">
      <c r="B12" s="122"/>
      <c r="C12" s="125" t="s">
        <v>184</v>
      </c>
      <c r="D12" s="63">
        <v>-23273.5910625365</v>
      </c>
      <c r="E12" s="63">
        <v>-23273.5910625365</v>
      </c>
      <c r="F12" s="63">
        <v>-23273.5910625365</v>
      </c>
      <c r="G12" s="63">
        <v>-23273.5910625365</v>
      </c>
    </row>
    <row r="13" spans="2:7" outlineLevel="1" x14ac:dyDescent="0.25">
      <c r="B13" s="122"/>
      <c r="C13" s="125" t="s">
        <v>185</v>
      </c>
      <c r="D13" s="63">
        <v>-593066.18550087605</v>
      </c>
      <c r="E13" s="63">
        <v>-593066.18550087605</v>
      </c>
      <c r="F13" s="63">
        <v>-593066.18550087605</v>
      </c>
      <c r="G13" s="63">
        <v>-593066.18550087605</v>
      </c>
    </row>
    <row r="14" spans="2:7" ht="15.75" outlineLevel="1" thickBot="1" x14ac:dyDescent="0.3">
      <c r="B14" s="124"/>
      <c r="C14" s="125" t="s">
        <v>186</v>
      </c>
      <c r="D14" s="64">
        <v>-93066.185500875697</v>
      </c>
      <c r="E14" s="64">
        <v>-93066.185500875697</v>
      </c>
      <c r="F14" s="64">
        <v>-93066.185500875697</v>
      </c>
      <c r="G14" s="64">
        <v>-93066.185500875697</v>
      </c>
    </row>
    <row r="15" spans="2:7" x14ac:dyDescent="0.25">
      <c r="B15" t="s">
        <v>21</v>
      </c>
    </row>
    <row r="16" spans="2:7" x14ac:dyDescent="0.25">
      <c r="B16" t="s">
        <v>22</v>
      </c>
    </row>
    <row r="17" spans="2:2" x14ac:dyDescent="0.25">
      <c r="B17" t="s">
        <v>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27"/>
  <sheetViews>
    <sheetView showGridLines="0" topLeftCell="A3" workbookViewId="0"/>
  </sheetViews>
  <sheetFormatPr defaultRowHeight="15" outlineLevelRow="1" outlineLevelCol="1" x14ac:dyDescent="0.25"/>
  <cols>
    <col min="3" max="3" width="6.28515625" customWidth="1"/>
    <col min="4" max="7" width="16.140625" bestFit="1" customWidth="1" outlineLevel="1"/>
  </cols>
  <sheetData>
    <row r="1" spans="2:7" ht="15.75" thickBot="1" x14ac:dyDescent="0.3"/>
    <row r="2" spans="2:7" ht="15.75" x14ac:dyDescent="0.25">
      <c r="B2" s="66" t="s">
        <v>17</v>
      </c>
      <c r="C2" s="66"/>
      <c r="D2" s="29"/>
      <c r="E2" s="29"/>
      <c r="F2" s="29"/>
      <c r="G2" s="29"/>
    </row>
    <row r="3" spans="2:7" ht="15.75" collapsed="1" x14ac:dyDescent="0.25">
      <c r="B3" s="65"/>
      <c r="C3" s="65"/>
      <c r="D3" s="30" t="s">
        <v>19</v>
      </c>
      <c r="E3" s="30" t="s">
        <v>58</v>
      </c>
      <c r="F3" s="30" t="s">
        <v>60</v>
      </c>
      <c r="G3" s="30" t="s">
        <v>62</v>
      </c>
    </row>
    <row r="4" spans="2:7" ht="45" hidden="1" outlineLevel="1" x14ac:dyDescent="0.25">
      <c r="B4" s="67"/>
      <c r="C4" s="67"/>
      <c r="D4" s="21"/>
      <c r="E4" s="32" t="s">
        <v>59</v>
      </c>
      <c r="F4" s="32" t="s">
        <v>61</v>
      </c>
      <c r="G4" s="32" t="s">
        <v>61</v>
      </c>
    </row>
    <row r="5" spans="2:7" x14ac:dyDescent="0.25">
      <c r="B5" s="68" t="s">
        <v>18</v>
      </c>
      <c r="C5" s="68"/>
      <c r="D5" s="25"/>
      <c r="E5" s="25"/>
      <c r="F5" s="25"/>
      <c r="G5" s="25"/>
    </row>
    <row r="6" spans="2:7" outlineLevel="1" x14ac:dyDescent="0.25">
      <c r="B6" s="67"/>
      <c r="C6" s="67" t="s">
        <v>40</v>
      </c>
      <c r="D6" s="21">
        <v>0.09</v>
      </c>
      <c r="E6" s="31">
        <v>0.09</v>
      </c>
      <c r="F6" s="21">
        <v>0.09</v>
      </c>
      <c r="G6" s="21">
        <v>0.09</v>
      </c>
    </row>
    <row r="7" spans="2:7" outlineLevel="1" x14ac:dyDescent="0.25">
      <c r="B7" s="67"/>
      <c r="C7" s="67" t="s">
        <v>41</v>
      </c>
      <c r="D7" s="21">
        <v>75000</v>
      </c>
      <c r="E7" s="31">
        <v>75000</v>
      </c>
      <c r="F7" s="21">
        <v>75000</v>
      </c>
      <c r="G7" s="21">
        <v>75000</v>
      </c>
    </row>
    <row r="8" spans="2:7" outlineLevel="1" x14ac:dyDescent="0.25">
      <c r="B8" s="67"/>
      <c r="C8" s="67" t="s">
        <v>42</v>
      </c>
      <c r="D8" s="21">
        <v>24</v>
      </c>
      <c r="E8" s="31">
        <v>24</v>
      </c>
      <c r="F8" s="21">
        <v>24</v>
      </c>
      <c r="G8" s="21">
        <v>24</v>
      </c>
    </row>
    <row r="9" spans="2:7" outlineLevel="1" x14ac:dyDescent="0.25">
      <c r="B9" s="67"/>
      <c r="C9" s="67" t="s">
        <v>43</v>
      </c>
      <c r="D9" s="21">
        <v>2</v>
      </c>
      <c r="E9" s="31">
        <v>2</v>
      </c>
      <c r="F9" s="21">
        <v>2</v>
      </c>
      <c r="G9" s="21">
        <v>2</v>
      </c>
    </row>
    <row r="10" spans="2:7" outlineLevel="1" x14ac:dyDescent="0.25">
      <c r="B10" s="67"/>
      <c r="C10" s="67" t="s">
        <v>44</v>
      </c>
      <c r="D10" s="21">
        <v>500</v>
      </c>
      <c r="E10" s="31">
        <v>500</v>
      </c>
      <c r="F10" s="21">
        <v>500</v>
      </c>
      <c r="G10" s="21">
        <v>500</v>
      </c>
    </row>
    <row r="11" spans="2:7" outlineLevel="1" x14ac:dyDescent="0.25">
      <c r="B11" s="67"/>
      <c r="C11" s="67" t="s">
        <v>45</v>
      </c>
      <c r="D11" s="21">
        <v>0.12</v>
      </c>
      <c r="E11" s="21">
        <v>0.12</v>
      </c>
      <c r="F11" s="31">
        <v>0.12</v>
      </c>
      <c r="G11" s="21">
        <v>0.12</v>
      </c>
    </row>
    <row r="12" spans="2:7" outlineLevel="1" x14ac:dyDescent="0.25">
      <c r="B12" s="67"/>
      <c r="C12" s="67" t="s">
        <v>46</v>
      </c>
      <c r="D12" s="21">
        <v>32000</v>
      </c>
      <c r="E12" s="21">
        <v>32000</v>
      </c>
      <c r="F12" s="31">
        <v>32000</v>
      </c>
      <c r="G12" s="21">
        <v>32000</v>
      </c>
    </row>
    <row r="13" spans="2:7" outlineLevel="1" x14ac:dyDescent="0.25">
      <c r="B13" s="67"/>
      <c r="C13" s="67" t="s">
        <v>47</v>
      </c>
      <c r="D13" s="21">
        <v>36</v>
      </c>
      <c r="E13" s="21">
        <v>36</v>
      </c>
      <c r="F13" s="31">
        <v>36</v>
      </c>
      <c r="G13" s="21">
        <v>36</v>
      </c>
    </row>
    <row r="14" spans="2:7" outlineLevel="1" x14ac:dyDescent="0.25">
      <c r="B14" s="67"/>
      <c r="C14" s="67" t="s">
        <v>48</v>
      </c>
      <c r="D14" s="21">
        <v>0.01</v>
      </c>
      <c r="E14" s="21">
        <v>0.01</v>
      </c>
      <c r="F14" s="31">
        <v>0.01</v>
      </c>
      <c r="G14" s="21">
        <v>0.01</v>
      </c>
    </row>
    <row r="15" spans="2:7" outlineLevel="1" x14ac:dyDescent="0.25">
      <c r="B15" s="67"/>
      <c r="C15" s="67" t="s">
        <v>49</v>
      </c>
      <c r="D15" s="21" t="s">
        <v>39</v>
      </c>
      <c r="E15" s="21" t="s">
        <v>39</v>
      </c>
      <c r="F15" s="31"/>
      <c r="G15" s="21" t="s">
        <v>39</v>
      </c>
    </row>
    <row r="16" spans="2:7" outlineLevel="1" x14ac:dyDescent="0.25">
      <c r="B16" s="67"/>
      <c r="C16" s="67" t="s">
        <v>50</v>
      </c>
      <c r="D16" s="21">
        <v>0.13</v>
      </c>
      <c r="E16" s="21">
        <v>0.13</v>
      </c>
      <c r="F16" s="21">
        <v>0.13</v>
      </c>
      <c r="G16" s="31">
        <v>0.13</v>
      </c>
    </row>
    <row r="17" spans="2:7" outlineLevel="1" x14ac:dyDescent="0.25">
      <c r="B17" s="67"/>
      <c r="C17" s="67" t="s">
        <v>51</v>
      </c>
      <c r="D17" s="21" t="s">
        <v>39</v>
      </c>
      <c r="E17" s="21" t="s">
        <v>39</v>
      </c>
      <c r="F17" s="21" t="s">
        <v>39</v>
      </c>
      <c r="G17" s="31">
        <v>0</v>
      </c>
    </row>
    <row r="18" spans="2:7" outlineLevel="1" x14ac:dyDescent="0.25">
      <c r="B18" s="67"/>
      <c r="C18" s="67" t="s">
        <v>52</v>
      </c>
      <c r="D18" s="21">
        <v>48</v>
      </c>
      <c r="E18" s="21">
        <v>48</v>
      </c>
      <c r="F18" s="21">
        <v>48</v>
      </c>
      <c r="G18" s="31">
        <v>48</v>
      </c>
    </row>
    <row r="19" spans="2:7" outlineLevel="1" x14ac:dyDescent="0.25">
      <c r="B19" s="67"/>
      <c r="C19" s="67" t="s">
        <v>53</v>
      </c>
      <c r="D19" s="21">
        <v>0</v>
      </c>
      <c r="E19" s="21">
        <v>0</v>
      </c>
      <c r="F19" s="21">
        <v>0</v>
      </c>
      <c r="G19" s="31">
        <v>0</v>
      </c>
    </row>
    <row r="20" spans="2:7" outlineLevel="1" x14ac:dyDescent="0.25">
      <c r="B20" s="67"/>
      <c r="C20" s="67" t="s">
        <v>54</v>
      </c>
      <c r="D20" s="21">
        <v>700</v>
      </c>
      <c r="E20" s="21">
        <v>700</v>
      </c>
      <c r="F20" s="21">
        <v>700</v>
      </c>
      <c r="G20" s="31">
        <v>700</v>
      </c>
    </row>
    <row r="21" spans="2:7" x14ac:dyDescent="0.25">
      <c r="B21" s="68" t="s">
        <v>20</v>
      </c>
      <c r="C21" s="68"/>
      <c r="D21" s="25"/>
      <c r="E21" s="25"/>
      <c r="F21" s="25"/>
      <c r="G21" s="25"/>
    </row>
    <row r="22" spans="2:7" outlineLevel="1" x14ac:dyDescent="0.25">
      <c r="B22" s="67"/>
      <c r="C22" s="67" t="s">
        <v>55</v>
      </c>
      <c r="D22" s="63">
        <v>-23273.5910625365</v>
      </c>
      <c r="E22" s="63">
        <v>-23273.5910625365</v>
      </c>
      <c r="F22" s="63">
        <v>-23273.5910625365</v>
      </c>
      <c r="G22" s="63">
        <v>-23273.5910625365</v>
      </c>
    </row>
    <row r="23" spans="2:7" outlineLevel="1" x14ac:dyDescent="0.25">
      <c r="B23" s="67"/>
      <c r="C23" s="67" t="s">
        <v>56</v>
      </c>
      <c r="D23" s="63">
        <v>-593066.18550087605</v>
      </c>
      <c r="E23" s="63">
        <v>-593066.18550087605</v>
      </c>
      <c r="F23" s="63">
        <v>-593066.18550087605</v>
      </c>
      <c r="G23" s="63">
        <v>-593066.18550087605</v>
      </c>
    </row>
    <row r="24" spans="2:7" ht="15.75" outlineLevel="1" thickBot="1" x14ac:dyDescent="0.3">
      <c r="B24" s="69"/>
      <c r="C24" s="69" t="s">
        <v>57</v>
      </c>
      <c r="D24" s="64">
        <v>-93066.185500876207</v>
      </c>
      <c r="E24" s="64">
        <v>-93066.185500876207</v>
      </c>
      <c r="F24" s="64">
        <v>-93066.185500876207</v>
      </c>
      <c r="G24" s="64">
        <v>-93066.185500876207</v>
      </c>
    </row>
    <row r="25" spans="2:7" x14ac:dyDescent="0.25">
      <c r="B25" t="s">
        <v>21</v>
      </c>
    </row>
    <row r="26" spans="2:7" x14ac:dyDescent="0.25">
      <c r="B26" t="s">
        <v>22</v>
      </c>
    </row>
    <row r="27" spans="2:7" x14ac:dyDescent="0.25">
      <c r="B27" t="s">
        <v>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80" zoomScaleNormal="80" workbookViewId="0">
      <selection activeCell="A3" sqref="A3:C5"/>
    </sheetView>
  </sheetViews>
  <sheetFormatPr defaultRowHeight="15" x14ac:dyDescent="0.25"/>
  <cols>
    <col min="1" max="1" width="8.42578125" customWidth="1"/>
    <col min="2" max="2" width="14.42578125" customWidth="1"/>
    <col min="3" max="3" width="12" customWidth="1"/>
    <col min="4" max="4" width="17.28515625" customWidth="1"/>
  </cols>
  <sheetData>
    <row r="1" spans="1:4" x14ac:dyDescent="0.25">
      <c r="A1" s="112" t="s">
        <v>189</v>
      </c>
      <c r="B1" s="112"/>
      <c r="C1" s="112"/>
      <c r="D1" s="112"/>
    </row>
    <row r="3" spans="1:4" x14ac:dyDescent="0.25">
      <c r="A3" s="112" t="s">
        <v>190</v>
      </c>
      <c r="B3" s="112"/>
      <c r="C3" s="112"/>
      <c r="D3" s="6">
        <v>10000</v>
      </c>
    </row>
    <row r="4" spans="1:4" x14ac:dyDescent="0.25">
      <c r="A4" s="112" t="s">
        <v>191</v>
      </c>
      <c r="B4" s="112"/>
      <c r="C4" s="112"/>
      <c r="D4" s="6">
        <v>2000</v>
      </c>
    </row>
    <row r="5" spans="1:4" x14ac:dyDescent="0.25">
      <c r="A5" s="112" t="s">
        <v>192</v>
      </c>
      <c r="B5" s="112"/>
      <c r="C5" s="112"/>
      <c r="D5">
        <v>5</v>
      </c>
    </row>
    <row r="7" spans="1:4" ht="54" customHeight="1" x14ac:dyDescent="0.25">
      <c r="A7" s="61" t="s">
        <v>193</v>
      </c>
      <c r="B7" s="20" t="s">
        <v>194</v>
      </c>
      <c r="C7" s="20" t="s">
        <v>195</v>
      </c>
    </row>
    <row r="8" spans="1:4" x14ac:dyDescent="0.25">
      <c r="A8" s="1">
        <v>0</v>
      </c>
      <c r="B8" s="2"/>
      <c r="C8" s="2">
        <f>D3</f>
        <v>10000</v>
      </c>
    </row>
    <row r="9" spans="1:4" x14ac:dyDescent="0.25">
      <c r="A9" s="1">
        <v>1</v>
      </c>
      <c r="B9" s="2">
        <f>SLN($D$3,$D$4,$D$5)</f>
        <v>1600</v>
      </c>
      <c r="C9" s="2">
        <f>$D$3-SUM($B$9:B9)</f>
        <v>8400</v>
      </c>
    </row>
    <row r="10" spans="1:4" x14ac:dyDescent="0.25">
      <c r="A10" s="1">
        <v>2</v>
      </c>
      <c r="B10" s="2">
        <f>SLN($D$3,$D$4,$D$5)</f>
        <v>1600</v>
      </c>
      <c r="C10" s="2">
        <f>$D$3-SUM($B$9:B10)</f>
        <v>6800</v>
      </c>
    </row>
    <row r="11" spans="1:4" x14ac:dyDescent="0.25">
      <c r="A11" s="1">
        <v>3</v>
      </c>
      <c r="B11" s="2">
        <f>SLN($D$3,$D$4,$D$5)</f>
        <v>1600</v>
      </c>
      <c r="C11" s="2">
        <f>$D$3-SUM($B$9:B11)</f>
        <v>5200</v>
      </c>
    </row>
    <row r="12" spans="1:4" x14ac:dyDescent="0.25">
      <c r="A12" s="1">
        <v>4</v>
      </c>
      <c r="B12" s="2">
        <f>SLN($D$3,$D$4,$D$5)</f>
        <v>1600</v>
      </c>
      <c r="C12" s="2">
        <f>$D$3-SUM($B$9:B12)</f>
        <v>3600</v>
      </c>
    </row>
    <row r="13" spans="1:4" x14ac:dyDescent="0.25">
      <c r="A13" s="1">
        <v>5</v>
      </c>
      <c r="B13" s="2">
        <f>SLN($D$3,$D$4,$D$5)</f>
        <v>1600</v>
      </c>
      <c r="C13" s="2">
        <f>$D$3-SUM($B$9:B13)</f>
        <v>2000</v>
      </c>
    </row>
  </sheetData>
  <mergeCells count="4">
    <mergeCell ref="A1:D1"/>
    <mergeCell ref="A3:C3"/>
    <mergeCell ref="A4:C4"/>
    <mergeCell ref="A5:C5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90" zoomScaleNormal="90" workbookViewId="0">
      <selection activeCell="S20" sqref="S20"/>
    </sheetView>
  </sheetViews>
  <sheetFormatPr defaultRowHeight="15" x14ac:dyDescent="0.25"/>
  <cols>
    <col min="1" max="1" width="8.42578125" customWidth="1"/>
    <col min="2" max="2" width="14.42578125" customWidth="1"/>
    <col min="3" max="3" width="12" customWidth="1"/>
    <col min="4" max="4" width="17.28515625" customWidth="1"/>
  </cols>
  <sheetData>
    <row r="1" spans="1:4" x14ac:dyDescent="0.25">
      <c r="A1" s="112" t="s">
        <v>196</v>
      </c>
      <c r="B1" s="112"/>
      <c r="C1" s="112"/>
      <c r="D1" s="112"/>
    </row>
    <row r="3" spans="1:4" x14ac:dyDescent="0.25">
      <c r="A3" s="112" t="s">
        <v>190</v>
      </c>
      <c r="B3" s="112"/>
      <c r="C3" s="112"/>
      <c r="D3" s="6">
        <v>10000</v>
      </c>
    </row>
    <row r="4" spans="1:4" x14ac:dyDescent="0.25">
      <c r="A4" s="112" t="s">
        <v>191</v>
      </c>
      <c r="B4" s="112"/>
      <c r="C4" s="112"/>
      <c r="D4" s="6">
        <v>2000</v>
      </c>
    </row>
    <row r="5" spans="1:4" x14ac:dyDescent="0.25">
      <c r="A5" s="112" t="s">
        <v>192</v>
      </c>
      <c r="B5" s="112"/>
      <c r="C5" s="112"/>
      <c r="D5">
        <v>5</v>
      </c>
    </row>
    <row r="7" spans="1:4" ht="54" customHeight="1" x14ac:dyDescent="0.25">
      <c r="A7" s="61" t="s">
        <v>193</v>
      </c>
      <c r="B7" s="20" t="s">
        <v>194</v>
      </c>
      <c r="C7" s="20" t="s">
        <v>195</v>
      </c>
    </row>
    <row r="8" spans="1:4" x14ac:dyDescent="0.25">
      <c r="A8" s="1">
        <v>0</v>
      </c>
      <c r="B8" s="2"/>
      <c r="C8" s="2">
        <f>D3</f>
        <v>10000</v>
      </c>
    </row>
    <row r="9" spans="1:4" x14ac:dyDescent="0.25">
      <c r="A9" s="1">
        <v>1</v>
      </c>
      <c r="B9" s="2">
        <f>SYD($D$3,$D$4,$D$5,A9)</f>
        <v>2666.6666666666665</v>
      </c>
      <c r="C9" s="2">
        <f>$D$3-SUM($B$9:B9)</f>
        <v>7333.3333333333339</v>
      </c>
    </row>
    <row r="10" spans="1:4" x14ac:dyDescent="0.25">
      <c r="A10" s="1">
        <v>2</v>
      </c>
      <c r="B10" s="2">
        <f>SYD($D$3,$D$4,$D$5,A10)</f>
        <v>2133.3333333333335</v>
      </c>
      <c r="C10" s="2">
        <f>$D$3-SUM($B$9:B10)</f>
        <v>5200</v>
      </c>
    </row>
    <row r="11" spans="1:4" x14ac:dyDescent="0.25">
      <c r="A11" s="1">
        <v>3</v>
      </c>
      <c r="B11" s="2">
        <f>SYD($D$3,$D$4,$D$5,A11)</f>
        <v>1600</v>
      </c>
      <c r="C11" s="2">
        <f>$D$3-SUM($B$9:B11)</f>
        <v>3600</v>
      </c>
    </row>
    <row r="12" spans="1:4" x14ac:dyDescent="0.25">
      <c r="A12" s="1">
        <v>4</v>
      </c>
      <c r="B12" s="2">
        <f>SYD($D$3,$D$4,$D$5,A12)</f>
        <v>1066.6666666666667</v>
      </c>
      <c r="C12" s="2">
        <f>$D$3-SUM($B$9:B12)</f>
        <v>2533.333333333333</v>
      </c>
    </row>
    <row r="13" spans="1:4" x14ac:dyDescent="0.25">
      <c r="A13" s="1">
        <v>5</v>
      </c>
      <c r="B13" s="2">
        <f>SYD($D$3,$D$4,$D$5,A13)</f>
        <v>533.33333333333337</v>
      </c>
      <c r="C13" s="2">
        <f>$D$3-SUM($B$9:B13)</f>
        <v>2000</v>
      </c>
    </row>
  </sheetData>
  <mergeCells count="4">
    <mergeCell ref="A1:D1"/>
    <mergeCell ref="A3:C3"/>
    <mergeCell ref="A4:C4"/>
    <mergeCell ref="A5:C5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Q18" sqref="Q18"/>
    </sheetView>
  </sheetViews>
  <sheetFormatPr defaultRowHeight="15" x14ac:dyDescent="0.25"/>
  <cols>
    <col min="1" max="1" width="8.42578125" customWidth="1"/>
    <col min="2" max="2" width="14.42578125" customWidth="1"/>
    <col min="3" max="3" width="12" customWidth="1"/>
    <col min="4" max="4" width="17.28515625" customWidth="1"/>
  </cols>
  <sheetData>
    <row r="1" spans="1:4" x14ac:dyDescent="0.25">
      <c r="A1" s="112" t="s">
        <v>197</v>
      </c>
      <c r="B1" s="112"/>
      <c r="C1" s="112"/>
      <c r="D1" s="112"/>
    </row>
    <row r="3" spans="1:4" x14ac:dyDescent="0.25">
      <c r="A3" s="112" t="s">
        <v>190</v>
      </c>
      <c r="B3" s="112"/>
      <c r="C3" s="112"/>
      <c r="D3" s="6">
        <v>10000</v>
      </c>
    </row>
    <row r="4" spans="1:4" x14ac:dyDescent="0.25">
      <c r="A4" s="112" t="s">
        <v>191</v>
      </c>
      <c r="B4" s="112"/>
      <c r="C4" s="112"/>
      <c r="D4" s="6">
        <v>2000</v>
      </c>
    </row>
    <row r="5" spans="1:4" x14ac:dyDescent="0.25">
      <c r="A5" s="112" t="s">
        <v>192</v>
      </c>
      <c r="B5" s="112"/>
      <c r="C5" s="112"/>
      <c r="D5">
        <v>5</v>
      </c>
    </row>
    <row r="7" spans="1:4" ht="54" customHeight="1" x14ac:dyDescent="0.25">
      <c r="A7" s="61" t="s">
        <v>193</v>
      </c>
      <c r="B7" s="20" t="s">
        <v>194</v>
      </c>
      <c r="C7" s="20" t="s">
        <v>195</v>
      </c>
    </row>
    <row r="8" spans="1:4" x14ac:dyDescent="0.25">
      <c r="A8" s="1">
        <v>0</v>
      </c>
      <c r="B8" s="2"/>
      <c r="C8" s="2">
        <f>D3</f>
        <v>10000</v>
      </c>
    </row>
    <row r="9" spans="1:4" x14ac:dyDescent="0.25">
      <c r="A9" s="1">
        <v>1</v>
      </c>
      <c r="B9" s="19">
        <f t="shared" ref="B9:B14" si="0">DB($D$3,$D$4,$D$5,A9,6)</f>
        <v>1375</v>
      </c>
      <c r="C9" s="2">
        <f>$D$3-SUM($B$9:B9)</f>
        <v>8625</v>
      </c>
    </row>
    <row r="10" spans="1:4" x14ac:dyDescent="0.25">
      <c r="A10" s="1">
        <v>2</v>
      </c>
      <c r="B10" s="19">
        <f t="shared" si="0"/>
        <v>2371.875</v>
      </c>
      <c r="C10" s="2">
        <f>$D$3-SUM($B$9:B10)</f>
        <v>6253.125</v>
      </c>
    </row>
    <row r="11" spans="1:4" x14ac:dyDescent="0.25">
      <c r="A11" s="1">
        <v>3</v>
      </c>
      <c r="B11" s="19">
        <f t="shared" si="0"/>
        <v>1719.6093750000002</v>
      </c>
      <c r="C11" s="2">
        <f>$D$3-SUM($B$9:B11)</f>
        <v>4533.515625</v>
      </c>
    </row>
    <row r="12" spans="1:4" x14ac:dyDescent="0.25">
      <c r="A12" s="1">
        <v>4</v>
      </c>
      <c r="B12" s="19">
        <f t="shared" si="0"/>
        <v>1246.716796875</v>
      </c>
      <c r="C12" s="2">
        <f>$D$3-SUM($B$9:B12)</f>
        <v>3286.798828125</v>
      </c>
    </row>
    <row r="13" spans="1:4" x14ac:dyDescent="0.25">
      <c r="A13" s="1">
        <v>5</v>
      </c>
      <c r="B13" s="19">
        <f t="shared" si="0"/>
        <v>903.86967773437505</v>
      </c>
      <c r="C13" s="2">
        <f>$D$3-SUM($B$9:B13)</f>
        <v>2382.9291503906252</v>
      </c>
    </row>
    <row r="14" spans="1:4" x14ac:dyDescent="0.25">
      <c r="A14" s="14">
        <v>6</v>
      </c>
      <c r="B14" s="19">
        <f t="shared" si="0"/>
        <v>327.652758178711</v>
      </c>
      <c r="C14" s="2">
        <f>$D$3-SUM($B$9:B14)</f>
        <v>2055.2763922119138</v>
      </c>
    </row>
    <row r="15" spans="1:4" x14ac:dyDescent="0.25">
      <c r="B15" s="18"/>
    </row>
    <row r="18" spans="1:2" x14ac:dyDescent="0.25">
      <c r="A18" s="8" t="s">
        <v>200</v>
      </c>
    </row>
    <row r="19" spans="1:2" x14ac:dyDescent="0.25">
      <c r="B19">
        <f>1-((D4/D3)^(1/D5))</f>
        <v>0.27522033632230447</v>
      </c>
    </row>
  </sheetData>
  <mergeCells count="4">
    <mergeCell ref="A1:D1"/>
    <mergeCell ref="A3:C3"/>
    <mergeCell ref="A4:C4"/>
    <mergeCell ref="A5:C5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O12" sqref="O12"/>
    </sheetView>
  </sheetViews>
  <sheetFormatPr defaultRowHeight="15" x14ac:dyDescent="0.25"/>
  <cols>
    <col min="1" max="1" width="8.42578125" customWidth="1"/>
    <col min="2" max="2" width="14.42578125" customWidth="1"/>
    <col min="3" max="3" width="12" customWidth="1"/>
    <col min="4" max="4" width="17.28515625" customWidth="1"/>
  </cols>
  <sheetData>
    <row r="1" spans="1:4" x14ac:dyDescent="0.25">
      <c r="A1" s="112" t="s">
        <v>198</v>
      </c>
      <c r="B1" s="112"/>
      <c r="C1" s="112"/>
      <c r="D1" s="112"/>
    </row>
    <row r="3" spans="1:4" x14ac:dyDescent="0.25">
      <c r="A3" s="112" t="s">
        <v>190</v>
      </c>
      <c r="B3" s="112"/>
      <c r="C3" s="112"/>
      <c r="D3" s="6">
        <v>10000</v>
      </c>
    </row>
    <row r="4" spans="1:4" x14ac:dyDescent="0.25">
      <c r="A4" s="112" t="s">
        <v>191</v>
      </c>
      <c r="B4" s="112"/>
      <c r="C4" s="112"/>
      <c r="D4" s="6">
        <v>2000</v>
      </c>
    </row>
    <row r="5" spans="1:4" x14ac:dyDescent="0.25">
      <c r="A5" s="112" t="s">
        <v>192</v>
      </c>
      <c r="B5" s="112"/>
      <c r="C5" s="112"/>
      <c r="D5">
        <v>5</v>
      </c>
    </row>
    <row r="7" spans="1:4" ht="54" customHeight="1" x14ac:dyDescent="0.25">
      <c r="A7" s="61" t="s">
        <v>193</v>
      </c>
      <c r="B7" s="20" t="s">
        <v>194</v>
      </c>
      <c r="C7" s="20" t="s">
        <v>195</v>
      </c>
    </row>
    <row r="8" spans="1:4" x14ac:dyDescent="0.25">
      <c r="A8" s="1">
        <v>0</v>
      </c>
      <c r="B8" s="2"/>
      <c r="C8" s="2">
        <f>D3</f>
        <v>10000</v>
      </c>
    </row>
    <row r="9" spans="1:4" x14ac:dyDescent="0.25">
      <c r="A9" s="1">
        <v>1</v>
      </c>
      <c r="B9" s="19">
        <f>DDB($D$3,$D$4,$D$5,A9)</f>
        <v>4000</v>
      </c>
      <c r="C9" s="2">
        <f>$D$3-SUM($B$9:B9)</f>
        <v>6000</v>
      </c>
    </row>
    <row r="10" spans="1:4" x14ac:dyDescent="0.25">
      <c r="A10" s="1">
        <v>2</v>
      </c>
      <c r="B10" s="19">
        <f>DDB($D$3,$D$4,$D$5,A10)</f>
        <v>2400</v>
      </c>
      <c r="C10" s="2">
        <f>$D$3-SUM($B$9:B10)</f>
        <v>3600</v>
      </c>
    </row>
    <row r="11" spans="1:4" x14ac:dyDescent="0.25">
      <c r="A11" s="1">
        <v>3</v>
      </c>
      <c r="B11" s="19">
        <f>DDB($D$3,$D$4,$D$5,A11)</f>
        <v>1440</v>
      </c>
      <c r="C11" s="2">
        <f>$D$3-SUM($B$9:B11)</f>
        <v>2160</v>
      </c>
    </row>
    <row r="12" spans="1:4" x14ac:dyDescent="0.25">
      <c r="A12" s="1">
        <v>4</v>
      </c>
      <c r="B12" s="19">
        <f>DDB($D$3,$D$4,$D$5,A12)</f>
        <v>160</v>
      </c>
      <c r="C12" s="2">
        <f>$D$3-SUM($B$9:B12)</f>
        <v>2000</v>
      </c>
    </row>
    <row r="13" spans="1:4" x14ac:dyDescent="0.25">
      <c r="A13" s="1">
        <v>5</v>
      </c>
      <c r="B13" s="19">
        <f>DDB($D$3,$D$4,$D$5,A13)</f>
        <v>0</v>
      </c>
      <c r="C13" s="2">
        <f>$D$3-SUM($B$9:B13)</f>
        <v>2000</v>
      </c>
    </row>
    <row r="14" spans="1:4" x14ac:dyDescent="0.25">
      <c r="A14" s="76"/>
      <c r="B14" s="77"/>
      <c r="C14" s="13"/>
    </row>
    <row r="15" spans="1:4" x14ac:dyDescent="0.25">
      <c r="B15" s="18"/>
    </row>
    <row r="18" spans="1:1" x14ac:dyDescent="0.25">
      <c r="A18" s="8"/>
    </row>
  </sheetData>
  <mergeCells count="4">
    <mergeCell ref="A1:D1"/>
    <mergeCell ref="A3:C3"/>
    <mergeCell ref="A4:C4"/>
    <mergeCell ref="A5:C5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O9" sqref="O9"/>
    </sheetView>
  </sheetViews>
  <sheetFormatPr defaultRowHeight="15" x14ac:dyDescent="0.25"/>
  <cols>
    <col min="1" max="1" width="8.42578125" customWidth="1"/>
    <col min="2" max="2" width="14.42578125" customWidth="1"/>
    <col min="3" max="3" width="12" customWidth="1"/>
    <col min="4" max="4" width="17.28515625" customWidth="1"/>
  </cols>
  <sheetData>
    <row r="1" spans="1:4" x14ac:dyDescent="0.25">
      <c r="A1" s="112" t="s">
        <v>199</v>
      </c>
      <c r="B1" s="112"/>
      <c r="C1" s="112"/>
      <c r="D1" s="112"/>
    </row>
    <row r="3" spans="1:4" x14ac:dyDescent="0.25">
      <c r="A3" s="112" t="s">
        <v>190</v>
      </c>
      <c r="B3" s="112"/>
      <c r="C3" s="112"/>
      <c r="D3" s="6">
        <v>10000</v>
      </c>
    </row>
    <row r="4" spans="1:4" x14ac:dyDescent="0.25">
      <c r="A4" s="112" t="s">
        <v>191</v>
      </c>
      <c r="B4" s="112"/>
      <c r="C4" s="112"/>
      <c r="D4" s="6">
        <v>2000</v>
      </c>
    </row>
    <row r="5" spans="1:4" x14ac:dyDescent="0.25">
      <c r="A5" s="112" t="s">
        <v>192</v>
      </c>
      <c r="B5" s="112"/>
      <c r="C5" s="112"/>
      <c r="D5">
        <v>5</v>
      </c>
    </row>
    <row r="7" spans="1:4" ht="54" customHeight="1" x14ac:dyDescent="0.25">
      <c r="A7" s="61" t="s">
        <v>193</v>
      </c>
      <c r="B7" s="20" t="s">
        <v>194</v>
      </c>
      <c r="C7" s="20" t="s">
        <v>195</v>
      </c>
    </row>
    <row r="8" spans="1:4" x14ac:dyDescent="0.25">
      <c r="A8" s="1">
        <v>0</v>
      </c>
      <c r="B8" s="2"/>
      <c r="C8" s="2">
        <f>D3</f>
        <v>10000</v>
      </c>
    </row>
    <row r="9" spans="1:4" x14ac:dyDescent="0.25">
      <c r="A9" s="1">
        <v>1</v>
      </c>
      <c r="B9" s="19">
        <f>VDB($D$3,$D$4,$D$5,A8,A9,1,FALSE)</f>
        <v>2000</v>
      </c>
      <c r="C9" s="2">
        <f>$D$3-SUM($B$9:B9)</f>
        <v>8000</v>
      </c>
    </row>
    <row r="10" spans="1:4" x14ac:dyDescent="0.25">
      <c r="A10" s="1">
        <v>2</v>
      </c>
      <c r="B10" s="19">
        <f>VDB($D$3,$D$4,$D$5,A9,A10,1,FALSE)</f>
        <v>1600</v>
      </c>
      <c r="C10" s="2">
        <f>$D$3-SUM($B$9:B10)</f>
        <v>6400</v>
      </c>
    </row>
    <row r="11" spans="1:4" x14ac:dyDescent="0.25">
      <c r="A11" s="1">
        <v>3</v>
      </c>
      <c r="B11" s="19">
        <f>VDB($D$3,$D$4,$D$5,A10,A11,1,FALSE)</f>
        <v>1466.6666666666667</v>
      </c>
      <c r="C11" s="2">
        <f>$D$3-SUM($B$9:B11)</f>
        <v>4933.333333333333</v>
      </c>
    </row>
    <row r="12" spans="1:4" x14ac:dyDescent="0.25">
      <c r="A12" s="1">
        <v>4</v>
      </c>
      <c r="B12" s="19">
        <f>VDB($D$3,$D$4,$D$5,A11,A12,1,FALSE)</f>
        <v>1466.6666666666667</v>
      </c>
      <c r="C12" s="2">
        <f>$D$3-SUM($B$9:B12)</f>
        <v>3466.6666666666661</v>
      </c>
    </row>
    <row r="13" spans="1:4" x14ac:dyDescent="0.25">
      <c r="A13" s="1">
        <v>5</v>
      </c>
      <c r="B13" s="19">
        <f>VDB($D$3,$D$4,$D$5,A12,A13,1,FALSE)</f>
        <v>1466.6666666666667</v>
      </c>
      <c r="C13" s="2">
        <f>$D$3-SUM($B$9:B13)</f>
        <v>1999.9999999999991</v>
      </c>
    </row>
    <row r="14" spans="1:4" x14ac:dyDescent="0.25">
      <c r="A14" s="76"/>
      <c r="B14" s="77"/>
      <c r="C14" s="13"/>
    </row>
    <row r="15" spans="1:4" x14ac:dyDescent="0.25">
      <c r="B15" s="18"/>
    </row>
    <row r="18" spans="1:1" x14ac:dyDescent="0.25">
      <c r="A18" s="8"/>
    </row>
  </sheetData>
  <mergeCells count="4">
    <mergeCell ref="A1:D1"/>
    <mergeCell ref="A3:C3"/>
    <mergeCell ref="A4:C4"/>
    <mergeCell ref="A5:C5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I15" sqref="I15"/>
    </sheetView>
  </sheetViews>
  <sheetFormatPr defaultRowHeight="15" x14ac:dyDescent="0.25"/>
  <cols>
    <col min="1" max="1" width="23.140625" bestFit="1" customWidth="1"/>
    <col min="2" max="2" width="18.5703125" customWidth="1"/>
    <col min="3" max="3" width="14.85546875" customWidth="1"/>
    <col min="4" max="4" width="16.42578125" customWidth="1"/>
    <col min="5" max="5" width="14.85546875" customWidth="1"/>
  </cols>
  <sheetData>
    <row r="1" spans="1:5" x14ac:dyDescent="0.25">
      <c r="A1" s="112" t="s">
        <v>123</v>
      </c>
      <c r="B1" s="112"/>
      <c r="C1" s="112"/>
    </row>
    <row r="2" spans="1:5" x14ac:dyDescent="0.25">
      <c r="A2" t="s">
        <v>201</v>
      </c>
      <c r="B2" t="s">
        <v>64</v>
      </c>
      <c r="C2" t="s">
        <v>205</v>
      </c>
    </row>
    <row r="3" spans="1:5" x14ac:dyDescent="0.25">
      <c r="A3" t="s">
        <v>202</v>
      </c>
      <c r="B3" t="s">
        <v>65</v>
      </c>
      <c r="C3" s="6">
        <v>10000</v>
      </c>
    </row>
    <row r="4" spans="1:5" x14ac:dyDescent="0.25">
      <c r="A4" t="s">
        <v>203</v>
      </c>
      <c r="B4" t="s">
        <v>65</v>
      </c>
      <c r="C4" s="6">
        <v>1000</v>
      </c>
    </row>
    <row r="5" spans="1:5" x14ac:dyDescent="0.25">
      <c r="A5" t="s">
        <v>204</v>
      </c>
      <c r="B5" t="s">
        <v>29</v>
      </c>
      <c r="C5">
        <v>6</v>
      </c>
    </row>
    <row r="7" spans="1:5" ht="18.75" x14ac:dyDescent="0.3">
      <c r="A7" s="78"/>
    </row>
    <row r="8" spans="1:5" x14ac:dyDescent="0.25">
      <c r="A8" s="116" t="s">
        <v>159</v>
      </c>
      <c r="B8" s="117" t="s">
        <v>207</v>
      </c>
      <c r="C8" s="117"/>
      <c r="D8" s="117"/>
      <c r="E8" s="117"/>
    </row>
    <row r="9" spans="1:5" ht="49.5" customHeight="1" x14ac:dyDescent="0.25">
      <c r="A9" s="116"/>
      <c r="B9" s="79" t="s">
        <v>208</v>
      </c>
      <c r="C9" s="79" t="s">
        <v>209</v>
      </c>
      <c r="D9" s="79" t="s">
        <v>210</v>
      </c>
      <c r="E9" s="79" t="s">
        <v>211</v>
      </c>
    </row>
    <row r="10" spans="1:5" x14ac:dyDescent="0.25">
      <c r="A10" s="36">
        <v>1</v>
      </c>
      <c r="B10" s="19">
        <f t="shared" ref="B10:B15" si="0">SLN($C$3,$C$4,$C$5)</f>
        <v>1500</v>
      </c>
      <c r="C10" s="19">
        <f>SYD($C$3,$C$4,$C$5,A10)</f>
        <v>2571.4285714285716</v>
      </c>
      <c r="D10" s="19">
        <f t="shared" ref="D10:D15" si="1">DDB($C$3,$C$4,$C$5,A10)</f>
        <v>3333.333333333333</v>
      </c>
      <c r="E10" s="19">
        <f t="shared" ref="E10:E15" si="2">DB($C$3,$C$4,$C$5,A10)</f>
        <v>3190</v>
      </c>
    </row>
    <row r="11" spans="1:5" x14ac:dyDescent="0.25">
      <c r="A11" s="36">
        <v>2</v>
      </c>
      <c r="B11" s="19">
        <f t="shared" si="0"/>
        <v>1500</v>
      </c>
      <c r="C11" s="19">
        <f t="shared" ref="C10:C15" si="3">SYD($C$3,$C$4,$C$5,A11)</f>
        <v>2142.8571428571427</v>
      </c>
      <c r="D11" s="19">
        <f t="shared" si="1"/>
        <v>2222.2222222222222</v>
      </c>
      <c r="E11" s="19">
        <f t="shared" si="2"/>
        <v>2172.39</v>
      </c>
    </row>
    <row r="12" spans="1:5" x14ac:dyDescent="0.25">
      <c r="A12" s="36">
        <v>3</v>
      </c>
      <c r="B12" s="19">
        <f t="shared" si="0"/>
        <v>1500</v>
      </c>
      <c r="C12" s="19">
        <f t="shared" si="3"/>
        <v>1714.2857142857142</v>
      </c>
      <c r="D12" s="19">
        <f t="shared" si="1"/>
        <v>1481.4814814814818</v>
      </c>
      <c r="E12" s="19">
        <f t="shared" si="2"/>
        <v>1479.3975900000003</v>
      </c>
    </row>
    <row r="13" spans="1:5" x14ac:dyDescent="0.25">
      <c r="A13" s="36">
        <v>4</v>
      </c>
      <c r="B13" s="19">
        <f t="shared" si="0"/>
        <v>1500</v>
      </c>
      <c r="C13" s="19">
        <f t="shared" si="3"/>
        <v>1285.7142857142858</v>
      </c>
      <c r="D13" s="19">
        <f t="shared" si="1"/>
        <v>987.65432098765461</v>
      </c>
      <c r="E13" s="19">
        <f t="shared" si="2"/>
        <v>1007.46975879</v>
      </c>
    </row>
    <row r="14" spans="1:5" x14ac:dyDescent="0.25">
      <c r="A14" s="36">
        <v>5</v>
      </c>
      <c r="B14" s="19">
        <f t="shared" si="0"/>
        <v>1500</v>
      </c>
      <c r="C14" s="19">
        <f t="shared" si="3"/>
        <v>857.14285714285711</v>
      </c>
      <c r="D14" s="19">
        <f t="shared" si="1"/>
        <v>658.43621399176982</v>
      </c>
      <c r="E14" s="19">
        <f t="shared" si="2"/>
        <v>686.08690573599006</v>
      </c>
    </row>
    <row r="15" spans="1:5" x14ac:dyDescent="0.25">
      <c r="A15" s="36">
        <v>6</v>
      </c>
      <c r="B15" s="19">
        <f t="shared" si="0"/>
        <v>1500</v>
      </c>
      <c r="C15" s="19">
        <f t="shared" si="3"/>
        <v>428.57142857142856</v>
      </c>
      <c r="D15" s="19">
        <f t="shared" si="1"/>
        <v>316.87242798353986</v>
      </c>
      <c r="E15" s="19">
        <f t="shared" si="2"/>
        <v>467.2251828062092</v>
      </c>
    </row>
    <row r="16" spans="1:5" x14ac:dyDescent="0.25">
      <c r="A16" s="36" t="s">
        <v>206</v>
      </c>
      <c r="B16" s="19">
        <f>SUM(B10:B15)</f>
        <v>9000</v>
      </c>
      <c r="C16" s="19">
        <f>SUM(C10:C15)</f>
        <v>9000</v>
      </c>
      <c r="D16" s="19">
        <f>SUM(D10:D15)</f>
        <v>9000.0000000000018</v>
      </c>
      <c r="E16" s="19">
        <f>SUM(E10:E15)</f>
        <v>9002.5694373321985</v>
      </c>
    </row>
  </sheetData>
  <mergeCells count="3">
    <mergeCell ref="A1:C1"/>
    <mergeCell ref="A8:A9"/>
    <mergeCell ref="B8:E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J17" sqref="J17"/>
    </sheetView>
  </sheetViews>
  <sheetFormatPr defaultRowHeight="15" x14ac:dyDescent="0.25"/>
  <cols>
    <col min="1" max="1" width="29.42578125" customWidth="1"/>
    <col min="2" max="2" width="11.28515625" customWidth="1"/>
  </cols>
  <sheetData>
    <row r="1" spans="1:3" ht="24" thickBot="1" x14ac:dyDescent="0.4">
      <c r="A1" s="80" t="s">
        <v>212</v>
      </c>
    </row>
    <row r="2" spans="1:3" x14ac:dyDescent="0.25">
      <c r="A2" s="81" t="s">
        <v>213</v>
      </c>
      <c r="B2" s="88">
        <v>6000</v>
      </c>
      <c r="C2" s="82"/>
    </row>
    <row r="3" spans="1:3" x14ac:dyDescent="0.25">
      <c r="A3" s="83" t="s">
        <v>214</v>
      </c>
      <c r="B3" s="1">
        <v>5</v>
      </c>
      <c r="C3" s="84" t="s">
        <v>117</v>
      </c>
    </row>
    <row r="4" spans="1:3" ht="15.75" thickBot="1" x14ac:dyDescent="0.3">
      <c r="A4" s="85" t="s">
        <v>195</v>
      </c>
      <c r="B4" s="89">
        <v>1000</v>
      </c>
      <c r="C4" s="86"/>
    </row>
    <row r="6" spans="1:3" x14ac:dyDescent="0.25">
      <c r="A6" s="119" t="s">
        <v>69</v>
      </c>
      <c r="B6" s="119"/>
    </row>
    <row r="7" spans="1:3" ht="30" x14ac:dyDescent="0.25">
      <c r="A7" s="87" t="s">
        <v>215</v>
      </c>
      <c r="B7" s="34">
        <f>SLN(B2,B4,B3)</f>
        <v>1000</v>
      </c>
    </row>
    <row r="8" spans="1:3" x14ac:dyDescent="0.25">
      <c r="A8" s="119" t="s">
        <v>70</v>
      </c>
      <c r="B8" s="119"/>
    </row>
    <row r="9" spans="1:3" x14ac:dyDescent="0.25">
      <c r="A9" s="1" t="s">
        <v>216</v>
      </c>
      <c r="B9" s="34">
        <f>SYD(B2,B4,B3,1)</f>
        <v>1666.6666666666667</v>
      </c>
    </row>
    <row r="10" spans="1:3" x14ac:dyDescent="0.25">
      <c r="A10" s="1" t="s">
        <v>217</v>
      </c>
      <c r="B10" s="34">
        <f>SYD(B2,B4,B3,5)</f>
        <v>333.33333333333331</v>
      </c>
    </row>
    <row r="11" spans="1:3" x14ac:dyDescent="0.25">
      <c r="A11" s="119" t="s">
        <v>71</v>
      </c>
      <c r="B11" s="119"/>
    </row>
    <row r="12" spans="1:3" ht="30.75" customHeight="1" x14ac:dyDescent="0.25">
      <c r="A12" s="118" t="s">
        <v>218</v>
      </c>
      <c r="B12" s="118"/>
    </row>
    <row r="13" spans="1:3" x14ac:dyDescent="0.25">
      <c r="A13" s="1" t="s">
        <v>219</v>
      </c>
      <c r="B13" s="34">
        <f>DB($B$2,$B$4,$B$3,1)</f>
        <v>1806</v>
      </c>
    </row>
    <row r="14" spans="1:3" x14ac:dyDescent="0.25">
      <c r="A14" s="1" t="s">
        <v>220</v>
      </c>
      <c r="B14" s="34">
        <f>DB($B$2,$B$4,$B$3,2)</f>
        <v>1262.394</v>
      </c>
    </row>
    <row r="15" spans="1:3" x14ac:dyDescent="0.25">
      <c r="A15" s="1" t="s">
        <v>221</v>
      </c>
      <c r="B15" s="34">
        <f>DB($B$2,$B$4,$B$3,3)</f>
        <v>882.4134059999999</v>
      </c>
    </row>
    <row r="16" spans="1:3" x14ac:dyDescent="0.25">
      <c r="A16" s="1" t="s">
        <v>222</v>
      </c>
      <c r="B16" s="34">
        <f>DB($B$2,$B$4,$B$3,4)</f>
        <v>616.80697079399999</v>
      </c>
    </row>
    <row r="17" spans="1:2" x14ac:dyDescent="0.25">
      <c r="A17" s="1" t="s">
        <v>223</v>
      </c>
      <c r="B17" s="34">
        <f>DB($B$2,$B$4,$B$3,5)</f>
        <v>431.14807258500605</v>
      </c>
    </row>
    <row r="18" spans="1:2" x14ac:dyDescent="0.25">
      <c r="A18" s="119" t="s">
        <v>72</v>
      </c>
      <c r="B18" s="119"/>
    </row>
    <row r="19" spans="1:2" ht="30.75" customHeight="1" x14ac:dyDescent="0.25">
      <c r="A19" s="118" t="s">
        <v>224</v>
      </c>
      <c r="B19" s="118"/>
    </row>
    <row r="20" spans="1:2" x14ac:dyDescent="0.25">
      <c r="A20" s="1" t="s">
        <v>219</v>
      </c>
      <c r="B20" s="34">
        <f>DDB($B$2,$B$4,$B$3,1)</f>
        <v>2400</v>
      </c>
    </row>
    <row r="21" spans="1:2" x14ac:dyDescent="0.25">
      <c r="A21" s="1" t="s">
        <v>220</v>
      </c>
      <c r="B21" s="34">
        <f>DDB($B$2,$B$4,$B$3,2)</f>
        <v>1440</v>
      </c>
    </row>
    <row r="22" spans="1:2" x14ac:dyDescent="0.25">
      <c r="A22" s="1" t="s">
        <v>221</v>
      </c>
      <c r="B22" s="34">
        <f>DDB($B$2,$B$4,$B$3,3)</f>
        <v>864</v>
      </c>
    </row>
    <row r="23" spans="1:2" x14ac:dyDescent="0.25">
      <c r="A23" s="1" t="s">
        <v>222</v>
      </c>
      <c r="B23" s="34">
        <f>DDB($B$2,$B$4,$B$3,4)</f>
        <v>296</v>
      </c>
    </row>
    <row r="24" spans="1:2" x14ac:dyDescent="0.25">
      <c r="A24" s="1" t="s">
        <v>223</v>
      </c>
      <c r="B24" s="34">
        <f>DDB($B$2,$B$4,$B$3,5)</f>
        <v>0</v>
      </c>
    </row>
  </sheetData>
  <mergeCells count="6">
    <mergeCell ref="A19:B19"/>
    <mergeCell ref="A6:B6"/>
    <mergeCell ref="A8:B8"/>
    <mergeCell ref="A11:B11"/>
    <mergeCell ref="A12:B12"/>
    <mergeCell ref="A18:B18"/>
  </mergeCells>
  <conditionalFormatting sqref="A8:B24 A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{610E1402-2199-46D1-93E5-7AC96369B75E}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0E1402-2199-46D1-93E5-7AC96369B7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A8:B24 A7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5" x14ac:dyDescent="0.25"/>
  <cols>
    <col min="1" max="1" width="20.28515625" customWidth="1"/>
    <col min="2" max="2" width="13.7109375" customWidth="1"/>
    <col min="3" max="3" width="12.42578125" customWidth="1"/>
    <col min="7" max="7" width="10" bestFit="1" customWidth="1"/>
  </cols>
  <sheetData>
    <row r="1" spans="1:11" ht="15.75" x14ac:dyDescent="0.25">
      <c r="A1" s="9" t="s">
        <v>88</v>
      </c>
      <c r="B1" s="9"/>
      <c r="F1" s="96"/>
      <c r="G1" s="96"/>
      <c r="H1" s="92"/>
      <c r="I1" s="96"/>
      <c r="J1" s="96"/>
      <c r="K1" s="92"/>
    </row>
    <row r="2" spans="1:11" x14ac:dyDescent="0.25">
      <c r="A2" s="1"/>
      <c r="B2" s="14" t="s">
        <v>89</v>
      </c>
      <c r="C2" s="10"/>
      <c r="F2" s="92"/>
      <c r="G2" s="97"/>
      <c r="H2" s="92"/>
      <c r="I2" s="92"/>
      <c r="J2" s="97"/>
      <c r="K2" s="92"/>
    </row>
    <row r="3" spans="1:11" x14ac:dyDescent="0.25">
      <c r="A3" s="1" t="s">
        <v>91</v>
      </c>
      <c r="B3" s="15">
        <v>49999.999999999993</v>
      </c>
      <c r="C3" s="11"/>
      <c r="F3" s="92"/>
      <c r="G3" s="98"/>
      <c r="H3" s="93"/>
      <c r="I3" s="92"/>
      <c r="J3" s="98"/>
      <c r="K3" s="93"/>
    </row>
    <row r="4" spans="1:11" x14ac:dyDescent="0.25">
      <c r="A4" s="1" t="s">
        <v>6</v>
      </c>
      <c r="B4" s="16">
        <v>0.1</v>
      </c>
      <c r="C4" s="12"/>
      <c r="F4" s="92"/>
      <c r="G4" s="99"/>
      <c r="H4" s="94"/>
      <c r="I4" s="92"/>
      <c r="J4" s="99"/>
      <c r="K4" s="94"/>
    </row>
    <row r="5" spans="1:11" x14ac:dyDescent="0.25">
      <c r="A5" s="1"/>
      <c r="B5" s="16">
        <v>0.2</v>
      </c>
      <c r="C5" s="12"/>
      <c r="F5" s="92"/>
      <c r="G5" s="99"/>
      <c r="H5" s="94"/>
      <c r="I5" s="92"/>
      <c r="J5" s="99"/>
      <c r="K5" s="94"/>
    </row>
    <row r="6" spans="1:11" x14ac:dyDescent="0.25">
      <c r="A6" s="1"/>
      <c r="B6" s="16">
        <v>0.2</v>
      </c>
      <c r="C6" s="12"/>
      <c r="F6" s="92"/>
      <c r="G6" s="99"/>
      <c r="H6" s="94"/>
      <c r="I6" s="92"/>
      <c r="J6" s="99"/>
      <c r="K6" s="94"/>
    </row>
    <row r="7" spans="1:11" x14ac:dyDescent="0.25">
      <c r="A7" s="1"/>
      <c r="B7" s="16">
        <v>0.25</v>
      </c>
      <c r="C7" s="12"/>
      <c r="F7" s="92"/>
      <c r="G7" s="99"/>
      <c r="H7" s="94"/>
      <c r="I7" s="92"/>
      <c r="J7" s="99"/>
      <c r="K7" s="94"/>
    </row>
    <row r="8" spans="1:11" x14ac:dyDescent="0.25">
      <c r="A8" s="1"/>
      <c r="B8" s="16">
        <v>0.25</v>
      </c>
      <c r="C8" s="12"/>
      <c r="F8" s="92"/>
      <c r="G8" s="99"/>
      <c r="H8" s="94"/>
      <c r="I8" s="92"/>
      <c r="J8" s="99"/>
      <c r="K8" s="94"/>
    </row>
    <row r="9" spans="1:11" x14ac:dyDescent="0.25">
      <c r="A9" s="1"/>
      <c r="B9" s="16">
        <v>0.25</v>
      </c>
      <c r="C9" s="12"/>
      <c r="F9" s="92"/>
      <c r="G9" s="99"/>
      <c r="H9" s="94"/>
      <c r="I9" s="92"/>
      <c r="J9" s="99"/>
      <c r="K9" s="94"/>
    </row>
    <row r="10" spans="1:11" x14ac:dyDescent="0.25">
      <c r="A10" s="1" t="s">
        <v>92</v>
      </c>
      <c r="B10" s="17">
        <f>FVSCHEDULE(B3,B4:B9)</f>
        <v>154687.5</v>
      </c>
      <c r="C10" s="13"/>
      <c r="F10" s="92"/>
      <c r="G10" s="100"/>
      <c r="H10" s="95"/>
      <c r="I10" s="92"/>
      <c r="J10" s="100"/>
      <c r="K10" s="95"/>
    </row>
    <row r="11" spans="1:11" x14ac:dyDescent="0.25">
      <c r="F11" s="92"/>
      <c r="G11" s="92"/>
      <c r="H11" s="92"/>
      <c r="I11" s="92"/>
      <c r="J11" s="92"/>
      <c r="K11" s="92"/>
    </row>
  </sheetData>
  <scenarios current="2" show="2">
    <scenario name="вартість" locked="1" count="1" user="Автор" comment="Автор: Автор , 05.12.2019">
      <inputCells r="B3" val="50000" numFmtId="4"/>
    </scenario>
    <scenario name="ставки" locked="1" count="6" user="Автор" comment="Автор: Автор , 05.12.2019">
      <inputCells r="B4" val="0,1" numFmtId="9"/>
      <inputCells r="B5" val="0,2" numFmtId="9"/>
      <inputCells r="B6" val="0,2" numFmtId="9"/>
      <inputCells r="B7" val="0,25" numFmtId="9"/>
      <inputCells r="B8" val="0,25" numFmtId="9"/>
      <inputCells r="B9" val="0,25" numFmtId="9"/>
    </scenario>
    <scenario name="майбутня" locked="1" count="1" user="Автор" comment="Автор: Автор , 05.12.2019">
      <inputCells r="B10" val="154687,5"/>
    </scenario>
  </scenarios>
  <pageMargins left="0.7" right="0.7" top="0.75" bottom="0.75" header="0.3" footer="0.3"/>
  <pageSetup paperSize="9" orientation="portrait" horizontalDpi="180" verticalDpi="18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4" sqref="C14"/>
    </sheetView>
  </sheetViews>
  <sheetFormatPr defaultRowHeight="15" x14ac:dyDescent="0.25"/>
  <cols>
    <col min="1" max="1" width="22.5703125" bestFit="1" customWidth="1"/>
    <col min="2" max="2" width="18.85546875" customWidth="1"/>
    <col min="3" max="3" width="15.28515625" customWidth="1"/>
    <col min="4" max="4" width="16.5703125" customWidth="1"/>
    <col min="5" max="5" width="17.140625" customWidth="1"/>
  </cols>
  <sheetData>
    <row r="1" spans="1:5" x14ac:dyDescent="0.25">
      <c r="A1" t="s">
        <v>73</v>
      </c>
      <c r="B1">
        <v>15000</v>
      </c>
    </row>
    <row r="2" spans="1:5" x14ac:dyDescent="0.25">
      <c r="A2" t="s">
        <v>63</v>
      </c>
      <c r="B2">
        <v>1800</v>
      </c>
    </row>
    <row r="3" spans="1:5" x14ac:dyDescent="0.25">
      <c r="A3" t="s">
        <v>74</v>
      </c>
      <c r="B3">
        <v>5</v>
      </c>
    </row>
    <row r="5" spans="1:5" ht="45" x14ac:dyDescent="0.25">
      <c r="A5" s="61" t="s">
        <v>34</v>
      </c>
      <c r="B5" s="20" t="s">
        <v>75</v>
      </c>
      <c r="C5" s="20" t="s">
        <v>67</v>
      </c>
      <c r="D5" s="20" t="s">
        <v>68</v>
      </c>
      <c r="E5" s="20" t="s">
        <v>76</v>
      </c>
    </row>
    <row r="6" spans="1:5" x14ac:dyDescent="0.25">
      <c r="A6" s="36">
        <v>1</v>
      </c>
      <c r="B6" s="2">
        <f>SLN($B$1,$B$2,$B$3)</f>
        <v>2640</v>
      </c>
      <c r="C6" s="2">
        <f>SYD($B$1,$B$2,$B$3,A6)</f>
        <v>4400</v>
      </c>
      <c r="D6" s="2">
        <f>DDB($B$1,$B$2,$B$3,A6)</f>
        <v>6000</v>
      </c>
      <c r="E6" s="2">
        <f>DB($B$1,$B$2,$B$3,A6)</f>
        <v>5190</v>
      </c>
    </row>
    <row r="7" spans="1:5" x14ac:dyDescent="0.25">
      <c r="A7" s="36">
        <v>2</v>
      </c>
      <c r="B7" s="2">
        <f>SLN($B$1,$B$2,$B$3)</f>
        <v>2640</v>
      </c>
      <c r="C7" s="2">
        <f>SYD($B$1,$B$2,$B$3,A7)</f>
        <v>3520</v>
      </c>
      <c r="D7" s="2">
        <f>DDB($B$1,$B$2,$B$3,A7)</f>
        <v>3600</v>
      </c>
      <c r="E7" s="2">
        <f>DB($B$1,$B$2,$B$3,A7)</f>
        <v>3394.2599999999998</v>
      </c>
    </row>
    <row r="8" spans="1:5" x14ac:dyDescent="0.25">
      <c r="A8" s="36">
        <v>3</v>
      </c>
      <c r="B8" s="2">
        <f>SLN($B$1,$B$2,$B$3)</f>
        <v>2640</v>
      </c>
      <c r="C8" s="2">
        <f>SYD($B$1,$B$2,$B$3,A8)</f>
        <v>2640</v>
      </c>
      <c r="D8" s="2">
        <f>DDB($B$1,$B$2,$B$3,A8)</f>
        <v>2160</v>
      </c>
      <c r="E8" s="2">
        <f>DB($B$1,$B$2,$B$3,A8)</f>
        <v>2219.8460399999999</v>
      </c>
    </row>
    <row r="9" spans="1:5" x14ac:dyDescent="0.25">
      <c r="A9" s="36">
        <v>4</v>
      </c>
      <c r="B9" s="2">
        <f>SLN($B$1,$B$2,$B$3)</f>
        <v>2640</v>
      </c>
      <c r="C9" s="2">
        <f>SYD($B$1,$B$2,$B$3,A9)</f>
        <v>1760</v>
      </c>
      <c r="D9" s="2">
        <f>DDB($B$1,$B$2,$B$3,A9)</f>
        <v>1296</v>
      </c>
      <c r="E9" s="2">
        <f>DB($B$1,$B$2,$B$3,A9)</f>
        <v>1451.7793101599998</v>
      </c>
    </row>
    <row r="10" spans="1:5" x14ac:dyDescent="0.25">
      <c r="A10" s="36">
        <v>5</v>
      </c>
      <c r="B10" s="2">
        <f>SLN($B$1,$B$2,$B$3)</f>
        <v>2640</v>
      </c>
      <c r="C10" s="2">
        <f>SYD($B$1,$B$2,$B$3,A10)</f>
        <v>880</v>
      </c>
      <c r="D10" s="2">
        <f>DDB($B$1,$B$2,$B$3,A10)</f>
        <v>144</v>
      </c>
      <c r="E10" s="2">
        <f>DB($B$1,$B$2,$B$3,A10)</f>
        <v>949.46366884463976</v>
      </c>
    </row>
    <row r="11" spans="1:5" x14ac:dyDescent="0.25">
      <c r="A11" s="36" t="s">
        <v>66</v>
      </c>
      <c r="B11" s="2">
        <f>SUM(B6:B10)</f>
        <v>13200</v>
      </c>
      <c r="C11" s="2">
        <f>SUM(C6:C10)</f>
        <v>13200</v>
      </c>
      <c r="D11" s="2">
        <f>SUM(D6:D10)</f>
        <v>13200</v>
      </c>
      <c r="E11" s="2">
        <f>SUM(E6:E10)</f>
        <v>13205.34901900464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5" x14ac:dyDescent="0.25"/>
  <cols>
    <col min="1" max="2" width="20.140625" customWidth="1"/>
    <col min="10" max="10" width="9.140625" customWidth="1"/>
  </cols>
  <sheetData>
    <row r="1" spans="1:10" x14ac:dyDescent="0.25">
      <c r="A1" t="s">
        <v>93</v>
      </c>
    </row>
    <row r="3" spans="1:10" x14ac:dyDescent="0.25">
      <c r="A3" s="1" t="s">
        <v>94</v>
      </c>
      <c r="B3" s="2">
        <v>500000</v>
      </c>
    </row>
    <row r="4" spans="1:10" x14ac:dyDescent="0.25">
      <c r="A4" s="1" t="s">
        <v>95</v>
      </c>
      <c r="B4" s="3">
        <v>0.12</v>
      </c>
    </row>
    <row r="5" spans="1:10" x14ac:dyDescent="0.25">
      <c r="A5" s="1" t="s">
        <v>96</v>
      </c>
      <c r="B5" s="1">
        <v>3</v>
      </c>
    </row>
    <row r="6" spans="1:10" x14ac:dyDescent="0.25">
      <c r="A6" s="1" t="s">
        <v>97</v>
      </c>
      <c r="B6" s="34">
        <f>PV(B4,B5,,B3)</f>
        <v>-355890.12390670541</v>
      </c>
      <c r="J6" s="101"/>
    </row>
    <row r="7" spans="1:10" x14ac:dyDescent="0.25">
      <c r="J7" s="10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0" sqref="C10"/>
    </sheetView>
  </sheetViews>
  <sheetFormatPr defaultRowHeight="15" x14ac:dyDescent="0.25"/>
  <cols>
    <col min="1" max="1" width="23.5703125" customWidth="1"/>
    <col min="2" max="2" width="19.7109375" customWidth="1"/>
    <col min="4" max="4" width="11.42578125" bestFit="1" customWidth="1"/>
    <col min="6" max="6" width="12.42578125" customWidth="1"/>
    <col min="7" max="7" width="11.140625" customWidth="1"/>
  </cols>
  <sheetData>
    <row r="1" spans="1:3" x14ac:dyDescent="0.25">
      <c r="A1" t="s">
        <v>93</v>
      </c>
    </row>
    <row r="3" spans="1:3" x14ac:dyDescent="0.25">
      <c r="A3" s="1" t="s">
        <v>98</v>
      </c>
      <c r="B3" s="2">
        <v>5000</v>
      </c>
    </row>
    <row r="4" spans="1:3" x14ac:dyDescent="0.25">
      <c r="A4" s="1" t="s">
        <v>95</v>
      </c>
      <c r="B4" s="3">
        <v>0.2</v>
      </c>
    </row>
    <row r="5" spans="1:3" x14ac:dyDescent="0.25">
      <c r="A5" s="1" t="s">
        <v>96</v>
      </c>
      <c r="B5" s="1">
        <v>5</v>
      </c>
    </row>
    <row r="6" spans="1:3" x14ac:dyDescent="0.25">
      <c r="A6" s="1" t="s">
        <v>99</v>
      </c>
      <c r="B6" s="19">
        <f>PV(B4,B5,B3,0,0)</f>
        <v>-14953.060699588477</v>
      </c>
    </row>
    <row r="9" spans="1:3" x14ac:dyDescent="0.25">
      <c r="A9" s="18" t="s">
        <v>100</v>
      </c>
      <c r="C9" s="8">
        <f>B3/(1+B4)+B3/(1+B4)^2+B3/(1+B4)^3+B3/(1+B4)^4+B3/(1+B4)^5</f>
        <v>14953.060699588477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>
      <selection activeCell="F4" sqref="F4"/>
    </sheetView>
  </sheetViews>
  <sheetFormatPr defaultRowHeight="15" x14ac:dyDescent="0.25"/>
  <cols>
    <col min="2" max="2" width="13.5703125" customWidth="1"/>
    <col min="6" max="6" width="19.28515625" customWidth="1"/>
    <col min="7" max="7" width="15" customWidth="1"/>
  </cols>
  <sheetData>
    <row r="2" spans="2:7" ht="46.5" customHeight="1" x14ac:dyDescent="0.25">
      <c r="B2" s="1" t="s">
        <v>7</v>
      </c>
      <c r="C2" s="1" t="s">
        <v>8</v>
      </c>
      <c r="D2" s="1" t="s">
        <v>9</v>
      </c>
      <c r="E2" s="1" t="s">
        <v>10</v>
      </c>
      <c r="F2" s="20" t="s">
        <v>101</v>
      </c>
      <c r="G2" s="20" t="s">
        <v>102</v>
      </c>
    </row>
    <row r="3" spans="2:7" x14ac:dyDescent="0.25">
      <c r="B3" s="2">
        <v>4000000</v>
      </c>
      <c r="C3" s="1">
        <v>0.08</v>
      </c>
      <c r="D3" s="1">
        <v>3</v>
      </c>
      <c r="E3" s="1">
        <v>1</v>
      </c>
      <c r="F3" s="2">
        <f>B3/((1+C3/E3)^(D3*E3))</f>
        <v>3175328.9640806783</v>
      </c>
      <c r="G3" s="19">
        <f>PV(C3,D3,,B3,0)</f>
        <v>-3175328.9640806783</v>
      </c>
    </row>
    <row r="4" spans="2:7" x14ac:dyDescent="0.25">
      <c r="B4" s="1"/>
      <c r="C4" s="1">
        <v>0.12</v>
      </c>
      <c r="D4" s="1"/>
      <c r="E4" s="1">
        <v>1</v>
      </c>
      <c r="F4" s="2">
        <f>B3/((1+C4/E4)^(D3*E4))</f>
        <v>2847120.9912536433</v>
      </c>
      <c r="G4" s="19">
        <f>PV(C4,D3,,B3,0)</f>
        <v>-2847120.9912536433</v>
      </c>
    </row>
    <row r="5" spans="2:7" x14ac:dyDescent="0.25">
      <c r="B5" s="1"/>
      <c r="C5" s="1"/>
      <c r="D5" s="1"/>
      <c r="E5" s="1">
        <v>2</v>
      </c>
      <c r="F5" s="2">
        <f>B3/((1+C3/E5)^(D3*E5))</f>
        <v>3161258.102920583</v>
      </c>
      <c r="G5" s="19">
        <f>PV(C3/2,D3*2,,B3,0)</f>
        <v>-3161258.102920583</v>
      </c>
    </row>
    <row r="6" spans="2:7" x14ac:dyDescent="0.25">
      <c r="B6" s="1"/>
      <c r="C6" s="1"/>
      <c r="D6" s="1"/>
      <c r="E6" s="1">
        <v>2</v>
      </c>
      <c r="F6" s="2">
        <f>B3/((1+C4/E5)^(D3*E5))</f>
        <v>2819842.161758705</v>
      </c>
      <c r="G6" s="19">
        <f>PV(C4/2,D3*2,,B3,0)</f>
        <v>-2819842.161758705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3"/>
  <sheetViews>
    <sheetView showGridLines="0" workbookViewId="0">
      <selection activeCell="F6" sqref="F6"/>
    </sheetView>
  </sheetViews>
  <sheetFormatPr defaultRowHeight="15" outlineLevelRow="1" outlineLevelCol="1" x14ac:dyDescent="0.25"/>
  <cols>
    <col min="3" max="3" width="5.140625" customWidth="1"/>
    <col min="4" max="4" width="26.140625" customWidth="1" outlineLevel="1"/>
    <col min="5" max="5" width="40.5703125" bestFit="1" customWidth="1" outlineLevel="1"/>
    <col min="6" max="6" width="27.140625" customWidth="1" outlineLevel="1"/>
    <col min="7" max="7" width="40.5703125" bestFit="1" customWidth="1" outlineLevel="1"/>
  </cols>
  <sheetData>
    <row r="1" spans="2:7" ht="15.75" thickBot="1" x14ac:dyDescent="0.3"/>
    <row r="2" spans="2:7" ht="15.75" x14ac:dyDescent="0.25">
      <c r="B2" s="24" t="s">
        <v>17</v>
      </c>
      <c r="C2" s="24"/>
      <c r="D2" s="29"/>
      <c r="E2" s="29"/>
      <c r="F2" s="29"/>
      <c r="G2" s="29"/>
    </row>
    <row r="3" spans="2:7" ht="15.75" collapsed="1" x14ac:dyDescent="0.25">
      <c r="B3" s="23"/>
      <c r="C3" s="23"/>
      <c r="D3" s="30" t="s">
        <v>19</v>
      </c>
      <c r="E3" s="30" t="s">
        <v>13</v>
      </c>
      <c r="F3" s="30" t="s">
        <v>14</v>
      </c>
      <c r="G3" s="30" t="s">
        <v>15</v>
      </c>
    </row>
    <row r="4" spans="2:7" hidden="1" outlineLevel="1" x14ac:dyDescent="0.25">
      <c r="B4" s="26"/>
      <c r="C4" s="26"/>
      <c r="D4" s="21"/>
      <c r="E4" s="32"/>
      <c r="F4" s="32"/>
      <c r="G4" s="32" t="s">
        <v>16</v>
      </c>
    </row>
    <row r="5" spans="2:7" x14ac:dyDescent="0.25">
      <c r="B5" s="27" t="s">
        <v>18</v>
      </c>
      <c r="C5" s="27"/>
      <c r="D5" s="25"/>
      <c r="E5" s="25"/>
      <c r="F5" s="25"/>
      <c r="G5" s="25"/>
    </row>
    <row r="6" spans="2:7" outlineLevel="1" x14ac:dyDescent="0.25">
      <c r="B6" s="26"/>
      <c r="C6" s="26" t="s">
        <v>11</v>
      </c>
      <c r="D6" s="21">
        <v>12</v>
      </c>
      <c r="E6" s="31">
        <v>6</v>
      </c>
      <c r="F6" s="31">
        <v>12</v>
      </c>
      <c r="G6" s="31">
        <v>7</v>
      </c>
    </row>
    <row r="7" spans="2:7" outlineLevel="1" x14ac:dyDescent="0.25">
      <c r="B7" s="26"/>
      <c r="C7" s="26" t="s">
        <v>12</v>
      </c>
      <c r="D7" s="21">
        <v>1500</v>
      </c>
      <c r="E7" s="31">
        <v>2000</v>
      </c>
      <c r="F7" s="31">
        <v>1500</v>
      </c>
      <c r="G7" s="31">
        <v>1500</v>
      </c>
    </row>
    <row r="8" spans="2:7" x14ac:dyDescent="0.25">
      <c r="B8" s="27" t="s">
        <v>20</v>
      </c>
      <c r="C8" s="27"/>
      <c r="D8" s="25"/>
      <c r="E8" s="25"/>
      <c r="F8" s="25"/>
      <c r="G8" s="25"/>
    </row>
    <row r="9" spans="2:7" outlineLevel="1" x14ac:dyDescent="0.25">
      <c r="B9" s="26"/>
      <c r="C9" s="26" t="s">
        <v>24</v>
      </c>
      <c r="D9" s="33">
        <v>11914.029444841401</v>
      </c>
      <c r="E9" s="33">
        <v>9533.0793195282095</v>
      </c>
      <c r="F9" s="33">
        <v>11914.029444841401</v>
      </c>
      <c r="G9" s="33">
        <v>8083.9341024730502</v>
      </c>
    </row>
    <row r="10" spans="2:7" ht="15.75" outlineLevel="1" thickBot="1" x14ac:dyDescent="0.3">
      <c r="B10" s="28"/>
      <c r="C10" s="28" t="s">
        <v>25</v>
      </c>
      <c r="D10" s="22" t="s">
        <v>27</v>
      </c>
      <c r="E10" s="22" t="s">
        <v>26</v>
      </c>
      <c r="F10" s="22" t="s">
        <v>27</v>
      </c>
      <c r="G10" s="22" t="s">
        <v>26</v>
      </c>
    </row>
    <row r="11" spans="2:7" x14ac:dyDescent="0.25">
      <c r="B11" t="s">
        <v>21</v>
      </c>
    </row>
    <row r="12" spans="2:7" x14ac:dyDescent="0.25">
      <c r="B12" t="s">
        <v>22</v>
      </c>
    </row>
    <row r="13" spans="2:7" x14ac:dyDescent="0.25">
      <c r="B13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2" sqref="C2"/>
    </sheetView>
  </sheetViews>
  <sheetFormatPr defaultRowHeight="15" x14ac:dyDescent="0.25"/>
  <cols>
    <col min="1" max="1" width="31.85546875" customWidth="1"/>
    <col min="2" max="2" width="27" customWidth="1"/>
  </cols>
  <sheetData>
    <row r="1" spans="1:2" x14ac:dyDescent="0.25">
      <c r="A1" s="1" t="s">
        <v>103</v>
      </c>
      <c r="B1" s="1">
        <v>10000</v>
      </c>
    </row>
    <row r="2" spans="1:2" x14ac:dyDescent="0.25">
      <c r="A2" s="1" t="s">
        <v>96</v>
      </c>
      <c r="B2" s="1">
        <v>6</v>
      </c>
    </row>
    <row r="3" spans="1:2" x14ac:dyDescent="0.25">
      <c r="A3" s="1" t="s">
        <v>104</v>
      </c>
      <c r="B3" s="1">
        <v>2000</v>
      </c>
    </row>
    <row r="4" spans="1:2" x14ac:dyDescent="0.25">
      <c r="A4" s="1" t="s">
        <v>105</v>
      </c>
      <c r="B4" s="3">
        <v>7.0000000000000007E-2</v>
      </c>
    </row>
    <row r="5" spans="1:2" x14ac:dyDescent="0.25">
      <c r="A5" s="1" t="s">
        <v>106</v>
      </c>
      <c r="B5" s="91">
        <f>PV(B4,B2,-B3)</f>
        <v>9533.0793195282131</v>
      </c>
    </row>
    <row r="6" spans="1:2" x14ac:dyDescent="0.25">
      <c r="A6" s="1" t="s">
        <v>107</v>
      </c>
      <c r="B6" s="1" t="str">
        <f>IF(B1&lt;B5, "Вигідно дати гроші в борг", IF(B5=B1, "Варіанти рівні", "Вигідно гроші вкласти під відсотки"))</f>
        <v>Вигідно гроші вкласти під відсотки</v>
      </c>
    </row>
  </sheetData>
  <scenarios current="0" show="0" sqref="B5:B6">
    <scenario name="пс1" locked="1" count="2" user="Автор" comment="Автор: Автор , 05.12.2019">
      <inputCells r="B2" val="6"/>
      <inputCells r="B3" val="2000"/>
    </scenario>
    <scenario name="пс2" locked="1" count="2" user="Автор">
      <inputCells r="B2" val="12"/>
      <inputCells r="B3" val="1500"/>
    </scenario>
    <scenario name="nc3" locked="1" count="2" user="Автор" comment="Автор: Автор , 05.12.2019">
      <inputCells r="B2" val="7"/>
      <inputCells r="B3" val="1500"/>
    </scenario>
  </scenario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3"/>
  <sheetViews>
    <sheetView showGridLines="0" workbookViewId="0"/>
  </sheetViews>
  <sheetFormatPr defaultRowHeight="15" outlineLevelRow="1" outlineLevelCol="1" x14ac:dyDescent="0.25"/>
  <cols>
    <col min="3" max="3" width="5.140625" customWidth="1"/>
    <col min="4" max="7" width="24.5703125" bestFit="1" customWidth="1" outlineLevel="1"/>
  </cols>
  <sheetData>
    <row r="1" spans="2:7" ht="15.75" thickBot="1" x14ac:dyDescent="0.3"/>
    <row r="2" spans="2:7" ht="15.75" x14ac:dyDescent="0.25">
      <c r="B2" s="103" t="s">
        <v>17</v>
      </c>
      <c r="C2" s="103"/>
      <c r="D2" s="29"/>
      <c r="E2" s="29"/>
      <c r="F2" s="29"/>
      <c r="G2" s="29"/>
    </row>
    <row r="3" spans="2:7" ht="15.75" collapsed="1" x14ac:dyDescent="0.25">
      <c r="B3" s="102"/>
      <c r="C3" s="102"/>
      <c r="D3" s="30" t="s">
        <v>19</v>
      </c>
      <c r="E3" s="30" t="s">
        <v>13</v>
      </c>
      <c r="F3" s="30" t="s">
        <v>14</v>
      </c>
      <c r="G3" s="30" t="s">
        <v>15</v>
      </c>
    </row>
    <row r="4" spans="2:7" hidden="1" outlineLevel="1" x14ac:dyDescent="0.25">
      <c r="B4" s="104"/>
      <c r="C4" s="104"/>
      <c r="D4" s="21"/>
      <c r="E4" s="32" t="s">
        <v>108</v>
      </c>
      <c r="F4" s="107"/>
      <c r="G4" s="32" t="s">
        <v>108</v>
      </c>
    </row>
    <row r="5" spans="2:7" x14ac:dyDescent="0.25">
      <c r="B5" s="105" t="s">
        <v>18</v>
      </c>
      <c r="C5" s="105"/>
      <c r="D5" s="25"/>
      <c r="E5" s="25"/>
      <c r="F5" s="25"/>
      <c r="G5" s="25"/>
    </row>
    <row r="6" spans="2:7" outlineLevel="1" x14ac:dyDescent="0.25">
      <c r="B6" s="104"/>
      <c r="C6" s="104" t="s">
        <v>11</v>
      </c>
      <c r="D6" s="21">
        <v>6</v>
      </c>
      <c r="E6" s="31">
        <v>6</v>
      </c>
      <c r="F6" s="31">
        <v>12</v>
      </c>
      <c r="G6" s="31">
        <v>7</v>
      </c>
    </row>
    <row r="7" spans="2:7" outlineLevel="1" x14ac:dyDescent="0.25">
      <c r="B7" s="104"/>
      <c r="C7" s="104" t="s">
        <v>12</v>
      </c>
      <c r="D7" s="21">
        <v>2000</v>
      </c>
      <c r="E7" s="31">
        <v>2000</v>
      </c>
      <c r="F7" s="31">
        <v>1500</v>
      </c>
      <c r="G7" s="31">
        <v>1500</v>
      </c>
    </row>
    <row r="8" spans="2:7" x14ac:dyDescent="0.25">
      <c r="B8" s="105" t="s">
        <v>20</v>
      </c>
      <c r="C8" s="105"/>
      <c r="D8" s="25"/>
      <c r="E8" s="25"/>
      <c r="F8" s="25"/>
      <c r="G8" s="25"/>
    </row>
    <row r="9" spans="2:7" outlineLevel="1" x14ac:dyDescent="0.25">
      <c r="B9" s="104"/>
      <c r="C9" s="104" t="s">
        <v>24</v>
      </c>
      <c r="D9" s="33">
        <v>11914.029444841401</v>
      </c>
      <c r="E9" s="33">
        <v>11914.029444841401</v>
      </c>
      <c r="F9" s="33">
        <v>11914.029444841401</v>
      </c>
      <c r="G9" s="33">
        <v>11914.029444841401</v>
      </c>
    </row>
    <row r="10" spans="2:7" ht="15.75" outlineLevel="1" thickBot="1" x14ac:dyDescent="0.3">
      <c r="B10" s="106"/>
      <c r="C10" s="106" t="s">
        <v>25</v>
      </c>
      <c r="D10" s="22" t="s">
        <v>109</v>
      </c>
      <c r="E10" s="22" t="s">
        <v>109</v>
      </c>
      <c r="F10" s="22" t="s">
        <v>109</v>
      </c>
      <c r="G10" s="22" t="s">
        <v>109</v>
      </c>
    </row>
    <row r="11" spans="2:7" x14ac:dyDescent="0.25">
      <c r="B11" t="s">
        <v>21</v>
      </c>
    </row>
    <row r="12" spans="2:7" x14ac:dyDescent="0.25">
      <c r="B12" t="s">
        <v>22</v>
      </c>
    </row>
    <row r="13" spans="2:7" x14ac:dyDescent="0.25">
      <c r="B1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30</vt:i4>
      </vt:variant>
    </vt:vector>
  </HeadingPairs>
  <TitlesOfParts>
    <vt:vector size="30" baseType="lpstr">
      <vt:lpstr>Лист1</vt:lpstr>
      <vt:lpstr>Лист2</vt:lpstr>
      <vt:lpstr>Лист3</vt:lpstr>
      <vt:lpstr>Лист4</vt:lpstr>
      <vt:lpstr>Лист5</vt:lpstr>
      <vt:lpstr>Лист6</vt:lpstr>
      <vt:lpstr>Структура сценария</vt:lpstr>
      <vt:lpstr>Лист7</vt:lpstr>
      <vt:lpstr>Структура сценарію для 7</vt:lpstr>
      <vt:lpstr>Лист8</vt:lpstr>
      <vt:lpstr>Лист9</vt:lpstr>
      <vt:lpstr>Лист10</vt:lpstr>
      <vt:lpstr>Лист11</vt:lpstr>
      <vt:lpstr>Лист12</vt:lpstr>
      <vt:lpstr>Лист13</vt:lpstr>
      <vt:lpstr>Лист14</vt:lpstr>
      <vt:lpstr>Лист15</vt:lpstr>
      <vt:lpstr>Лист15.2</vt:lpstr>
      <vt:lpstr>Лист15.3</vt:lpstr>
      <vt:lpstr>Лист16</vt:lpstr>
      <vt:lpstr>Структура сценария для 16</vt:lpstr>
      <vt:lpstr>Структура сценария 2</vt:lpstr>
      <vt:lpstr>Лист17</vt:lpstr>
      <vt:lpstr>Лист17.2</vt:lpstr>
      <vt:lpstr>Лист17.3</vt:lpstr>
      <vt:lpstr>Лист17.4</vt:lpstr>
      <vt:lpstr>Лист17.5</vt:lpstr>
      <vt:lpstr>Лист18</vt:lpstr>
      <vt:lpstr>Лист19</vt:lpstr>
      <vt:lpstr>Лист20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2019-12-05T22:26:21Z</dcterms:modified>
</cp:coreProperties>
</file>