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6" activeTab="9"/>
  </bookViews>
  <sheets>
    <sheet name="Задача 1" sheetId="1" r:id="rId1"/>
    <sheet name="Задача 2" sheetId="2" r:id="rId2"/>
    <sheet name="Задача 3" sheetId="3" r:id="rId3"/>
    <sheet name="Задача 4" sheetId="4" r:id="rId4"/>
    <sheet name="Задача 5" sheetId="5" r:id="rId5"/>
    <sheet name="Задача 6" sheetId="6" r:id="rId6"/>
    <sheet name="Задача 7" sheetId="7" r:id="rId7"/>
    <sheet name="Задача 8" sheetId="8" r:id="rId8"/>
    <sheet name="Задача 9" sheetId="9" r:id="rId9"/>
    <sheet name="Задача 10" sheetId="10" r:id="rId10"/>
  </sheets>
  <definedNames>
    <definedName name="_xlnm._FilterDatabase" localSheetId="0" hidden="1">'Задача 1'!$A$1:$F$27</definedName>
    <definedName name="_xlnm._FilterDatabase" localSheetId="1" hidden="1">'Задача 2'!$A$1:$B$31</definedName>
    <definedName name="_xlnm._FilterDatabase" localSheetId="5" hidden="1">'Задача 6'!$E$2:$E$12</definedName>
    <definedName name="_xlnm._FilterDatabase" localSheetId="6" hidden="1">'Задача 7'!$A$35:$A$46</definedName>
    <definedName name="_xlnm.Criteria" localSheetId="0">'Задача 1'!$A$33:$F$34</definedName>
    <definedName name="_xlnm.Criteria" localSheetId="1">'Задача 2'!$G$10:$H$11</definedName>
    <definedName name="_xlnm.Extract" localSheetId="0">'Задача 1'!$A$36:$F$36</definedName>
    <definedName name="_xlnm.Extract" localSheetId="1">'Задача 2'!$G$13:$H$13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0" l="1"/>
  <c r="C16" i="10"/>
  <c r="C17" i="10"/>
  <c r="F15" i="10"/>
  <c r="F18" i="10" s="1"/>
  <c r="G6" i="10"/>
  <c r="G7" i="10" s="1"/>
  <c r="F6" i="10"/>
  <c r="D6" i="10"/>
  <c r="D7" i="10" s="1"/>
  <c r="C6" i="10"/>
  <c r="C7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E36" i="10"/>
  <c r="C15" i="10"/>
  <c r="C33" i="10"/>
  <c r="H25" i="10"/>
  <c r="H24" i="10"/>
  <c r="H23" i="10"/>
  <c r="H22" i="10"/>
  <c r="H21" i="10"/>
  <c r="H20" i="10"/>
  <c r="H27" i="10"/>
  <c r="G15" i="10"/>
  <c r="G18" i="10" s="1"/>
  <c r="E15" i="10"/>
  <c r="E18" i="10" s="1"/>
  <c r="D15" i="10"/>
  <c r="D18" i="10" s="1"/>
  <c r="G14" i="10"/>
  <c r="G13" i="10"/>
  <c r="F14" i="10"/>
  <c r="E14" i="10"/>
  <c r="D14" i="10"/>
  <c r="C14" i="10"/>
  <c r="F13" i="10"/>
  <c r="E13" i="10"/>
  <c r="D13" i="10"/>
  <c r="C13" i="10"/>
  <c r="G12" i="10"/>
  <c r="F12" i="10"/>
  <c r="E12" i="10"/>
  <c r="D12" i="10"/>
  <c r="C12" i="10"/>
  <c r="H11" i="10"/>
  <c r="H10" i="10"/>
  <c r="H9" i="10"/>
  <c r="F7" i="10"/>
  <c r="E7" i="10"/>
  <c r="H5" i="10"/>
  <c r="C26" i="10"/>
  <c r="H26" i="10" s="1"/>
  <c r="K15" i="9"/>
  <c r="J15" i="9"/>
  <c r="I15" i="9"/>
  <c r="H15" i="9"/>
  <c r="G15" i="9"/>
  <c r="F15" i="9"/>
  <c r="E15" i="9"/>
  <c r="D15" i="9"/>
  <c r="C15" i="9"/>
  <c r="L14" i="9"/>
  <c r="K14" i="9"/>
  <c r="J14" i="9"/>
  <c r="I14" i="9"/>
  <c r="H14" i="9"/>
  <c r="G14" i="9"/>
  <c r="F14" i="9"/>
  <c r="E14" i="9"/>
  <c r="D14" i="9"/>
  <c r="C14" i="9"/>
  <c r="K13" i="9"/>
  <c r="J13" i="9"/>
  <c r="I13" i="9"/>
  <c r="H13" i="9"/>
  <c r="G13" i="9"/>
  <c r="F13" i="9"/>
  <c r="E13" i="9"/>
  <c r="D13" i="9"/>
  <c r="C13" i="9"/>
  <c r="K12" i="9"/>
  <c r="J12" i="9"/>
  <c r="I12" i="9"/>
  <c r="H12" i="9"/>
  <c r="G12" i="9"/>
  <c r="F12" i="9"/>
  <c r="E12" i="9"/>
  <c r="D12" i="9"/>
  <c r="C12" i="9"/>
  <c r="B15" i="9"/>
  <c r="B14" i="9"/>
  <c r="B13" i="9"/>
  <c r="B12" i="9"/>
  <c r="K11" i="9"/>
  <c r="J11" i="9"/>
  <c r="I11" i="9"/>
  <c r="H11" i="9"/>
  <c r="G11" i="9"/>
  <c r="F11" i="9"/>
  <c r="E11" i="9"/>
  <c r="D11" i="9"/>
  <c r="C11" i="9"/>
  <c r="B11" i="9"/>
  <c r="L15" i="9"/>
  <c r="L13" i="9"/>
  <c r="L12" i="9"/>
  <c r="L11" i="9"/>
  <c r="H8" i="9"/>
  <c r="H7" i="9"/>
  <c r="H6" i="9"/>
  <c r="H5" i="9"/>
  <c r="M18" i="8"/>
  <c r="L18" i="8"/>
  <c r="K18" i="8"/>
  <c r="J18" i="8"/>
  <c r="I18" i="8"/>
  <c r="H18" i="8"/>
  <c r="G18" i="8"/>
  <c r="F18" i="8"/>
  <c r="E18" i="8"/>
  <c r="D18" i="8"/>
  <c r="D17" i="8"/>
  <c r="M17" i="8"/>
  <c r="L17" i="8"/>
  <c r="K17" i="8"/>
  <c r="J17" i="8"/>
  <c r="I17" i="8"/>
  <c r="H17" i="8"/>
  <c r="G17" i="8"/>
  <c r="F17" i="8"/>
  <c r="E17" i="8"/>
  <c r="M16" i="8"/>
  <c r="L16" i="8"/>
  <c r="K16" i="8"/>
  <c r="J16" i="8"/>
  <c r="I16" i="8"/>
  <c r="H16" i="8"/>
  <c r="G16" i="8"/>
  <c r="F16" i="8"/>
  <c r="E16" i="8"/>
  <c r="D16" i="8"/>
  <c r="C16" i="8"/>
  <c r="C17" i="8"/>
  <c r="B11" i="8"/>
  <c r="B13" i="8"/>
  <c r="B9" i="8"/>
  <c r="B7" i="8"/>
  <c r="J46" i="7"/>
  <c r="J45" i="7"/>
  <c r="J44" i="7"/>
  <c r="J43" i="7"/>
  <c r="J42" i="7"/>
  <c r="J41" i="7"/>
  <c r="J40" i="7"/>
  <c r="J39" i="7"/>
  <c r="J38" i="7"/>
  <c r="J37" i="7"/>
  <c r="H18" i="6"/>
  <c r="G18" i="6"/>
  <c r="I46" i="7"/>
  <c r="I44" i="7"/>
  <c r="I43" i="7"/>
  <c r="I42" i="7"/>
  <c r="I41" i="7"/>
  <c r="I40" i="7"/>
  <c r="I39" i="7"/>
  <c r="I38" i="7"/>
  <c r="I37" i="7"/>
  <c r="H46" i="7"/>
  <c r="H44" i="7"/>
  <c r="H43" i="7"/>
  <c r="H42" i="7"/>
  <c r="H41" i="7"/>
  <c r="H40" i="7"/>
  <c r="H39" i="7"/>
  <c r="H38" i="7"/>
  <c r="H37" i="7"/>
  <c r="H45" i="7"/>
  <c r="I45" i="7" s="1"/>
  <c r="H2" i="5"/>
  <c r="C47" i="7"/>
  <c r="G41" i="7"/>
  <c r="G38" i="7"/>
  <c r="G39" i="7"/>
  <c r="G42" i="7"/>
  <c r="G46" i="7"/>
  <c r="G43" i="7"/>
  <c r="G40" i="7"/>
  <c r="G44" i="7"/>
  <c r="G45" i="7"/>
  <c r="G37" i="7"/>
  <c r="G47" i="7" s="1"/>
  <c r="I12" i="7"/>
  <c r="I11" i="7"/>
  <c r="I10" i="7"/>
  <c r="I9" i="7"/>
  <c r="I8" i="7"/>
  <c r="I7" i="7"/>
  <c r="I6" i="7"/>
  <c r="I5" i="7"/>
  <c r="I4" i="7"/>
  <c r="I3" i="7"/>
  <c r="M12" i="7"/>
  <c r="M11" i="7"/>
  <c r="M10" i="7"/>
  <c r="M9" i="7"/>
  <c r="M8" i="7"/>
  <c r="M4" i="7"/>
  <c r="M3" i="7"/>
  <c r="M5" i="7"/>
  <c r="M6" i="7"/>
  <c r="M7" i="7"/>
  <c r="I2" i="5"/>
  <c r="L12" i="7"/>
  <c r="L11" i="7"/>
  <c r="L10" i="7"/>
  <c r="L9" i="7"/>
  <c r="L8" i="7"/>
  <c r="L7" i="7"/>
  <c r="L6" i="7"/>
  <c r="L5" i="7"/>
  <c r="L4" i="7"/>
  <c r="L3" i="7"/>
  <c r="K12" i="7"/>
  <c r="K11" i="7"/>
  <c r="K10" i="7"/>
  <c r="K9" i="7"/>
  <c r="K8" i="7"/>
  <c r="K7" i="7"/>
  <c r="K6" i="7"/>
  <c r="K5" i="7"/>
  <c r="K4" i="7"/>
  <c r="K3" i="7"/>
  <c r="J12" i="7"/>
  <c r="J11" i="7"/>
  <c r="J10" i="7"/>
  <c r="J9" i="7"/>
  <c r="J8" i="7"/>
  <c r="J7" i="7"/>
  <c r="J6" i="7"/>
  <c r="J5" i="7"/>
  <c r="J4" i="7"/>
  <c r="J3" i="7"/>
  <c r="G10" i="7"/>
  <c r="G12" i="7"/>
  <c r="G11" i="7"/>
  <c r="G9" i="7"/>
  <c r="G8" i="7"/>
  <c r="G6" i="7"/>
  <c r="G7" i="7"/>
  <c r="G5" i="7"/>
  <c r="G4" i="7"/>
  <c r="G3" i="7"/>
  <c r="B13" i="7"/>
  <c r="C2" i="4"/>
  <c r="C28" i="10" l="1"/>
  <c r="H28" i="10" s="1"/>
  <c r="C36" i="10" s="1"/>
  <c r="F16" i="10"/>
  <c r="F17" i="10" s="1"/>
  <c r="E16" i="10"/>
  <c r="E17" i="10" s="1"/>
  <c r="H15" i="10"/>
  <c r="H18" i="10" s="1"/>
  <c r="G16" i="10"/>
  <c r="G17" i="10" s="1"/>
  <c r="D16" i="10"/>
  <c r="D17" i="10" s="1"/>
  <c r="H7" i="10"/>
  <c r="C18" i="10"/>
  <c r="G13" i="7"/>
  <c r="H3" i="7"/>
  <c r="G27" i="6"/>
  <c r="H27" i="6" s="1"/>
  <c r="G21" i="6"/>
  <c r="H21" i="6" s="1"/>
  <c r="G26" i="6"/>
  <c r="H26" i="6" s="1"/>
  <c r="G25" i="6"/>
  <c r="H25" i="6" s="1"/>
  <c r="G20" i="6"/>
  <c r="H20" i="6" s="1"/>
  <c r="G22" i="6"/>
  <c r="H22" i="6" s="1"/>
  <c r="G19" i="6"/>
  <c r="H19" i="6" s="1"/>
  <c r="G23" i="6"/>
  <c r="H23" i="6" s="1"/>
  <c r="G24" i="6"/>
  <c r="H24" i="6" s="1"/>
  <c r="F12" i="6"/>
  <c r="F11" i="6"/>
  <c r="F10" i="6"/>
  <c r="F9" i="6"/>
  <c r="F8" i="6"/>
  <c r="F7" i="6"/>
  <c r="F6" i="6"/>
  <c r="F5" i="6"/>
  <c r="F4" i="6"/>
  <c r="E12" i="6"/>
  <c r="E11" i="6"/>
  <c r="E10" i="6"/>
  <c r="E9" i="6"/>
  <c r="E8" i="6"/>
  <c r="E7" i="6"/>
  <c r="E6" i="6"/>
  <c r="E5" i="6"/>
  <c r="E4" i="6"/>
  <c r="E3" i="6"/>
  <c r="F23" i="6"/>
  <c r="F19" i="6"/>
  <c r="F24" i="6"/>
  <c r="F18" i="6"/>
  <c r="F27" i="6"/>
  <c r="F21" i="6"/>
  <c r="F26" i="6"/>
  <c r="F25" i="6"/>
  <c r="F20" i="6"/>
  <c r="F22" i="6"/>
  <c r="E28" i="6"/>
  <c r="D28" i="6"/>
  <c r="C28" i="6"/>
  <c r="B28" i="6"/>
  <c r="D14" i="6"/>
  <c r="C14" i="6"/>
  <c r="H7" i="5"/>
  <c r="I7" i="5" s="1"/>
  <c r="H6" i="5"/>
  <c r="I6" i="5" s="1"/>
  <c r="H5" i="5"/>
  <c r="I5" i="5" s="1"/>
  <c r="H4" i="5"/>
  <c r="I4" i="5" s="1"/>
  <c r="H9" i="5"/>
  <c r="I9" i="5" s="1"/>
  <c r="H3" i="5"/>
  <c r="I3" i="5" s="1"/>
  <c r="H8" i="5"/>
  <c r="I8" i="5" s="1"/>
  <c r="D3" i="4"/>
  <c r="D4" i="4" s="1"/>
  <c r="D5" i="4" s="1"/>
  <c r="D6" i="4" s="1"/>
  <c r="D7" i="4" s="1"/>
  <c r="D8" i="4" s="1"/>
  <c r="D9" i="4" s="1"/>
  <c r="D10" i="4" s="1"/>
  <c r="D11" i="4" s="1"/>
  <c r="D12" i="4" s="1"/>
  <c r="D2" i="4"/>
  <c r="C12" i="4"/>
  <c r="C11" i="4"/>
  <c r="C10" i="4"/>
  <c r="C9" i="4"/>
  <c r="C8" i="4"/>
  <c r="C7" i="4"/>
  <c r="C6" i="4"/>
  <c r="C5" i="4"/>
  <c r="C4" i="4"/>
  <c r="C3" i="4"/>
  <c r="F25" i="3"/>
  <c r="E25" i="3"/>
  <c r="F24" i="3"/>
  <c r="F23" i="3"/>
  <c r="F22" i="3"/>
  <c r="F21" i="3"/>
  <c r="F20" i="3"/>
  <c r="F19" i="3"/>
  <c r="F18" i="3"/>
  <c r="F17" i="3"/>
  <c r="F16" i="3"/>
  <c r="F15" i="3"/>
  <c r="F14" i="3"/>
  <c r="F13" i="3"/>
  <c r="F11" i="3"/>
  <c r="F12" i="3"/>
  <c r="F10" i="3"/>
  <c r="F9" i="3"/>
  <c r="F8" i="3"/>
  <c r="F7" i="3"/>
  <c r="F6" i="3"/>
  <c r="F5" i="3"/>
  <c r="F4" i="3"/>
  <c r="F3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25" i="3"/>
  <c r="B25" i="3"/>
  <c r="G20" i="2"/>
  <c r="G7" i="2"/>
  <c r="F7" i="2"/>
  <c r="E7" i="2"/>
  <c r="D7" i="2"/>
  <c r="R43" i="10" l="1"/>
  <c r="J43" i="10"/>
  <c r="I43" i="10"/>
  <c r="E43" i="10"/>
  <c r="Q43" i="10"/>
  <c r="D43" i="10"/>
  <c r="P43" i="10"/>
  <c r="C43" i="10"/>
  <c r="O43" i="10"/>
  <c r="K43" i="10"/>
  <c r="N43" i="10"/>
  <c r="F43" i="10"/>
  <c r="M43" i="10"/>
  <c r="H43" i="10"/>
  <c r="L43" i="10"/>
  <c r="G43" i="10"/>
  <c r="S43" i="10"/>
  <c r="C35" i="10"/>
  <c r="R42" i="10" s="1"/>
  <c r="R44" i="10" s="1"/>
  <c r="H29" i="10"/>
  <c r="C37" i="10" s="1"/>
  <c r="J42" i="10"/>
  <c r="D42" i="10"/>
  <c r="Q42" i="10"/>
  <c r="Q44" i="10" s="1"/>
  <c r="C42" i="10"/>
  <c r="P42" i="10"/>
  <c r="P44" i="10" s="1"/>
  <c r="O42" i="10"/>
  <c r="O44" i="10" s="1"/>
  <c r="I42" i="10"/>
  <c r="K42" i="10"/>
  <c r="N42" i="10"/>
  <c r="H42" i="10"/>
  <c r="M42" i="10"/>
  <c r="M44" i="10" s="1"/>
  <c r="G42" i="10"/>
  <c r="S42" i="10"/>
  <c r="L42" i="10"/>
  <c r="F42" i="10"/>
  <c r="E42" i="10"/>
  <c r="H6" i="10"/>
  <c r="H30" i="10" s="1"/>
  <c r="C34" i="10"/>
  <c r="H16" i="10"/>
  <c r="H17" i="10" s="1"/>
  <c r="H31" i="10"/>
  <c r="H4" i="7"/>
  <c r="F28" i="6"/>
  <c r="E28" i="1"/>
  <c r="E24" i="1"/>
  <c r="E19" i="1"/>
  <c r="E15" i="1"/>
  <c r="E10" i="1"/>
  <c r="E5" i="1"/>
  <c r="E30" i="1" s="1"/>
  <c r="S44" i="10" l="1"/>
  <c r="N44" i="10"/>
  <c r="J44" i="10"/>
  <c r="K44" i="10"/>
  <c r="E44" i="10"/>
  <c r="G44" i="10"/>
  <c r="D44" i="10"/>
  <c r="H44" i="10"/>
  <c r="C44" i="10"/>
  <c r="F44" i="10"/>
  <c r="I44" i="10"/>
  <c r="L44" i="10"/>
  <c r="Q41" i="10"/>
  <c r="M40" i="10"/>
  <c r="H40" i="10"/>
  <c r="F41" i="10"/>
  <c r="O41" i="10"/>
  <c r="J40" i="10"/>
  <c r="Q40" i="10"/>
  <c r="L41" i="10"/>
  <c r="P40" i="10"/>
  <c r="I41" i="10"/>
  <c r="S41" i="10"/>
  <c r="K41" i="10"/>
  <c r="O40" i="10"/>
  <c r="H41" i="10"/>
  <c r="E40" i="10"/>
  <c r="R41" i="10"/>
  <c r="J41" i="10"/>
  <c r="N40" i="10"/>
  <c r="I40" i="10"/>
  <c r="G41" i="10"/>
  <c r="D40" i="10"/>
  <c r="P41" i="10"/>
  <c r="L40" i="10"/>
  <c r="E41" i="10"/>
  <c r="S40" i="10"/>
  <c r="K40" i="10"/>
  <c r="D41" i="10"/>
  <c r="N41" i="10"/>
  <c r="R40" i="10"/>
  <c r="C41" i="10"/>
  <c r="M41" i="10"/>
  <c r="G40" i="10"/>
  <c r="F40" i="10"/>
  <c r="H5" i="7"/>
  <c r="E14" i="6"/>
  <c r="F3" i="6"/>
  <c r="F9" i="1"/>
  <c r="F23" i="1"/>
  <c r="F22" i="1"/>
  <c r="F8" i="1"/>
  <c r="F7" i="1"/>
  <c r="F13" i="1"/>
  <c r="F26" i="1"/>
  <c r="F27" i="1"/>
  <c r="F12" i="1"/>
  <c r="F14" i="1"/>
  <c r="F18" i="1"/>
  <c r="F21" i="1"/>
  <c r="F4" i="1"/>
  <c r="F2" i="1"/>
  <c r="F17" i="1"/>
  <c r="F20" i="1" s="1"/>
  <c r="F3" i="1"/>
  <c r="H6" i="7" l="1"/>
  <c r="F29" i="1"/>
  <c r="F11" i="1"/>
  <c r="F16" i="1"/>
  <c r="F25" i="1"/>
  <c r="F6" i="1"/>
  <c r="H7" i="7" l="1"/>
  <c r="F31" i="1"/>
  <c r="H8" i="7" l="1"/>
  <c r="H9" i="7" l="1"/>
  <c r="H10" i="7" l="1"/>
  <c r="H11" i="7" l="1"/>
  <c r="H12" i="7" l="1"/>
</calcChain>
</file>

<file path=xl/sharedStrings.xml><?xml version="1.0" encoding="utf-8"?>
<sst xmlns="http://schemas.openxmlformats.org/spreadsheetml/2006/main" count="363" uniqueCount="226">
  <si>
    <t>Клієнт</t>
  </si>
  <si>
    <t>Код товару</t>
  </si>
  <si>
    <t>Кількість</t>
  </si>
  <si>
    <t>Дата
замовлення</t>
  </si>
  <si>
    <t>Ціна, грн.</t>
  </si>
  <si>
    <t>Сума продажів, грн</t>
  </si>
  <si>
    <t>АТ "Весна"</t>
  </si>
  <si>
    <t>МП "Віст"</t>
  </si>
  <si>
    <t>ТОВ "Посмішка"</t>
  </si>
  <si>
    <t>АТ "Шолом"</t>
  </si>
  <si>
    <t>ТОВ "Прима"</t>
  </si>
  <si>
    <t>АТ "Світанок"</t>
  </si>
  <si>
    <t>С009</t>
  </si>
  <si>
    <t>С010</t>
  </si>
  <si>
    <t>С005</t>
  </si>
  <si>
    <t>С006</t>
  </si>
  <si>
    <t>С007</t>
  </si>
  <si>
    <t>С008</t>
  </si>
  <si>
    <t>27/01/16</t>
  </si>
  <si>
    <t>22/01/16</t>
  </si>
  <si>
    <t>24/01/16</t>
  </si>
  <si>
    <t>25/01/16</t>
  </si>
  <si>
    <t>17/01/16</t>
  </si>
  <si>
    <t>&gt;20/01/16</t>
  </si>
  <si>
    <t>18/01/16</t>
  </si>
  <si>
    <t>21/01/16</t>
  </si>
  <si>
    <t>23/01/16</t>
  </si>
  <si>
    <t>20/01/16</t>
  </si>
  <si>
    <t>АТ "Весна" Итог</t>
  </si>
  <si>
    <t>Общий итог</t>
  </si>
  <si>
    <t>АТ "Світанок" Итог</t>
  </si>
  <si>
    <t>АТ "Шолом" Итог</t>
  </si>
  <si>
    <t>МП "Віст" Итог</t>
  </si>
  <si>
    <t>ТОВ "Посмішка" Итог</t>
  </si>
  <si>
    <t>ТОВ "Прима" Итог</t>
  </si>
  <si>
    <t>Общее среднее</t>
  </si>
  <si>
    <t>АТ "Весна" Среднее</t>
  </si>
  <si>
    <t>АТ "Світанок" Среднее</t>
  </si>
  <si>
    <t>АТ "Шолом" Среднее</t>
  </si>
  <si>
    <t>МП "Віст" Среднее</t>
  </si>
  <si>
    <t>ТОВ "Посмішка" Среднее</t>
  </si>
  <si>
    <t>ТОВ "Прима" Среднее</t>
  </si>
  <si>
    <t>Дата</t>
  </si>
  <si>
    <t>Виручка, грн</t>
  </si>
  <si>
    <t>Сума за місяць</t>
  </si>
  <si>
    <t>Макс. виручка</t>
  </si>
  <si>
    <t>Мін. Виручка</t>
  </si>
  <si>
    <t>Середня виручка</t>
  </si>
  <si>
    <t>&gt;400000</t>
  </si>
  <si>
    <t>&lt;300000</t>
  </si>
  <si>
    <t>Сума</t>
  </si>
  <si>
    <t>Найменування</t>
  </si>
  <si>
    <t>Сума продажів за місяць, грн</t>
  </si>
  <si>
    <t>Квітень</t>
  </si>
  <si>
    <t>Травень</t>
  </si>
  <si>
    <t>Алкогольні напої</t>
  </si>
  <si>
    <t>Бакалія</t>
  </si>
  <si>
    <t>Безпалкогольні напої</t>
  </si>
  <si>
    <t>Замороження штучне</t>
  </si>
  <si>
    <t>Кондитерська продукція</t>
  </si>
  <si>
    <t>Корм для домашніх тварин</t>
  </si>
  <si>
    <t>Товари для тварин</t>
  </si>
  <si>
    <t>Кулінарія</t>
  </si>
  <si>
    <t>Молочний гастроном</t>
  </si>
  <si>
    <t>М'ясний гастроном</t>
  </si>
  <si>
    <t>М'ясо, птиця глибокої заморозки</t>
  </si>
  <si>
    <t>М'ясо свіже</t>
  </si>
  <si>
    <t>Овочі, фрукти</t>
  </si>
  <si>
    <t>Друковані видання</t>
  </si>
  <si>
    <t>Рослинна олія</t>
  </si>
  <si>
    <t>Риба та морепродукти</t>
  </si>
  <si>
    <t>Супутні товари</t>
  </si>
  <si>
    <t>Соуси і приправи</t>
  </si>
  <si>
    <t>Тара, ящики</t>
  </si>
  <si>
    <t>Товари для дітей</t>
  </si>
  <si>
    <t>Хліб і хлібобулочні вироби</t>
  </si>
  <si>
    <t>Яйця</t>
  </si>
  <si>
    <t>Всього</t>
  </si>
  <si>
    <t>ЧЕКІВ</t>
  </si>
  <si>
    <t>Приріст продажів,
чеків, %</t>
  </si>
  <si>
    <t>за квітень</t>
  </si>
  <si>
    <t>за травень</t>
  </si>
  <si>
    <t>% частка продажу</t>
  </si>
  <si>
    <t>Найменування
товару</t>
  </si>
  <si>
    <t>Прибуток</t>
  </si>
  <si>
    <t>Alcatel</t>
  </si>
  <si>
    <t>HTC</t>
  </si>
  <si>
    <t>Fly</t>
  </si>
  <si>
    <t>LG</t>
  </si>
  <si>
    <t>Apple</t>
  </si>
  <si>
    <t>ASUS</t>
  </si>
  <si>
    <t>Lenovo</t>
  </si>
  <si>
    <t>Nokia</t>
  </si>
  <si>
    <t>Philips</t>
  </si>
  <si>
    <t>Samsung</t>
  </si>
  <si>
    <t>Sony</t>
  </si>
  <si>
    <t>Частка продажу,
%</t>
  </si>
  <si>
    <t>Частка накопичувальним, %
підсумком</t>
  </si>
  <si>
    <t>Групи</t>
  </si>
  <si>
    <t>А</t>
  </si>
  <si>
    <t>В</t>
  </si>
  <si>
    <t>С</t>
  </si>
  <si>
    <t>Вересень</t>
  </si>
  <si>
    <t>Жовтень</t>
  </si>
  <si>
    <t>Листопад</t>
  </si>
  <si>
    <t>Грудень</t>
  </si>
  <si>
    <t>Січень</t>
  </si>
  <si>
    <t>Лютий</t>
  </si>
  <si>
    <t>Коефіцієнт</t>
  </si>
  <si>
    <t>Група</t>
  </si>
  <si>
    <t xml:space="preserve"> </t>
  </si>
  <si>
    <t>АВС</t>
  </si>
  <si>
    <t>Товар</t>
  </si>
  <si>
    <t>Молоко свіже</t>
  </si>
  <si>
    <t>Молоко пряжене</t>
  </si>
  <si>
    <t>Фруктовий молочний коктейль</t>
  </si>
  <si>
    <t>Кефір</t>
  </si>
  <si>
    <t>Ряжанка</t>
  </si>
  <si>
    <t>Вершки</t>
  </si>
  <si>
    <t>Йогурт</t>
  </si>
  <si>
    <t>Сироватка</t>
  </si>
  <si>
    <t>Закваска молочна</t>
  </si>
  <si>
    <t>Айран</t>
  </si>
  <si>
    <t>У сумі</t>
  </si>
  <si>
    <t>Вартість 1
літра, грн</t>
  </si>
  <si>
    <t>Річний обсяг
продажів, шт</t>
  </si>
  <si>
    <t>Річний обсяг продажів
(прибуток), грн</t>
  </si>
  <si>
    <t>XYZ</t>
  </si>
  <si>
    <t>Продано в 1му
кв., грн</t>
  </si>
  <si>
    <t>Продано в 2му
кв., грн</t>
  </si>
  <si>
    <t>Продано в 3му кв., грн</t>
  </si>
  <si>
    <t>Продано в 4-му
кв., грн</t>
  </si>
  <si>
    <t xml:space="preserve">Продано за рік, грн
</t>
  </si>
  <si>
    <t>Річний обсяг продаж,%</t>
  </si>
  <si>
    <t>Наростаючим підсумком</t>
  </si>
  <si>
    <t>Категорія</t>
  </si>
  <si>
    <t>X</t>
  </si>
  <si>
    <t>Y</t>
  </si>
  <si>
    <t>Z</t>
  </si>
  <si>
    <t>Молоко свіже
Кефір</t>
  </si>
  <si>
    <t xml:space="preserve"> ---</t>
  </si>
  <si>
    <t>Молоко пряжене
Сироватка</t>
  </si>
  <si>
    <t>Вершки
Закваска молочна</t>
  </si>
  <si>
    <t>Фруктовий молочний
коктейль
Айран</t>
  </si>
  <si>
    <t>№</t>
  </si>
  <si>
    <t>Середній запас за рік за
позицією, грн</t>
  </si>
  <si>
    <t>І</t>
  </si>
  <si>
    <t>ІІ</t>
  </si>
  <si>
    <t>ІІІ</t>
  </si>
  <si>
    <t>ІV</t>
  </si>
  <si>
    <t>Реалізація за квартал, грн</t>
  </si>
  <si>
    <t>Частка позиц.</t>
  </si>
  <si>
    <t>Частка з нарост</t>
  </si>
  <si>
    <t>Разом</t>
  </si>
  <si>
    <t>Номер</t>
  </si>
  <si>
    <t>Реалізація за рік, грн</t>
  </si>
  <si>
    <t>Частка поз, %</t>
  </si>
  <si>
    <t>Частка нарост, %</t>
  </si>
  <si>
    <t>АВС - аналіз(обсяг реаліз за рік)</t>
  </si>
  <si>
    <t>АВС - аналіз(серед запаси)</t>
  </si>
  <si>
    <t>Реалізація в
середньму
за квартал</t>
  </si>
  <si>
    <t>Стандартне
відхилення
реалізації</t>
  </si>
  <si>
    <t>Коеф. Кор, %</t>
  </si>
  <si>
    <t>1,9</t>
  </si>
  <si>
    <t>3,5</t>
  </si>
  <si>
    <t>4,8</t>
  </si>
  <si>
    <t>7,10</t>
  </si>
  <si>
    <t>Постійні витрати, тис. грн.</t>
  </si>
  <si>
    <t>Змінні витрати, тис. грн.</t>
  </si>
  <si>
    <t>Випуск (Обсяг реалізації), од.</t>
  </si>
  <si>
    <t>Виручка від продаж, тис. грн.</t>
  </si>
  <si>
    <t>Значення</t>
  </si>
  <si>
    <t>Середні змінні витрати на одиницю придукції</t>
  </si>
  <si>
    <t>Ціна за одиницю</t>
  </si>
  <si>
    <t>Точка беззбитковості в грошовому вираженні</t>
  </si>
  <si>
    <t>Точка беззбитковості в натуральному вираженні</t>
  </si>
  <si>
    <t>Обсяг випуску продукції</t>
  </si>
  <si>
    <t>Постійні витрати, тис.грн</t>
  </si>
  <si>
    <t>Змінні витрати, тис грн</t>
  </si>
  <si>
    <t>Виручка від продажів, тис. грн</t>
  </si>
  <si>
    <t>Початкові дані</t>
  </si>
  <si>
    <t>Реалізація, шт.</t>
  </si>
  <si>
    <t>Постійні витрати, грн</t>
  </si>
  <si>
    <t>Змінні витрати, грн</t>
  </si>
  <si>
    <t>Ціна за одиницю товару</t>
  </si>
  <si>
    <t>Середні змінні витрати</t>
  </si>
  <si>
    <t>Точка беззбитковості, грн</t>
  </si>
  <si>
    <t>Точка беззбитковості, шт</t>
  </si>
  <si>
    <t>Обсяг випуску</t>
  </si>
  <si>
    <t>Виручка</t>
  </si>
  <si>
    <t>Постійні витрати</t>
  </si>
  <si>
    <t>Змінні витрати</t>
  </si>
  <si>
    <t>Валові витрати</t>
  </si>
  <si>
    <t>Реалізація</t>
  </si>
  <si>
    <t>Показник</t>
  </si>
  <si>
    <t>Деталь 1</t>
  </si>
  <si>
    <t>Деталь 2</t>
  </si>
  <si>
    <t>Деталь 3</t>
  </si>
  <si>
    <t>Деталь 4</t>
  </si>
  <si>
    <t>Реалізація продукції, шт.</t>
  </si>
  <si>
    <t>Ціна 1 одиниці продукції, грн</t>
  </si>
  <si>
    <t>Заробітна плата робітників цеху</t>
  </si>
  <si>
    <t>Придбання сировини, матеріалів
і комплектуючих</t>
  </si>
  <si>
    <t>Паливо і електроенергія на
виробничі потреби</t>
  </si>
  <si>
    <t>Закуп інструментів для виробництва</t>
  </si>
  <si>
    <t>Покупка допоміжних матеріалів
для цехових потреб</t>
  </si>
  <si>
    <t>Маржинальний прибуток(ст. 03-ст.10)</t>
  </si>
  <si>
    <t>Прибуток на од. продукції (ст 11/01)</t>
  </si>
  <si>
    <t>Зміні витрати на од. продукції( ст 10/10)</t>
  </si>
  <si>
    <t>Оренда виробничих площ і офісу</t>
  </si>
  <si>
    <t>Послуги зв'язку</t>
  </si>
  <si>
    <t>Комунальні послуги</t>
  </si>
  <si>
    <t>Послуги охорони</t>
  </si>
  <si>
    <t>Консультаційні послуги аудитора</t>
  </si>
  <si>
    <t>Заробітна плата АУР + страхові внески</t>
  </si>
  <si>
    <t>Разом постійних затрат</t>
  </si>
  <si>
    <t>Податок на прибуток</t>
  </si>
  <si>
    <t>Всього постійних витрат</t>
  </si>
  <si>
    <t>Всього змінних витрат</t>
  </si>
  <si>
    <t>Загальновиробничі витрати</t>
  </si>
  <si>
    <t>Всього загальних витрат</t>
  </si>
  <si>
    <t>Деталь 5</t>
  </si>
  <si>
    <t>Обсяг виробництва, од</t>
  </si>
  <si>
    <t>Загальні витрати, грн</t>
  </si>
  <si>
    <t>відсоток від визначення обсігу по частинах</t>
  </si>
  <si>
    <t>Ціна однієї одиниці, грн.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</si>
</sst>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;@"/>
    <numFmt numFmtId="165" formatCode="[$-419]d\ mmm;@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E787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64" fontId="0" fillId="0" borderId="3" xfId="0" applyNumberFormat="1" applyBorder="1"/>
    <xf numFmtId="0" fontId="2" fillId="0" borderId="1" xfId="0" applyFont="1" applyBorder="1"/>
    <xf numFmtId="0" fontId="2" fillId="0" borderId="0" xfId="0" applyFont="1" applyBorder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0" fillId="0" borderId="6" xfId="0" applyBorder="1"/>
    <xf numFmtId="3" fontId="0" fillId="0" borderId="0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right"/>
    </xf>
    <xf numFmtId="0" fontId="1" fillId="2" borderId="3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8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3" borderId="1" xfId="0" applyFill="1" applyBorder="1"/>
    <xf numFmtId="1" fontId="0" fillId="3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/>
    <xf numFmtId="1" fontId="0" fillId="4" borderId="1" xfId="0" applyNumberFormat="1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1" fontId="0" fillId="5" borderId="1" xfId="0" applyNumberFormat="1" applyFill="1" applyBorder="1"/>
    <xf numFmtId="0" fontId="0" fillId="6" borderId="1" xfId="0" applyFill="1" applyBorder="1"/>
    <xf numFmtId="1" fontId="0" fillId="6" borderId="1" xfId="0" applyNumberFormat="1" applyFill="1" applyBorder="1"/>
    <xf numFmtId="0" fontId="0" fillId="6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1" fontId="1" fillId="0" borderId="1" xfId="0" applyNumberFormat="1" applyFont="1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/>
    <xf numFmtId="1" fontId="0" fillId="7" borderId="1" xfId="0" applyNumberFormat="1" applyFill="1" applyBorder="1"/>
    <xf numFmtId="1" fontId="0" fillId="7" borderId="1" xfId="0" applyNumberFormat="1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" fontId="0" fillId="4" borderId="1" xfId="0" applyNumberFormat="1" applyFill="1" applyBorder="1" applyAlignment="1">
      <alignment horizontal="right" vertical="center"/>
    </xf>
    <xf numFmtId="0" fontId="0" fillId="6" borderId="1" xfId="0" applyFill="1" applyBorder="1" applyAlignment="1">
      <alignment horizontal="left" vertical="center"/>
    </xf>
    <xf numFmtId="1" fontId="0" fillId="6" borderId="1" xfId="0" applyNumberFormat="1" applyFill="1" applyBorder="1" applyAlignment="1">
      <alignment horizontal="right" vertical="center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/>
    <xf numFmtId="166" fontId="0" fillId="8" borderId="1" xfId="0" applyNumberFormat="1" applyFill="1" applyBorder="1"/>
    <xf numFmtId="166" fontId="0" fillId="4" borderId="1" xfId="0" applyNumberFormat="1" applyFill="1" applyBorder="1"/>
    <xf numFmtId="166" fontId="0" fillId="6" borderId="1" xfId="0" applyNumberFormat="1" applyFill="1" applyBorder="1"/>
    <xf numFmtId="3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1" fontId="0" fillId="0" borderId="1" xfId="0" applyNumberFormat="1" applyBorder="1"/>
    <xf numFmtId="2" fontId="0" fillId="0" borderId="1" xfId="0" applyNumberFormat="1" applyBorder="1"/>
    <xf numFmtId="0" fontId="1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2" fontId="0" fillId="10" borderId="1" xfId="0" applyNumberFormat="1" applyFill="1" applyBorder="1"/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/>
    <xf numFmtId="0" fontId="1" fillId="6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/>
    <xf numFmtId="0" fontId="1" fillId="4" borderId="1" xfId="0" applyFont="1" applyFill="1" applyBorder="1" applyAlignment="1">
      <alignment horizontal="center" vertical="center"/>
    </xf>
    <xf numFmtId="10" fontId="0" fillId="7" borderId="1" xfId="0" applyNumberFormat="1" applyFill="1" applyBorder="1"/>
    <xf numFmtId="10" fontId="0" fillId="6" borderId="1" xfId="0" applyNumberFormat="1" applyFill="1" applyBorder="1"/>
    <xf numFmtId="10" fontId="0" fillId="4" borderId="1" xfId="0" applyNumberFormat="1" applyFill="1" applyBorder="1"/>
    <xf numFmtId="10" fontId="0" fillId="0" borderId="0" xfId="0" applyNumberFormat="1" applyBorder="1"/>
    <xf numFmtId="10" fontId="0" fillId="7" borderId="1" xfId="0" applyNumberFormat="1" applyFill="1" applyBorder="1" applyAlignment="1">
      <alignment horizontal="center" vertical="center"/>
    </xf>
    <xf numFmtId="10" fontId="0" fillId="7" borderId="1" xfId="0" applyNumberFormat="1" applyFill="1" applyBorder="1" applyAlignment="1">
      <alignment horizontal="center"/>
    </xf>
    <xf numFmtId="10" fontId="0" fillId="6" borderId="1" xfId="0" applyNumberFormat="1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0" borderId="4" xfId="0" applyFill="1" applyBorder="1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1" xfId="0" applyNumberFormat="1" applyBorder="1"/>
    <xf numFmtId="0" fontId="0" fillId="10" borderId="1" xfId="0" applyFill="1" applyBorder="1"/>
    <xf numFmtId="9" fontId="0" fillId="10" borderId="1" xfId="0" applyNumberFormat="1" applyFill="1" applyBorder="1"/>
    <xf numFmtId="9" fontId="0" fillId="6" borderId="1" xfId="0" applyNumberFormat="1" applyFill="1" applyBorder="1"/>
    <xf numFmtId="9" fontId="0" fillId="4" borderId="1" xfId="0" applyNumberFormat="1" applyFill="1" applyBorder="1"/>
    <xf numFmtId="0" fontId="0" fillId="4" borderId="3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0" fillId="9" borderId="1" xfId="0" applyFill="1" applyBorder="1"/>
    <xf numFmtId="1" fontId="0" fillId="9" borderId="1" xfId="0" applyNumberFormat="1" applyFill="1" applyBorder="1"/>
    <xf numFmtId="0" fontId="4" fillId="0" borderId="0" xfId="0" applyFont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7878"/>
      <color rgb="FFFFFF66"/>
      <color rgb="FFD656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2'!$B$1</c:f>
              <c:strCache>
                <c:ptCount val="1"/>
                <c:pt idx="0">
                  <c:v>Виручка, грн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2'!$A$1:$A$31</c:f>
              <c:strCache>
                <c:ptCount val="31"/>
                <c:pt idx="0">
                  <c:v>Дата</c:v>
                </c:pt>
                <c:pt idx="1">
                  <c:v>1 июн</c:v>
                </c:pt>
                <c:pt idx="2">
                  <c:v>2 июн</c:v>
                </c:pt>
                <c:pt idx="3">
                  <c:v>3 июн</c:v>
                </c:pt>
                <c:pt idx="4">
                  <c:v>4 июн</c:v>
                </c:pt>
                <c:pt idx="5">
                  <c:v>5 июн</c:v>
                </c:pt>
                <c:pt idx="6">
                  <c:v>6 июн</c:v>
                </c:pt>
                <c:pt idx="7">
                  <c:v>7 июн</c:v>
                </c:pt>
                <c:pt idx="8">
                  <c:v>8 июн</c:v>
                </c:pt>
                <c:pt idx="9">
                  <c:v>9 июн</c:v>
                </c:pt>
                <c:pt idx="10">
                  <c:v>10 июн</c:v>
                </c:pt>
                <c:pt idx="11">
                  <c:v>11 июн</c:v>
                </c:pt>
                <c:pt idx="12">
                  <c:v>12 июн</c:v>
                </c:pt>
                <c:pt idx="13">
                  <c:v>13 июн</c:v>
                </c:pt>
                <c:pt idx="14">
                  <c:v>14 июн</c:v>
                </c:pt>
                <c:pt idx="15">
                  <c:v>15 июн</c:v>
                </c:pt>
                <c:pt idx="16">
                  <c:v>16 июн</c:v>
                </c:pt>
                <c:pt idx="17">
                  <c:v>17 июн</c:v>
                </c:pt>
                <c:pt idx="18">
                  <c:v>18 июн</c:v>
                </c:pt>
                <c:pt idx="19">
                  <c:v>19 июн</c:v>
                </c:pt>
                <c:pt idx="20">
                  <c:v>20 июн</c:v>
                </c:pt>
                <c:pt idx="21">
                  <c:v>21 июн</c:v>
                </c:pt>
                <c:pt idx="22">
                  <c:v>22 июн</c:v>
                </c:pt>
                <c:pt idx="23">
                  <c:v>23 июн</c:v>
                </c:pt>
                <c:pt idx="24">
                  <c:v>24 июн</c:v>
                </c:pt>
                <c:pt idx="25">
                  <c:v>25 июн</c:v>
                </c:pt>
                <c:pt idx="26">
                  <c:v>26 июн</c:v>
                </c:pt>
                <c:pt idx="27">
                  <c:v>27 июн</c:v>
                </c:pt>
                <c:pt idx="28">
                  <c:v>28 июн</c:v>
                </c:pt>
                <c:pt idx="29">
                  <c:v>29 июн</c:v>
                </c:pt>
                <c:pt idx="30">
                  <c:v>30 июн</c:v>
                </c:pt>
              </c:strCache>
            </c:strRef>
          </c:cat>
          <c:val>
            <c:numRef>
              <c:f>'Задача 2'!$B$2:$B$31</c:f>
              <c:numCache>
                <c:formatCode>#,##0</c:formatCode>
                <c:ptCount val="30"/>
                <c:pt idx="0">
                  <c:v>281488</c:v>
                </c:pt>
                <c:pt idx="1">
                  <c:v>271285</c:v>
                </c:pt>
                <c:pt idx="2">
                  <c:v>247689</c:v>
                </c:pt>
                <c:pt idx="3">
                  <c:v>312502</c:v>
                </c:pt>
                <c:pt idx="4">
                  <c:v>330647</c:v>
                </c:pt>
                <c:pt idx="5">
                  <c:v>358665</c:v>
                </c:pt>
                <c:pt idx="6">
                  <c:v>339868</c:v>
                </c:pt>
                <c:pt idx="7">
                  <c:v>338943</c:v>
                </c:pt>
                <c:pt idx="8">
                  <c:v>470534</c:v>
                </c:pt>
                <c:pt idx="9">
                  <c:v>295677</c:v>
                </c:pt>
                <c:pt idx="10">
                  <c:v>360022</c:v>
                </c:pt>
                <c:pt idx="11">
                  <c:v>338545</c:v>
                </c:pt>
                <c:pt idx="12">
                  <c:v>328580</c:v>
                </c:pt>
                <c:pt idx="13">
                  <c:v>351078</c:v>
                </c:pt>
                <c:pt idx="14">
                  <c:v>305675</c:v>
                </c:pt>
                <c:pt idx="15">
                  <c:v>340379</c:v>
                </c:pt>
                <c:pt idx="16">
                  <c:v>326507</c:v>
                </c:pt>
                <c:pt idx="17">
                  <c:v>341764</c:v>
                </c:pt>
                <c:pt idx="18">
                  <c:v>332301</c:v>
                </c:pt>
                <c:pt idx="19">
                  <c:v>357530</c:v>
                </c:pt>
                <c:pt idx="20">
                  <c:v>319431</c:v>
                </c:pt>
                <c:pt idx="21">
                  <c:v>289173</c:v>
                </c:pt>
                <c:pt idx="22">
                  <c:v>346041</c:v>
                </c:pt>
                <c:pt idx="23">
                  <c:v>340932</c:v>
                </c:pt>
                <c:pt idx="24">
                  <c:v>363283</c:v>
                </c:pt>
                <c:pt idx="25">
                  <c:v>350168</c:v>
                </c:pt>
                <c:pt idx="26">
                  <c:v>360549</c:v>
                </c:pt>
                <c:pt idx="27">
                  <c:v>322612</c:v>
                </c:pt>
                <c:pt idx="28">
                  <c:v>282518</c:v>
                </c:pt>
                <c:pt idx="29">
                  <c:v>329667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1-4B00-ABC2-95ECCE6B5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481855"/>
        <c:axId val="760482687"/>
      </c:lineChart>
      <c:catAx>
        <c:axId val="760481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82687"/>
        <c:crosses val="autoZero"/>
        <c:auto val="1"/>
        <c:lblAlgn val="ctr"/>
        <c:lblOffset val="100"/>
        <c:noMultiLvlLbl val="0"/>
      </c:catAx>
      <c:valAx>
        <c:axId val="7604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8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75780989894792E-2"/>
          <c:y val="3.4885039187610593E-2"/>
          <c:w val="0.90532421901010518"/>
          <c:h val="0.81899933626031385"/>
        </c:manualLayout>
      </c:layout>
      <c:lineChart>
        <c:grouping val="standard"/>
        <c:varyColors val="0"/>
        <c:ser>
          <c:idx val="0"/>
          <c:order val="0"/>
          <c:tx>
            <c:strRef>
              <c:f>'Задача 10'!$B$41</c:f>
              <c:strCache>
                <c:ptCount val="1"/>
                <c:pt idx="0">
                  <c:v>Виручка, грн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'Задача 10'!$C$39:$S$39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</c:numCache>
            </c:numRef>
          </c:cat>
          <c:val>
            <c:numRef>
              <c:f>'Задача 10'!$C$41:$S$41</c:f>
              <c:numCache>
                <c:formatCode>General</c:formatCode>
                <c:ptCount val="17"/>
                <c:pt idx="0">
                  <c:v>69817.647058823524</c:v>
                </c:pt>
                <c:pt idx="1">
                  <c:v>139635.29411764705</c:v>
                </c:pt>
                <c:pt idx="2">
                  <c:v>209452.94117647057</c:v>
                </c:pt>
                <c:pt idx="3">
                  <c:v>279270.5882352941</c:v>
                </c:pt>
                <c:pt idx="4">
                  <c:v>349088.23529411765</c:v>
                </c:pt>
                <c:pt idx="5">
                  <c:v>418905.88235294115</c:v>
                </c:pt>
                <c:pt idx="6">
                  <c:v>488723.5294117647</c:v>
                </c:pt>
                <c:pt idx="7">
                  <c:v>558541.17647058819</c:v>
                </c:pt>
                <c:pt idx="8">
                  <c:v>628358.82352941169</c:v>
                </c:pt>
                <c:pt idx="9">
                  <c:v>698176.4705882353</c:v>
                </c:pt>
                <c:pt idx="10">
                  <c:v>767994.1176470588</c:v>
                </c:pt>
                <c:pt idx="11">
                  <c:v>837811.76470588229</c:v>
                </c:pt>
                <c:pt idx="12">
                  <c:v>907629.41176470579</c:v>
                </c:pt>
                <c:pt idx="13">
                  <c:v>977447.0588235294</c:v>
                </c:pt>
                <c:pt idx="14">
                  <c:v>1047264.7058823529</c:v>
                </c:pt>
                <c:pt idx="15">
                  <c:v>1117082.3529411764</c:v>
                </c:pt>
                <c:pt idx="16">
                  <c:v>1186900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0-46DC-B642-1487D4203D58}"/>
            </c:ext>
          </c:extLst>
        </c:ser>
        <c:ser>
          <c:idx val="1"/>
          <c:order val="1"/>
          <c:tx>
            <c:strRef>
              <c:f>'Задача 10'!$B$42</c:f>
              <c:strCache>
                <c:ptCount val="1"/>
                <c:pt idx="0">
                  <c:v>Змінні витрати, грн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'Задача 10'!$C$39:$S$39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</c:numCache>
            </c:numRef>
          </c:cat>
          <c:val>
            <c:numRef>
              <c:f>'Задача 10'!$C$42:$S$42</c:f>
              <c:numCache>
                <c:formatCode>General</c:formatCode>
                <c:ptCount val="17"/>
                <c:pt idx="0">
                  <c:v>40517.647058823532</c:v>
                </c:pt>
                <c:pt idx="1">
                  <c:v>81035.294117647063</c:v>
                </c:pt>
                <c:pt idx="2">
                  <c:v>121552.94117647059</c:v>
                </c:pt>
                <c:pt idx="3">
                  <c:v>162070.58823529413</c:v>
                </c:pt>
                <c:pt idx="4">
                  <c:v>202588.23529411765</c:v>
                </c:pt>
                <c:pt idx="5">
                  <c:v>243105.88235294117</c:v>
                </c:pt>
                <c:pt idx="6">
                  <c:v>283623.5294117647</c:v>
                </c:pt>
                <c:pt idx="7">
                  <c:v>324141.17647058825</c:v>
                </c:pt>
                <c:pt idx="8">
                  <c:v>364658.82352941175</c:v>
                </c:pt>
                <c:pt idx="9">
                  <c:v>405176.4705882353</c:v>
                </c:pt>
                <c:pt idx="10">
                  <c:v>445694.11764705885</c:v>
                </c:pt>
                <c:pt idx="11">
                  <c:v>486211.76470588235</c:v>
                </c:pt>
                <c:pt idx="12">
                  <c:v>526729.4117647059</c:v>
                </c:pt>
                <c:pt idx="13">
                  <c:v>567247.0588235294</c:v>
                </c:pt>
                <c:pt idx="14">
                  <c:v>607764.70588235301</c:v>
                </c:pt>
                <c:pt idx="15">
                  <c:v>648282.3529411765</c:v>
                </c:pt>
                <c:pt idx="16">
                  <c:v>688800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0-46DC-B642-1487D4203D58}"/>
            </c:ext>
          </c:extLst>
        </c:ser>
        <c:ser>
          <c:idx val="2"/>
          <c:order val="2"/>
          <c:tx>
            <c:strRef>
              <c:f>'Задача 10'!$B$43</c:f>
              <c:strCache>
                <c:ptCount val="1"/>
                <c:pt idx="0">
                  <c:v>Постійні витрати, грн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'Задача 10'!$C$39:$S$39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</c:numCache>
            </c:numRef>
          </c:cat>
          <c:val>
            <c:numRef>
              <c:f>'Задача 10'!$C$43:$S$43</c:f>
              <c:numCache>
                <c:formatCode>General</c:formatCode>
                <c:ptCount val="17"/>
                <c:pt idx="0">
                  <c:v>300540</c:v>
                </c:pt>
                <c:pt idx="1">
                  <c:v>300540</c:v>
                </c:pt>
                <c:pt idx="2">
                  <c:v>300540</c:v>
                </c:pt>
                <c:pt idx="3">
                  <c:v>300540</c:v>
                </c:pt>
                <c:pt idx="4">
                  <c:v>300540</c:v>
                </c:pt>
                <c:pt idx="5">
                  <c:v>300540</c:v>
                </c:pt>
                <c:pt idx="6">
                  <c:v>300540</c:v>
                </c:pt>
                <c:pt idx="7">
                  <c:v>300540</c:v>
                </c:pt>
                <c:pt idx="8">
                  <c:v>300540</c:v>
                </c:pt>
                <c:pt idx="9">
                  <c:v>300540</c:v>
                </c:pt>
                <c:pt idx="10">
                  <c:v>300540</c:v>
                </c:pt>
                <c:pt idx="11">
                  <c:v>300540</c:v>
                </c:pt>
                <c:pt idx="12">
                  <c:v>300540</c:v>
                </c:pt>
                <c:pt idx="13">
                  <c:v>300540</c:v>
                </c:pt>
                <c:pt idx="14">
                  <c:v>300540</c:v>
                </c:pt>
                <c:pt idx="15">
                  <c:v>300540</c:v>
                </c:pt>
                <c:pt idx="16">
                  <c:v>300540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0-46DC-B642-1487D4203D58}"/>
            </c:ext>
          </c:extLst>
        </c:ser>
        <c:ser>
          <c:idx val="3"/>
          <c:order val="3"/>
          <c:tx>
            <c:strRef>
              <c:f>'Задача 10'!$B$44</c:f>
              <c:strCache>
                <c:ptCount val="1"/>
                <c:pt idx="0">
                  <c:v>Загальні витрати, грн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'Задача 10'!$C$39:$S$39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</c:numCache>
            </c:numRef>
          </c:cat>
          <c:val>
            <c:numRef>
              <c:f>'Задача 10'!$C$44:$S$44</c:f>
              <c:numCache>
                <c:formatCode>General</c:formatCode>
                <c:ptCount val="17"/>
                <c:pt idx="0">
                  <c:v>341057.64705882355</c:v>
                </c:pt>
                <c:pt idx="1">
                  <c:v>381575.29411764705</c:v>
                </c:pt>
                <c:pt idx="2">
                  <c:v>422092.9411764706</c:v>
                </c:pt>
                <c:pt idx="3">
                  <c:v>462610.5882352941</c:v>
                </c:pt>
                <c:pt idx="4">
                  <c:v>503128.23529411765</c:v>
                </c:pt>
                <c:pt idx="5">
                  <c:v>543645.8823529412</c:v>
                </c:pt>
                <c:pt idx="6">
                  <c:v>584163.5294117647</c:v>
                </c:pt>
                <c:pt idx="7">
                  <c:v>624681.17647058819</c:v>
                </c:pt>
                <c:pt idx="8">
                  <c:v>665198.82352941181</c:v>
                </c:pt>
                <c:pt idx="9">
                  <c:v>705716.4705882353</c:v>
                </c:pt>
                <c:pt idx="10">
                  <c:v>746234.1176470588</c:v>
                </c:pt>
                <c:pt idx="11">
                  <c:v>786751.76470588241</c:v>
                </c:pt>
                <c:pt idx="12">
                  <c:v>827269.4117647059</c:v>
                </c:pt>
                <c:pt idx="13">
                  <c:v>867787.0588235294</c:v>
                </c:pt>
                <c:pt idx="14">
                  <c:v>908304.70588235301</c:v>
                </c:pt>
                <c:pt idx="15">
                  <c:v>948822.3529411765</c:v>
                </c:pt>
                <c:pt idx="16">
                  <c:v>989340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70-46DC-B642-1487D420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858480"/>
        <c:axId val="1230868880"/>
      </c:lineChart>
      <c:catAx>
        <c:axId val="12308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68880"/>
        <c:crosses val="autoZero"/>
        <c:auto val="1"/>
        <c:lblAlgn val="ctr"/>
        <c:lblOffset val="100"/>
        <c:noMultiLvlLbl val="0"/>
      </c:catAx>
      <c:valAx>
        <c:axId val="12308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5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/>
              <a:t>Після</a:t>
            </a:r>
            <a:r>
              <a:rPr lang="uk-UA" b="1" baseline="0"/>
              <a:t> змін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10'!$B$41</c:f>
              <c:strCache>
                <c:ptCount val="1"/>
                <c:pt idx="0">
                  <c:v>Виручка, грн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'Задача 10'!$C$39:$S$39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</c:numCache>
            </c:numRef>
          </c:cat>
          <c:val>
            <c:numRef>
              <c:f>'Задача 10'!$C$41:$S$41</c:f>
              <c:numCache>
                <c:formatCode>General</c:formatCode>
                <c:ptCount val="17"/>
                <c:pt idx="0">
                  <c:v>69817.647058823524</c:v>
                </c:pt>
                <c:pt idx="1">
                  <c:v>139635.29411764705</c:v>
                </c:pt>
                <c:pt idx="2">
                  <c:v>209452.94117647057</c:v>
                </c:pt>
                <c:pt idx="3">
                  <c:v>279270.5882352941</c:v>
                </c:pt>
                <c:pt idx="4">
                  <c:v>349088.23529411765</c:v>
                </c:pt>
                <c:pt idx="5">
                  <c:v>418905.88235294115</c:v>
                </c:pt>
                <c:pt idx="6">
                  <c:v>488723.5294117647</c:v>
                </c:pt>
                <c:pt idx="7">
                  <c:v>558541.17647058819</c:v>
                </c:pt>
                <c:pt idx="8">
                  <c:v>628358.82352941169</c:v>
                </c:pt>
                <c:pt idx="9">
                  <c:v>698176.4705882353</c:v>
                </c:pt>
                <c:pt idx="10">
                  <c:v>767994.1176470588</c:v>
                </c:pt>
                <c:pt idx="11">
                  <c:v>837811.76470588229</c:v>
                </c:pt>
                <c:pt idx="12">
                  <c:v>907629.41176470579</c:v>
                </c:pt>
                <c:pt idx="13">
                  <c:v>977447.0588235294</c:v>
                </c:pt>
                <c:pt idx="14">
                  <c:v>1047264.7058823529</c:v>
                </c:pt>
                <c:pt idx="15">
                  <c:v>1117082.3529411764</c:v>
                </c:pt>
                <c:pt idx="16">
                  <c:v>1186900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7-4532-82FC-A2BFDB2CA29F}"/>
            </c:ext>
          </c:extLst>
        </c:ser>
        <c:ser>
          <c:idx val="1"/>
          <c:order val="1"/>
          <c:tx>
            <c:strRef>
              <c:f>'Задача 10'!$B$42</c:f>
              <c:strCache>
                <c:ptCount val="1"/>
                <c:pt idx="0">
                  <c:v>Змінні витрати, грн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'Задача 10'!$C$39:$S$39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</c:numCache>
            </c:numRef>
          </c:cat>
          <c:val>
            <c:numRef>
              <c:f>'Задача 10'!$C$42:$S$42</c:f>
              <c:numCache>
                <c:formatCode>General</c:formatCode>
                <c:ptCount val="17"/>
                <c:pt idx="0">
                  <c:v>40517.647058823532</c:v>
                </c:pt>
                <c:pt idx="1">
                  <c:v>81035.294117647063</c:v>
                </c:pt>
                <c:pt idx="2">
                  <c:v>121552.94117647059</c:v>
                </c:pt>
                <c:pt idx="3">
                  <c:v>162070.58823529413</c:v>
                </c:pt>
                <c:pt idx="4">
                  <c:v>202588.23529411765</c:v>
                </c:pt>
                <c:pt idx="5">
                  <c:v>243105.88235294117</c:v>
                </c:pt>
                <c:pt idx="6">
                  <c:v>283623.5294117647</c:v>
                </c:pt>
                <c:pt idx="7">
                  <c:v>324141.17647058825</c:v>
                </c:pt>
                <c:pt idx="8">
                  <c:v>364658.82352941175</c:v>
                </c:pt>
                <c:pt idx="9">
                  <c:v>405176.4705882353</c:v>
                </c:pt>
                <c:pt idx="10">
                  <c:v>445694.11764705885</c:v>
                </c:pt>
                <c:pt idx="11">
                  <c:v>486211.76470588235</c:v>
                </c:pt>
                <c:pt idx="12">
                  <c:v>526729.4117647059</c:v>
                </c:pt>
                <c:pt idx="13">
                  <c:v>567247.0588235294</c:v>
                </c:pt>
                <c:pt idx="14">
                  <c:v>607764.70588235301</c:v>
                </c:pt>
                <c:pt idx="15">
                  <c:v>648282.3529411765</c:v>
                </c:pt>
                <c:pt idx="16">
                  <c:v>688800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7-4532-82FC-A2BFDB2CA29F}"/>
            </c:ext>
          </c:extLst>
        </c:ser>
        <c:ser>
          <c:idx val="2"/>
          <c:order val="2"/>
          <c:tx>
            <c:strRef>
              <c:f>'Задача 10'!$B$43</c:f>
              <c:strCache>
                <c:ptCount val="1"/>
                <c:pt idx="0">
                  <c:v>Постійні витрати, грн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'Задача 10'!$C$39:$S$39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</c:numCache>
            </c:numRef>
          </c:cat>
          <c:val>
            <c:numRef>
              <c:f>'Задача 10'!$C$43:$S$43</c:f>
              <c:numCache>
                <c:formatCode>General</c:formatCode>
                <c:ptCount val="17"/>
                <c:pt idx="0">
                  <c:v>300540</c:v>
                </c:pt>
                <c:pt idx="1">
                  <c:v>300540</c:v>
                </c:pt>
                <c:pt idx="2">
                  <c:v>300540</c:v>
                </c:pt>
                <c:pt idx="3">
                  <c:v>300540</c:v>
                </c:pt>
                <c:pt idx="4">
                  <c:v>300540</c:v>
                </c:pt>
                <c:pt idx="5">
                  <c:v>300540</c:v>
                </c:pt>
                <c:pt idx="6">
                  <c:v>300540</c:v>
                </c:pt>
                <c:pt idx="7">
                  <c:v>300540</c:v>
                </c:pt>
                <c:pt idx="8">
                  <c:v>300540</c:v>
                </c:pt>
                <c:pt idx="9">
                  <c:v>300540</c:v>
                </c:pt>
                <c:pt idx="10">
                  <c:v>300540</c:v>
                </c:pt>
                <c:pt idx="11">
                  <c:v>300540</c:v>
                </c:pt>
                <c:pt idx="12">
                  <c:v>300540</c:v>
                </c:pt>
                <c:pt idx="13">
                  <c:v>300540</c:v>
                </c:pt>
                <c:pt idx="14">
                  <c:v>300540</c:v>
                </c:pt>
                <c:pt idx="15">
                  <c:v>300540</c:v>
                </c:pt>
                <c:pt idx="16">
                  <c:v>300540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67-4532-82FC-A2BFDB2CA29F}"/>
            </c:ext>
          </c:extLst>
        </c:ser>
        <c:ser>
          <c:idx val="3"/>
          <c:order val="3"/>
          <c:tx>
            <c:strRef>
              <c:f>'Задача 10'!$B$44</c:f>
              <c:strCache>
                <c:ptCount val="1"/>
                <c:pt idx="0">
                  <c:v>Загальні витрати, грн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'Задача 10'!$C$39:$S$39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</c:numCache>
            </c:numRef>
          </c:cat>
          <c:val>
            <c:numRef>
              <c:f>'Задача 10'!$C$44:$S$44</c:f>
              <c:numCache>
                <c:formatCode>General</c:formatCode>
                <c:ptCount val="17"/>
                <c:pt idx="0">
                  <c:v>341057.64705882355</c:v>
                </c:pt>
                <c:pt idx="1">
                  <c:v>381575.29411764705</c:v>
                </c:pt>
                <c:pt idx="2">
                  <c:v>422092.9411764706</c:v>
                </c:pt>
                <c:pt idx="3">
                  <c:v>462610.5882352941</c:v>
                </c:pt>
                <c:pt idx="4">
                  <c:v>503128.23529411765</c:v>
                </c:pt>
                <c:pt idx="5">
                  <c:v>543645.8823529412</c:v>
                </c:pt>
                <c:pt idx="6">
                  <c:v>584163.5294117647</c:v>
                </c:pt>
                <c:pt idx="7">
                  <c:v>624681.17647058819</c:v>
                </c:pt>
                <c:pt idx="8">
                  <c:v>665198.82352941181</c:v>
                </c:pt>
                <c:pt idx="9">
                  <c:v>705716.4705882353</c:v>
                </c:pt>
                <c:pt idx="10">
                  <c:v>746234.1176470588</c:v>
                </c:pt>
                <c:pt idx="11">
                  <c:v>786751.76470588241</c:v>
                </c:pt>
                <c:pt idx="12">
                  <c:v>827269.4117647059</c:v>
                </c:pt>
                <c:pt idx="13">
                  <c:v>867787.0588235294</c:v>
                </c:pt>
                <c:pt idx="14">
                  <c:v>908304.70588235301</c:v>
                </c:pt>
                <c:pt idx="15">
                  <c:v>948822.3529411765</c:v>
                </c:pt>
                <c:pt idx="16">
                  <c:v>989340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67-4532-82FC-A2BFDB2CA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882608"/>
        <c:axId val="1230880528"/>
      </c:lineChart>
      <c:catAx>
        <c:axId val="123088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80528"/>
        <c:crosses val="autoZero"/>
        <c:auto val="1"/>
        <c:lblAlgn val="ctr"/>
        <c:lblOffset val="100"/>
        <c:noMultiLvlLbl val="0"/>
      </c:catAx>
      <c:valAx>
        <c:axId val="12308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Продаж товарів (за групами)</a:t>
            </a:r>
            <a:r>
              <a:rPr lang="ru-RU" b="1" baseline="0"/>
              <a:t> </a:t>
            </a:r>
            <a:r>
              <a:rPr lang="ru-RU" b="1"/>
              <a:t>за квітень</a:t>
            </a:r>
          </a:p>
        </c:rich>
      </c:tx>
      <c:layout>
        <c:manualLayout>
          <c:xMode val="edge"/>
          <c:yMode val="edge"/>
          <c:x val="2.862611001470191E-2"/>
          <c:y val="4.62650742859536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47078722752078295"/>
          <c:w val="1"/>
          <c:h val="0.51940835156884002"/>
        </c:manualLayout>
      </c:layout>
      <c:pie3DChart>
        <c:varyColors val="1"/>
        <c:ser>
          <c:idx val="0"/>
          <c:order val="0"/>
          <c:tx>
            <c:strRef>
              <c:f>'Задача 3'!$E$2</c:f>
              <c:strCache>
                <c:ptCount val="1"/>
                <c:pt idx="0">
                  <c:v>за квітень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A26-4290-BD3F-B13D0DD93B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A26-4290-BD3F-B13D0DD93B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A26-4290-BD3F-B13D0DD93B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A26-4290-BD3F-B13D0DD93B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A26-4290-BD3F-B13D0DD93B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A26-4290-BD3F-B13D0DD93B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A26-4290-BD3F-B13D0DD93B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A26-4290-BD3F-B13D0DD93B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A26-4290-BD3F-B13D0DD93B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A26-4290-BD3F-B13D0DD93B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2A26-4290-BD3F-B13D0DD93B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2A26-4290-BD3F-B13D0DD93BB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2A26-4290-BD3F-B13D0DD93BB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2A26-4290-BD3F-B13D0DD93BB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2A26-4290-BD3F-B13D0DD93BB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2A26-4290-BD3F-B13D0DD93BB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2A26-4290-BD3F-B13D0DD93BB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2A26-4290-BD3F-B13D0DD93BB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2A26-4290-BD3F-B13D0DD93BB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2A26-4290-BD3F-B13D0DD93BB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2A26-4290-BD3F-B13D0DD93BB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2A26-4290-BD3F-B13D0DD93B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'Задача 3'!$A$3:$A$24</c:f>
              <c:strCache>
                <c:ptCount val="22"/>
                <c:pt idx="0">
                  <c:v>Алкогольні напої</c:v>
                </c:pt>
                <c:pt idx="1">
                  <c:v>Бакалія</c:v>
                </c:pt>
                <c:pt idx="2">
                  <c:v>Безпалкогольні напої</c:v>
                </c:pt>
                <c:pt idx="3">
                  <c:v>Замороження штучне</c:v>
                </c:pt>
                <c:pt idx="4">
                  <c:v>Кондитерська продукція</c:v>
                </c:pt>
                <c:pt idx="5">
                  <c:v>Корм для домашніх тварин</c:v>
                </c:pt>
                <c:pt idx="6">
                  <c:v>Товари для тварин</c:v>
                </c:pt>
                <c:pt idx="7">
                  <c:v>Кулінарія</c:v>
                </c:pt>
                <c:pt idx="8">
                  <c:v>Молочний гастроном</c:v>
                </c:pt>
                <c:pt idx="9">
                  <c:v>М'ясний гастроном</c:v>
                </c:pt>
                <c:pt idx="10">
                  <c:v>М'ясо, птиця глибокої заморозки</c:v>
                </c:pt>
                <c:pt idx="11">
                  <c:v>М'ясо свіже</c:v>
                </c:pt>
                <c:pt idx="12">
                  <c:v>Овочі, фрукти</c:v>
                </c:pt>
                <c:pt idx="13">
                  <c:v>Друковані видання</c:v>
                </c:pt>
                <c:pt idx="14">
                  <c:v>Рослинна олія</c:v>
                </c:pt>
                <c:pt idx="15">
                  <c:v>Риба та морепродукти</c:v>
                </c:pt>
                <c:pt idx="16">
                  <c:v>Супутні товари</c:v>
                </c:pt>
                <c:pt idx="17">
                  <c:v>Соуси і приправи</c:v>
                </c:pt>
                <c:pt idx="18">
                  <c:v>Тара, ящики</c:v>
                </c:pt>
                <c:pt idx="19">
                  <c:v>Товари для дітей</c:v>
                </c:pt>
                <c:pt idx="20">
                  <c:v>Хліб і хлібобулочні вироби</c:v>
                </c:pt>
                <c:pt idx="21">
                  <c:v>Яйця</c:v>
                </c:pt>
              </c:strCache>
            </c:strRef>
          </c:cat>
          <c:val>
            <c:numRef>
              <c:f>'Задача 3'!$E$3:$E$24</c:f>
              <c:numCache>
                <c:formatCode>General</c:formatCode>
                <c:ptCount val="22"/>
                <c:pt idx="0">
                  <c:v>15.98174433829479</c:v>
                </c:pt>
                <c:pt idx="1">
                  <c:v>6.8529501262325097</c:v>
                </c:pt>
                <c:pt idx="2">
                  <c:v>5.9740143049616252</c:v>
                </c:pt>
                <c:pt idx="3">
                  <c:v>3.2540429834316069</c:v>
                </c:pt>
                <c:pt idx="4">
                  <c:v>9.577182460744261</c:v>
                </c:pt>
                <c:pt idx="5">
                  <c:v>3.4025485489166605</c:v>
                </c:pt>
                <c:pt idx="6">
                  <c:v>0.8038678882188085</c:v>
                </c:pt>
                <c:pt idx="7">
                  <c:v>4.3348211370327876</c:v>
                </c:pt>
                <c:pt idx="8">
                  <c:v>10.808318794170377</c:v>
                </c:pt>
                <c:pt idx="9">
                  <c:v>8.1370527036358951</c:v>
                </c:pt>
                <c:pt idx="10">
                  <c:v>1.3300103607456959</c:v>
                </c:pt>
                <c:pt idx="11">
                  <c:v>2.5213062227926217</c:v>
                </c:pt>
                <c:pt idx="12">
                  <c:v>12.251959255452823</c:v>
                </c:pt>
                <c:pt idx="13">
                  <c:v>9.5113220209614047E-2</c:v>
                </c:pt>
                <c:pt idx="14">
                  <c:v>0.48176309601498024</c:v>
                </c:pt>
                <c:pt idx="15">
                  <c:v>4.1974497837304341</c:v>
                </c:pt>
                <c:pt idx="16">
                  <c:v>6.4464494877752925</c:v>
                </c:pt>
                <c:pt idx="17">
                  <c:v>0.62633185602778185</c:v>
                </c:pt>
                <c:pt idx="18">
                  <c:v>0.13228592693937458</c:v>
                </c:pt>
                <c:pt idx="19">
                  <c:v>0.38043435469505738</c:v>
                </c:pt>
                <c:pt idx="20">
                  <c:v>1.9460972594739223</c:v>
                </c:pt>
                <c:pt idx="21">
                  <c:v>0.46425589050308208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9-4000-A686-CE6E6900B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13131571998135"/>
          <c:y val="1.4044195521674394E-2"/>
          <c:w val="0.40380085115517333"/>
          <c:h val="0.40183308900995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Продаж товарів (по</a:t>
            </a:r>
            <a:r>
              <a:rPr lang="ru-RU" b="1" baseline="0"/>
              <a:t> групам) </a:t>
            </a:r>
            <a:r>
              <a:rPr lang="ru-RU" b="1"/>
              <a:t>за травень</a:t>
            </a:r>
          </a:p>
        </c:rich>
      </c:tx>
      <c:layout>
        <c:manualLayout>
          <c:xMode val="edge"/>
          <c:yMode val="edge"/>
          <c:x val="4.6023740506237878E-2"/>
          <c:y val="3.3488374545934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46604654576425897"/>
          <c:w val="1"/>
          <c:h val="0.50848471038159393"/>
        </c:manualLayout>
      </c:layout>
      <c:pie3DChart>
        <c:varyColors val="1"/>
        <c:ser>
          <c:idx val="0"/>
          <c:order val="0"/>
          <c:tx>
            <c:strRef>
              <c:f>'Задача 3'!$F$2</c:f>
              <c:strCache>
                <c:ptCount val="1"/>
                <c:pt idx="0">
                  <c:v>за травень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548-457F-A936-755DDEC5D5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548-457F-A936-755DDEC5D5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548-457F-A936-755DDEC5D5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548-457F-A936-755DDEC5D5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548-457F-A936-755DDEC5D5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548-457F-A936-755DDEC5D5E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548-457F-A936-755DDEC5D5E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548-457F-A936-755DDEC5D5E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548-457F-A936-755DDEC5D5E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548-457F-A936-755DDEC5D5E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8548-457F-A936-755DDEC5D5E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8548-457F-A936-755DDEC5D5E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8548-457F-A936-755DDEC5D5E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8548-457F-A936-755DDEC5D5E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8548-457F-A936-755DDEC5D5E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8548-457F-A936-755DDEC5D5E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8548-457F-A936-755DDEC5D5E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8548-457F-A936-755DDEC5D5E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8548-457F-A936-755DDEC5D5E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8548-457F-A936-755DDEC5D5E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8548-457F-A936-755DDEC5D5E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8548-457F-A936-755DDEC5D5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'Задача 3'!$A$3:$A$24</c:f>
              <c:strCache>
                <c:ptCount val="22"/>
                <c:pt idx="0">
                  <c:v>Алкогольні напої</c:v>
                </c:pt>
                <c:pt idx="1">
                  <c:v>Бакалія</c:v>
                </c:pt>
                <c:pt idx="2">
                  <c:v>Безпалкогольні напої</c:v>
                </c:pt>
                <c:pt idx="3">
                  <c:v>Замороження штучне</c:v>
                </c:pt>
                <c:pt idx="4">
                  <c:v>Кондитерська продукція</c:v>
                </c:pt>
                <c:pt idx="5">
                  <c:v>Корм для домашніх тварин</c:v>
                </c:pt>
                <c:pt idx="6">
                  <c:v>Товари для тварин</c:v>
                </c:pt>
                <c:pt idx="7">
                  <c:v>Кулінарія</c:v>
                </c:pt>
                <c:pt idx="8">
                  <c:v>Молочний гастроном</c:v>
                </c:pt>
                <c:pt idx="9">
                  <c:v>М'ясний гастроном</c:v>
                </c:pt>
                <c:pt idx="10">
                  <c:v>М'ясо, птиця глибокої заморозки</c:v>
                </c:pt>
                <c:pt idx="11">
                  <c:v>М'ясо свіже</c:v>
                </c:pt>
                <c:pt idx="12">
                  <c:v>Овочі, фрукти</c:v>
                </c:pt>
                <c:pt idx="13">
                  <c:v>Друковані видання</c:v>
                </c:pt>
                <c:pt idx="14">
                  <c:v>Рослинна олія</c:v>
                </c:pt>
                <c:pt idx="15">
                  <c:v>Риба та морепродукти</c:v>
                </c:pt>
                <c:pt idx="16">
                  <c:v>Супутні товари</c:v>
                </c:pt>
                <c:pt idx="17">
                  <c:v>Соуси і приправи</c:v>
                </c:pt>
                <c:pt idx="18">
                  <c:v>Тара, ящики</c:v>
                </c:pt>
                <c:pt idx="19">
                  <c:v>Товари для дітей</c:v>
                </c:pt>
                <c:pt idx="20">
                  <c:v>Хліб і хлібобулочні вироби</c:v>
                </c:pt>
                <c:pt idx="21">
                  <c:v>Яйця</c:v>
                </c:pt>
              </c:strCache>
            </c:strRef>
          </c:cat>
          <c:val>
            <c:numRef>
              <c:f>'Задача 3'!$F$3:$F$24</c:f>
              <c:numCache>
                <c:formatCode>General</c:formatCode>
                <c:ptCount val="22"/>
                <c:pt idx="0">
                  <c:v>19.649819210278292</c:v>
                </c:pt>
                <c:pt idx="1">
                  <c:v>6.535417022080714</c:v>
                </c:pt>
                <c:pt idx="2">
                  <c:v>7.3816688621728259</c:v>
                </c:pt>
                <c:pt idx="3">
                  <c:v>3.7706816777927141</c:v>
                </c:pt>
                <c:pt idx="4">
                  <c:v>8.7302685357097563</c:v>
                </c:pt>
                <c:pt idx="5">
                  <c:v>2.6908092223374527</c:v>
                </c:pt>
                <c:pt idx="6">
                  <c:v>0.78639571756117665</c:v>
                </c:pt>
                <c:pt idx="7">
                  <c:v>3.4330603167195952</c:v>
                </c:pt>
                <c:pt idx="8">
                  <c:v>10.493464192144602</c:v>
                </c:pt>
                <c:pt idx="9">
                  <c:v>7.9560179634809254</c:v>
                </c:pt>
                <c:pt idx="10">
                  <c:v>1.0476287067853158</c:v>
                </c:pt>
                <c:pt idx="11">
                  <c:v>2.5487315406981574</c:v>
                </c:pt>
                <c:pt idx="12">
                  <c:v>10.874888197244195</c:v>
                </c:pt>
                <c:pt idx="13">
                  <c:v>0.15858061845854948</c:v>
                </c:pt>
                <c:pt idx="14">
                  <c:v>0.3811504217775451</c:v>
                </c:pt>
                <c:pt idx="15">
                  <c:v>3.7383402207934657</c:v>
                </c:pt>
                <c:pt idx="16">
                  <c:v>6.519344001910393</c:v>
                </c:pt>
                <c:pt idx="17">
                  <c:v>0.55552070625143757</c:v>
                </c:pt>
                <c:pt idx="18">
                  <c:v>0.10779182888692039</c:v>
                </c:pt>
                <c:pt idx="19">
                  <c:v>0.43343414878750802</c:v>
                </c:pt>
                <c:pt idx="20">
                  <c:v>1.8382454241723762</c:v>
                </c:pt>
                <c:pt idx="21">
                  <c:v>0.36874146395608126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8-4DE5-BF14-DE478BE3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986409158546149"/>
          <c:y val="4.8019560374990673E-2"/>
          <c:w val="0.39600697058863887"/>
          <c:h val="0.3798873744652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uk-UA"/>
              <a:t>Прирост продаж у</a:t>
            </a:r>
            <a:r>
              <a:rPr lang="uk-UA" baseline="0"/>
              <a:t> травні в порівнянні з квітнем</a:t>
            </a:r>
            <a:endParaRPr lang="en-US"/>
          </a:p>
        </c:rich>
      </c:tx>
      <c:layout>
        <c:manualLayout>
          <c:xMode val="edge"/>
          <c:yMode val="edge"/>
          <c:x val="0.18683972567945137"/>
          <c:y val="2.8155503868950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04191008382015"/>
          <c:y val="0.16817953828989854"/>
          <c:w val="0.87620540174413686"/>
          <c:h val="0.59833529664513019"/>
        </c:manualLayout>
      </c:layout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'Задача 3'!$A$3:$A$24</c:f>
              <c:strCache>
                <c:ptCount val="22"/>
                <c:pt idx="0">
                  <c:v>Алкогольні напої</c:v>
                </c:pt>
                <c:pt idx="1">
                  <c:v>Бакалія</c:v>
                </c:pt>
                <c:pt idx="2">
                  <c:v>Безпалкогольні напої</c:v>
                </c:pt>
                <c:pt idx="3">
                  <c:v>Замороження штучне</c:v>
                </c:pt>
                <c:pt idx="4">
                  <c:v>Кондитерська продукція</c:v>
                </c:pt>
                <c:pt idx="5">
                  <c:v>Корм для домашніх тварин</c:v>
                </c:pt>
                <c:pt idx="6">
                  <c:v>Товари для тварин</c:v>
                </c:pt>
                <c:pt idx="7">
                  <c:v>Кулінарія</c:v>
                </c:pt>
                <c:pt idx="8">
                  <c:v>Молочний гастроном</c:v>
                </c:pt>
                <c:pt idx="9">
                  <c:v>М'ясний гастроном</c:v>
                </c:pt>
                <c:pt idx="10">
                  <c:v>М'ясо, птиця глибокої заморозки</c:v>
                </c:pt>
                <c:pt idx="11">
                  <c:v>М'ясо свіже</c:v>
                </c:pt>
                <c:pt idx="12">
                  <c:v>Овочі, фрукти</c:v>
                </c:pt>
                <c:pt idx="13">
                  <c:v>Друковані видання</c:v>
                </c:pt>
                <c:pt idx="14">
                  <c:v>Рослинна олія</c:v>
                </c:pt>
                <c:pt idx="15">
                  <c:v>Риба та морепродукти</c:v>
                </c:pt>
                <c:pt idx="16">
                  <c:v>Супутні товари</c:v>
                </c:pt>
                <c:pt idx="17">
                  <c:v>Соуси і приправи</c:v>
                </c:pt>
                <c:pt idx="18">
                  <c:v>Тара, ящики</c:v>
                </c:pt>
                <c:pt idx="19">
                  <c:v>Товари для дітей</c:v>
                </c:pt>
                <c:pt idx="20">
                  <c:v>Хліб і хлібобулочні вироби</c:v>
                </c:pt>
                <c:pt idx="21">
                  <c:v>Яйця</c:v>
                </c:pt>
              </c:strCache>
            </c:strRef>
          </c:cat>
          <c:val>
            <c:numRef>
              <c:f>'Задача 3'!$D$3:$D$24</c:f>
              <c:numCache>
                <c:formatCode>General</c:formatCode>
                <c:ptCount val="22"/>
                <c:pt idx="0">
                  <c:v>16.562222152669825</c:v>
                </c:pt>
                <c:pt idx="1">
                  <c:v>-9.5894373450624073</c:v>
                </c:pt>
                <c:pt idx="2">
                  <c:v>17.141758459859087</c:v>
                </c:pt>
                <c:pt idx="3">
                  <c:v>9.8550493606458449</c:v>
                </c:pt>
                <c:pt idx="4">
                  <c:v>-13.580195568279638</c:v>
                </c:pt>
                <c:pt idx="5">
                  <c:v>-25.027496161426971</c:v>
                </c:pt>
                <c:pt idx="6">
                  <c:v>-7.2572653315203617</c:v>
                </c:pt>
                <c:pt idx="7">
                  <c:v>-24.918370486870899</c:v>
                </c:pt>
                <c:pt idx="8">
                  <c:v>-7.9583962537430857</c:v>
                </c:pt>
                <c:pt idx="9">
                  <c:v>-7.3059059241382451</c:v>
                </c:pt>
                <c:pt idx="10">
                  <c:v>-25.324901450042486</c:v>
                </c:pt>
                <c:pt idx="11">
                  <c:v>-4.1654879513867202</c:v>
                </c:pt>
                <c:pt idx="12">
                  <c:v>-15.85221374692194</c:v>
                </c:pt>
                <c:pt idx="13">
                  <c:v>58.063887806778339</c:v>
                </c:pt>
                <c:pt idx="14">
                  <c:v>-24.995673825684015</c:v>
                </c:pt>
                <c:pt idx="15">
                  <c:v>-15.566118930656886</c:v>
                </c:pt>
                <c:pt idx="16">
                  <c:v>-4.1246964493555387</c:v>
                </c:pt>
                <c:pt idx="17">
                  <c:v>-15.914872219592995</c:v>
                </c:pt>
                <c:pt idx="18">
                  <c:v>-22.750507667530286</c:v>
                </c:pt>
                <c:pt idx="19">
                  <c:v>8.010713416118822</c:v>
                </c:pt>
                <c:pt idx="20">
                  <c:v>-10.450659710983759</c:v>
                </c:pt>
                <c:pt idx="21">
                  <c:v>-24.701211117540254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B-437A-BB4F-F91203842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2023359"/>
        <c:axId val="782012127"/>
        <c:axId val="0"/>
      </c:bar3DChart>
      <c:catAx>
        <c:axId val="78202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12127"/>
        <c:crosses val="autoZero"/>
        <c:auto val="1"/>
        <c:lblAlgn val="ctr"/>
        <c:lblOffset val="100"/>
        <c:noMultiLvlLbl val="0"/>
      </c:catAx>
      <c:valAx>
        <c:axId val="7820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2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Діаграма Парето</a:t>
            </a:r>
            <a:endParaRPr lang="en-US"/>
          </a:p>
        </c:rich>
      </c:tx>
      <c:layout>
        <c:manualLayout>
          <c:xMode val="edge"/>
          <c:yMode val="edge"/>
          <c:x val="0.2534790026246719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'Задача 7'!$B$1</c:f>
              <c:strCache>
                <c:ptCount val="1"/>
                <c:pt idx="0">
                  <c:v>Середній запас за рік за
позицією, грн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'Задача 7'!$B$2:$B$12</c:f>
              <c:numCache>
                <c:formatCode>General</c:formatCode>
                <c:ptCount val="11"/>
                <c:pt idx="1">
                  <c:v>4900</c:v>
                </c:pt>
                <c:pt idx="2">
                  <c:v>3800</c:v>
                </c:pt>
                <c:pt idx="3">
                  <c:v>2500</c:v>
                </c:pt>
                <c:pt idx="4">
                  <c:v>1900</c:v>
                </c:pt>
                <c:pt idx="5">
                  <c:v>900</c:v>
                </c:pt>
                <c:pt idx="6">
                  <c:v>690</c:v>
                </c:pt>
                <c:pt idx="7">
                  <c:v>450</c:v>
                </c:pt>
                <c:pt idx="8">
                  <c:v>200</c:v>
                </c:pt>
                <c:pt idx="9">
                  <c:v>150</c:v>
                </c:pt>
                <c:pt idx="1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A-4FCD-AE96-9B204B37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0867632"/>
        <c:axId val="1230855152"/>
      </c:barChart>
      <c:lineChart>
        <c:grouping val="standard"/>
        <c:varyColors val="0"/>
        <c:ser>
          <c:idx val="1"/>
          <c:order val="1"/>
          <c:tx>
            <c:strRef>
              <c:f>'Задача 7'!$H$2</c:f>
              <c:strCache>
                <c:ptCount val="1"/>
                <c:pt idx="0">
                  <c:v>Частка з нарост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'Задача 7'!$H$3:$H$12</c:f>
              <c:numCache>
                <c:formatCode>0.00%</c:formatCode>
                <c:ptCount val="10"/>
                <c:pt idx="0">
                  <c:v>0.3132992327365729</c:v>
                </c:pt>
                <c:pt idx="1">
                  <c:v>0.55626598465473143</c:v>
                </c:pt>
                <c:pt idx="2">
                  <c:v>0.71611253196930946</c:v>
                </c:pt>
                <c:pt idx="3">
                  <c:v>0.83759590792838878</c:v>
                </c:pt>
                <c:pt idx="4">
                  <c:v>0.89514066496163691</c:v>
                </c:pt>
                <c:pt idx="5">
                  <c:v>0.9392583120204604</c:v>
                </c:pt>
                <c:pt idx="6">
                  <c:v>0.96803069053708446</c:v>
                </c:pt>
                <c:pt idx="7">
                  <c:v>0.9808184143222507</c:v>
                </c:pt>
                <c:pt idx="8">
                  <c:v>0.99040920716112535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A-4FCD-AE96-9B204B37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845920"/>
        <c:axId val="1217842592"/>
      </c:lineChart>
      <c:catAx>
        <c:axId val="123086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55152"/>
        <c:crosses val="autoZero"/>
        <c:auto val="1"/>
        <c:lblAlgn val="ctr"/>
        <c:lblOffset val="100"/>
        <c:noMultiLvlLbl val="0"/>
      </c:catAx>
      <c:valAx>
        <c:axId val="12308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67632"/>
        <c:crosses val="autoZero"/>
        <c:crossBetween val="between"/>
      </c:valAx>
      <c:valAx>
        <c:axId val="12178425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45920"/>
        <c:crosses val="max"/>
        <c:crossBetween val="between"/>
      </c:valAx>
      <c:catAx>
        <c:axId val="1217845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2178425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089889841147646E-2"/>
          <c:y val="5.5553846757856448E-2"/>
          <c:w val="0.81861635639292663"/>
          <c:h val="0.78063238685112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'Задача 7'!$J$1</c:f>
              <c:strCache>
                <c:ptCount val="1"/>
                <c:pt idx="0">
                  <c:v>Реалізація за рік, грн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'Задача 7'!$J$2:$J$12</c:f>
              <c:numCache>
                <c:formatCode>General</c:formatCode>
                <c:ptCount val="11"/>
                <c:pt idx="1">
                  <c:v>15300</c:v>
                </c:pt>
                <c:pt idx="2">
                  <c:v>14300</c:v>
                </c:pt>
                <c:pt idx="3">
                  <c:v>6900</c:v>
                </c:pt>
                <c:pt idx="4">
                  <c:v>7800</c:v>
                </c:pt>
                <c:pt idx="5">
                  <c:v>4940</c:v>
                </c:pt>
                <c:pt idx="6">
                  <c:v>3600</c:v>
                </c:pt>
                <c:pt idx="7">
                  <c:v>1880</c:v>
                </c:pt>
                <c:pt idx="8">
                  <c:v>2400</c:v>
                </c:pt>
                <c:pt idx="9">
                  <c:v>1280</c:v>
                </c:pt>
                <c:pt idx="10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E-4B9A-B0CB-CF1209C5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7730032"/>
        <c:axId val="1227727536"/>
      </c:barChart>
      <c:lineChart>
        <c:grouping val="standard"/>
        <c:varyColors val="0"/>
        <c:ser>
          <c:idx val="1"/>
          <c:order val="1"/>
          <c:tx>
            <c:strRef>
              <c:f>'Задача 7'!$L$2</c:f>
              <c:strCache>
                <c:ptCount val="1"/>
                <c:pt idx="0">
                  <c:v>Частка нарост,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'Задача 7'!$L$3:$L$12</c:f>
              <c:numCache>
                <c:formatCode>0.00%</c:formatCode>
                <c:ptCount val="10"/>
                <c:pt idx="0">
                  <c:v>0.26055858310626701</c:v>
                </c:pt>
                <c:pt idx="1">
                  <c:v>0.50408719346049047</c:v>
                </c:pt>
                <c:pt idx="2">
                  <c:v>0.62159400544959131</c:v>
                </c:pt>
                <c:pt idx="3">
                  <c:v>0.75442779291553141</c:v>
                </c:pt>
                <c:pt idx="4">
                  <c:v>0.83855585831062673</c:v>
                </c:pt>
                <c:pt idx="5">
                  <c:v>0.89986376021798364</c:v>
                </c:pt>
                <c:pt idx="6">
                  <c:v>0.93188010899182561</c:v>
                </c:pt>
                <c:pt idx="7">
                  <c:v>0.97275204359673029</c:v>
                </c:pt>
                <c:pt idx="8">
                  <c:v>0.99455040871934608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E-4B9A-B0CB-CF1209C5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926592"/>
        <c:axId val="1208929088"/>
      </c:lineChart>
      <c:catAx>
        <c:axId val="122773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27536"/>
        <c:crosses val="autoZero"/>
        <c:auto val="1"/>
        <c:lblAlgn val="ctr"/>
        <c:lblOffset val="100"/>
        <c:noMultiLvlLbl val="0"/>
      </c:catAx>
      <c:valAx>
        <c:axId val="12277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30032"/>
        <c:crosses val="autoZero"/>
        <c:crossBetween val="between"/>
      </c:valAx>
      <c:valAx>
        <c:axId val="1208929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926592"/>
        <c:crosses val="max"/>
        <c:crossBetween val="between"/>
      </c:valAx>
      <c:catAx>
        <c:axId val="1208926592"/>
        <c:scaling>
          <c:orientation val="minMax"/>
        </c:scaling>
        <c:delete val="1"/>
        <c:axPos val="b"/>
        <c:majorTickMark val="out"/>
        <c:minorTickMark val="none"/>
        <c:tickLblPos val="nextTo"/>
        <c:crossAx val="12089290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Виручка від продажів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'Задача 8'!$C$16:$M$16</c:f>
              <c:numCache>
                <c:formatCode>General</c:formatCode>
                <c:ptCount val="11"/>
                <c:pt idx="0">
                  <c:v>4879</c:v>
                </c:pt>
                <c:pt idx="1">
                  <c:v>4879</c:v>
                </c:pt>
                <c:pt idx="2">
                  <c:v>4879</c:v>
                </c:pt>
                <c:pt idx="3">
                  <c:v>4879</c:v>
                </c:pt>
                <c:pt idx="4">
                  <c:v>4879</c:v>
                </c:pt>
                <c:pt idx="5">
                  <c:v>4879</c:v>
                </c:pt>
                <c:pt idx="6">
                  <c:v>4879</c:v>
                </c:pt>
                <c:pt idx="7">
                  <c:v>4879</c:v>
                </c:pt>
                <c:pt idx="8">
                  <c:v>4879</c:v>
                </c:pt>
                <c:pt idx="9">
                  <c:v>4879</c:v>
                </c:pt>
                <c:pt idx="10">
                  <c:v>4879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5-4DE2-B0FC-58E0066DE1D4}"/>
            </c:ext>
          </c:extLst>
        </c:ser>
        <c:ser>
          <c:idx val="1"/>
          <c:order val="1"/>
          <c:tx>
            <c:v>Змінні витрати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'Задача 8'!$C$17:$M$17</c:f>
              <c:numCache>
                <c:formatCode>General</c:formatCode>
                <c:ptCount val="11"/>
                <c:pt idx="0">
                  <c:v>4879</c:v>
                </c:pt>
                <c:pt idx="1">
                  <c:v>6953.2000000000007</c:v>
                </c:pt>
                <c:pt idx="2">
                  <c:v>9027.4000000000015</c:v>
                </c:pt>
                <c:pt idx="3">
                  <c:v>11101.599999999999</c:v>
                </c:pt>
                <c:pt idx="4">
                  <c:v>13175.800000000001</c:v>
                </c:pt>
                <c:pt idx="5">
                  <c:v>15250</c:v>
                </c:pt>
                <c:pt idx="6">
                  <c:v>17324.199999999997</c:v>
                </c:pt>
                <c:pt idx="7">
                  <c:v>19398.400000000001</c:v>
                </c:pt>
                <c:pt idx="8">
                  <c:v>21472.600000000002</c:v>
                </c:pt>
                <c:pt idx="9">
                  <c:v>23546.799999999999</c:v>
                </c:pt>
                <c:pt idx="10">
                  <c:v>25621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5-4DE2-B0FC-58E0066DE1D4}"/>
            </c:ext>
          </c:extLst>
        </c:ser>
        <c:ser>
          <c:idx val="2"/>
          <c:order val="2"/>
          <c:tx>
            <c:v>Виручка від продажів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'Задача 8'!$C$18:$M$18</c:f>
              <c:numCache>
                <c:formatCode>General</c:formatCode>
                <c:ptCount val="11"/>
                <c:pt idx="1">
                  <c:v>3279.3</c:v>
                </c:pt>
                <c:pt idx="2">
                  <c:v>6558.6</c:v>
                </c:pt>
                <c:pt idx="3">
                  <c:v>9837.9</c:v>
                </c:pt>
                <c:pt idx="4">
                  <c:v>13117.2</c:v>
                </c:pt>
                <c:pt idx="5">
                  <c:v>16396.5</c:v>
                </c:pt>
                <c:pt idx="6">
                  <c:v>19675.8</c:v>
                </c:pt>
                <c:pt idx="7">
                  <c:v>22955.1</c:v>
                </c:pt>
                <c:pt idx="8">
                  <c:v>26234.400000000001</c:v>
                </c:pt>
                <c:pt idx="9">
                  <c:v>29513.7</c:v>
                </c:pt>
                <c:pt idx="10">
                  <c:v>32793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C5-4DE2-B0FC-58E0066D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869712"/>
        <c:axId val="1230865968"/>
      </c:lineChart>
      <c:catAx>
        <c:axId val="123086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65968"/>
        <c:crosses val="autoZero"/>
        <c:auto val="1"/>
        <c:lblAlgn val="ctr"/>
        <c:lblOffset val="100"/>
        <c:noMultiLvlLbl val="0"/>
      </c:catAx>
      <c:valAx>
        <c:axId val="12308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35870516185477"/>
          <c:y val="2.5428331875182269E-2"/>
          <c:w val="0.85219685039370074"/>
          <c:h val="0.66459025955088946"/>
        </c:manualLayout>
      </c:layout>
      <c:lineChart>
        <c:grouping val="standard"/>
        <c:varyColors val="0"/>
        <c:ser>
          <c:idx val="0"/>
          <c:order val="0"/>
          <c:tx>
            <c:strRef>
              <c:f>'Задача 9'!$A$11</c:f>
              <c:strCache>
                <c:ptCount val="1"/>
                <c:pt idx="0">
                  <c:v>Виручка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9'!$B$10:$L$10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'Задача 9'!$B$11:$L$11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A-4057-B7D4-A14AD6B07338}"/>
            </c:ext>
          </c:extLst>
        </c:ser>
        <c:ser>
          <c:idx val="1"/>
          <c:order val="1"/>
          <c:tx>
            <c:strRef>
              <c:f>'Задача 9'!$A$12</c:f>
              <c:strCache>
                <c:ptCount val="1"/>
                <c:pt idx="0">
                  <c:v>Постійні витрати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'Задача 9'!$B$10:$L$10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'Задача 9'!$B$12:$L$12</c:f>
              <c:numCache>
                <c:formatCode>General</c:formatCode>
                <c:ptCount val="11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15000</c:v>
                </c:pt>
                <c:pt idx="4">
                  <c:v>15000</c:v>
                </c:pt>
                <c:pt idx="5">
                  <c:v>15000</c:v>
                </c:pt>
                <c:pt idx="6">
                  <c:v>15000</c:v>
                </c:pt>
                <c:pt idx="7">
                  <c:v>15000</c:v>
                </c:pt>
                <c:pt idx="8">
                  <c:v>15000</c:v>
                </c:pt>
                <c:pt idx="9">
                  <c:v>15000</c:v>
                </c:pt>
                <c:pt idx="10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A-4057-B7D4-A14AD6B07338}"/>
            </c:ext>
          </c:extLst>
        </c:ser>
        <c:ser>
          <c:idx val="2"/>
          <c:order val="2"/>
          <c:tx>
            <c:strRef>
              <c:f>'Задача 9'!$A$13</c:f>
              <c:strCache>
                <c:ptCount val="1"/>
                <c:pt idx="0">
                  <c:v>Змінні витрати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'Задача 9'!$B$10:$L$10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'Задача 9'!$B$13:$L$13</c:f>
              <c:numCache>
                <c:formatCode>General</c:formatCode>
                <c:ptCount val="11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A-4057-B7D4-A14AD6B07338}"/>
            </c:ext>
          </c:extLst>
        </c:ser>
        <c:ser>
          <c:idx val="3"/>
          <c:order val="3"/>
          <c:tx>
            <c:strRef>
              <c:f>'Задача 9'!$A$14</c:f>
              <c:strCache>
                <c:ptCount val="1"/>
                <c:pt idx="0">
                  <c:v>Валові витрати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'Задача 9'!$B$10:$L$10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'Задача 9'!$B$14:$L$14</c:f>
              <c:numCache>
                <c:formatCode>General</c:formatCode>
                <c:ptCount val="11"/>
                <c:pt idx="0">
                  <c:v>15000</c:v>
                </c:pt>
                <c:pt idx="1">
                  <c:v>17500</c:v>
                </c:pt>
                <c:pt idx="2">
                  <c:v>20000</c:v>
                </c:pt>
                <c:pt idx="3">
                  <c:v>22500</c:v>
                </c:pt>
                <c:pt idx="4">
                  <c:v>25000</c:v>
                </c:pt>
                <c:pt idx="5">
                  <c:v>27500</c:v>
                </c:pt>
                <c:pt idx="6">
                  <c:v>30000</c:v>
                </c:pt>
                <c:pt idx="7">
                  <c:v>32500</c:v>
                </c:pt>
                <c:pt idx="8">
                  <c:v>35000</c:v>
                </c:pt>
                <c:pt idx="9">
                  <c:v>37500</c:v>
                </c:pt>
                <c:pt idx="10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3A-4057-B7D4-A14AD6B07338}"/>
            </c:ext>
          </c:extLst>
        </c:ser>
        <c:ser>
          <c:idx val="4"/>
          <c:order val="4"/>
          <c:tx>
            <c:strRef>
              <c:f>'Задача 9'!$A$15</c:f>
              <c:strCache>
                <c:ptCount val="1"/>
                <c:pt idx="0">
                  <c:v>Реалізація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'Задача 9'!$B$10:$L$10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'Задача 9'!$B$15:$L$15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3A-4057-B7D4-A14AD6B07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70544"/>
        <c:axId val="1230862224"/>
      </c:lineChart>
      <c:catAx>
        <c:axId val="123087054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62224"/>
        <c:crosses val="autoZero"/>
        <c:auto val="1"/>
        <c:lblAlgn val="ctr"/>
        <c:lblOffset val="100"/>
        <c:noMultiLvlLbl val="0"/>
      </c:catAx>
      <c:valAx>
        <c:axId val="12308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7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'Задача 9'!$A$11</c:f>
              <c:strCache>
                <c:ptCount val="1"/>
                <c:pt idx="0">
                  <c:v>Виручка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9'!$B$10:$L$10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'Задача 9'!$B$11:$L$11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0-4816-893C-758347772198}"/>
            </c:ext>
          </c:extLst>
        </c:ser>
        <c:ser>
          <c:idx val="1"/>
          <c:order val="1"/>
          <c:tx>
            <c:strRef>
              <c:f>'Задача 9'!$A$14</c:f>
              <c:strCache>
                <c:ptCount val="1"/>
                <c:pt idx="0">
                  <c:v>Валові витрати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'Задача 9'!$B$10:$L$10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'Задача 9'!$B$14:$L$14</c:f>
              <c:numCache>
                <c:formatCode>General</c:formatCode>
                <c:ptCount val="11"/>
                <c:pt idx="0">
                  <c:v>15000</c:v>
                </c:pt>
                <c:pt idx="1">
                  <c:v>17500</c:v>
                </c:pt>
                <c:pt idx="2">
                  <c:v>20000</c:v>
                </c:pt>
                <c:pt idx="3">
                  <c:v>22500</c:v>
                </c:pt>
                <c:pt idx="4">
                  <c:v>25000</c:v>
                </c:pt>
                <c:pt idx="5">
                  <c:v>27500</c:v>
                </c:pt>
                <c:pt idx="6">
                  <c:v>30000</c:v>
                </c:pt>
                <c:pt idx="7">
                  <c:v>32500</c:v>
                </c:pt>
                <c:pt idx="8">
                  <c:v>35000</c:v>
                </c:pt>
                <c:pt idx="9">
                  <c:v>37500</c:v>
                </c:pt>
                <c:pt idx="10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0-4816-893C-758347772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63888"/>
        <c:axId val="1230874288"/>
      </c:lineChart>
      <c:catAx>
        <c:axId val="123086388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74288"/>
        <c:crosses val="autoZero"/>
        <c:auto val="1"/>
        <c:lblAlgn val="ctr"/>
        <c:lblOffset val="100"/>
        <c:noMultiLvlLbl val="0"/>
      </c:catAx>
      <c:valAx>
        <c:axId val="12308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223836</xdr:colOff>
      <xdr:row>20</xdr:row>
      <xdr:rowOff>61912</xdr:rowOff>
    </xdr:from>
    <xdr:to>
      <xdr:col>7</xdr:col>
      <xdr:colOff>381000</xdr:colOff>
      <xdr:row>34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291040</xdr:colOff>
      <xdr:row>0</xdr:row>
      <xdr:rowOff>10584</xdr:rowOff>
    </xdr:from>
    <xdr:to>
      <xdr:col>15</xdr:col>
      <xdr:colOff>412749</xdr:colOff>
      <xdr:row>23</xdr:row>
      <xdr:rowOff>21166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518582</xdr:colOff>
      <xdr:row>0</xdr:row>
      <xdr:rowOff>0</xdr:rowOff>
    </xdr:from>
    <xdr:to>
      <xdr:col>25</xdr:col>
      <xdr:colOff>137582</xdr:colOff>
      <xdr:row>23</xdr:row>
      <xdr:rowOff>169333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455083</xdr:colOff>
      <xdr:row>24</xdr:row>
      <xdr:rowOff>67733</xdr:rowOff>
    </xdr:from>
    <xdr:to>
      <xdr:col>19</xdr:col>
      <xdr:colOff>222250</xdr:colOff>
      <xdr:row>47</xdr:row>
      <xdr:rowOff>148167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9524</xdr:rowOff>
    </xdr:from>
    <xdr:to>
      <xdr:col>6</xdr:col>
      <xdr:colOff>973666</xdr:colOff>
      <xdr:row>33</xdr:row>
      <xdr:rowOff>10583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150812</xdr:colOff>
      <xdr:row>13</xdr:row>
      <xdr:rowOff>17461</xdr:rowOff>
    </xdr:from>
    <xdr:to>
      <xdr:col>16</xdr:col>
      <xdr:colOff>222250</xdr:colOff>
      <xdr:row>34</xdr:row>
      <xdr:rowOff>15874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52917</xdr:colOff>
      <xdr:row>18</xdr:row>
      <xdr:rowOff>104774</xdr:rowOff>
    </xdr:from>
    <xdr:to>
      <xdr:col>12</xdr:col>
      <xdr:colOff>26457</xdr:colOff>
      <xdr:row>36</xdr:row>
      <xdr:rowOff>52916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1000124</xdr:colOff>
      <xdr:row>15</xdr:row>
      <xdr:rowOff>84667</xdr:rowOff>
    </xdr:from>
    <xdr:to>
      <xdr:col>9</xdr:col>
      <xdr:colOff>37041</xdr:colOff>
      <xdr:row>31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1021291</xdr:colOff>
      <xdr:row>31</xdr:row>
      <xdr:rowOff>136524</xdr:rowOff>
    </xdr:from>
    <xdr:to>
      <xdr:col>9</xdr:col>
      <xdr:colOff>58208</xdr:colOff>
      <xdr:row>46</xdr:row>
      <xdr:rowOff>22224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489856</xdr:colOff>
      <xdr:row>12</xdr:row>
      <xdr:rowOff>295275</xdr:rowOff>
    </xdr:from>
    <xdr:to>
      <xdr:col>24</xdr:col>
      <xdr:colOff>61231</xdr:colOff>
      <xdr:row>33</xdr:row>
      <xdr:rowOff>108857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238125</xdr:colOff>
      <xdr:row>35</xdr:row>
      <xdr:rowOff>131988</xdr:rowOff>
    </xdr:from>
    <xdr:to>
      <xdr:col>31</xdr:col>
      <xdr:colOff>299357</xdr:colOff>
      <xdr:row>58</xdr:row>
      <xdr:rowOff>81643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zoomScale="90" zoomScaleNormal="90" workbookViewId="0">
      <selection activeCell="L23" sqref="L23"/>
    </sheetView>
  </sheetViews>
  <sheetFormatPr defaultRowHeight="15" outlineLevelRow="5" x14ac:dyDescent="0.25"/>
  <cols>
    <col min="1" max="1" width="19.85546875" customWidth="1"/>
    <col min="2" max="2" width="12.5703125" customWidth="1"/>
    <col min="3" max="3" width="10.42578125" customWidth="1"/>
    <col min="4" max="4" width="12" customWidth="1"/>
    <col min="6" max="6" width="18.28515625" customWidth="1"/>
  </cols>
  <sheetData>
    <row r="1" spans="1:6" ht="45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</row>
    <row r="2" spans="1:6" outlineLevel="5" x14ac:dyDescent="0.25">
      <c r="A2" s="2" t="s">
        <v>6</v>
      </c>
      <c r="B2" s="1" t="s">
        <v>12</v>
      </c>
      <c r="C2" s="1">
        <v>5</v>
      </c>
      <c r="D2" s="3" t="s">
        <v>20</v>
      </c>
      <c r="E2" s="1">
        <v>10000</v>
      </c>
      <c r="F2" s="1">
        <f>E2*C2</f>
        <v>50000</v>
      </c>
    </row>
    <row r="3" spans="1:6" outlineLevel="5" x14ac:dyDescent="0.25">
      <c r="A3" s="2" t="s">
        <v>6</v>
      </c>
      <c r="B3" s="1" t="s">
        <v>12</v>
      </c>
      <c r="C3" s="1">
        <v>3</v>
      </c>
      <c r="D3" s="3" t="s">
        <v>18</v>
      </c>
      <c r="E3" s="1">
        <v>10000</v>
      </c>
      <c r="F3" s="1">
        <f>E3*C3</f>
        <v>30000</v>
      </c>
    </row>
    <row r="4" spans="1:6" outlineLevel="5" x14ac:dyDescent="0.25">
      <c r="A4" s="2" t="s">
        <v>6</v>
      </c>
      <c r="B4" s="1" t="s">
        <v>13</v>
      </c>
      <c r="C4" s="1">
        <v>1</v>
      </c>
      <c r="D4" s="3" t="s">
        <v>21</v>
      </c>
      <c r="E4" s="1">
        <v>20000</v>
      </c>
      <c r="F4" s="1">
        <f>E4*C4</f>
        <v>20000</v>
      </c>
    </row>
    <row r="5" spans="1:6" outlineLevel="4" x14ac:dyDescent="0.25">
      <c r="A5" s="15" t="s">
        <v>36</v>
      </c>
      <c r="B5" s="1"/>
      <c r="C5" s="1"/>
      <c r="D5" s="3"/>
      <c r="E5" s="1">
        <f>SUBTOTAL(1,E2:E4)</f>
        <v>13333.333333333334</v>
      </c>
      <c r="F5" s="1"/>
    </row>
    <row r="6" spans="1:6" outlineLevel="3" x14ac:dyDescent="0.25">
      <c r="A6" s="15" t="s">
        <v>28</v>
      </c>
      <c r="B6" s="1"/>
      <c r="C6" s="1"/>
      <c r="D6" s="3"/>
      <c r="E6" s="1"/>
      <c r="F6" s="1">
        <f>SUBTOTAL(9,F2:F4)</f>
        <v>100000</v>
      </c>
    </row>
    <row r="7" spans="1:6" outlineLevel="2" x14ac:dyDescent="0.25">
      <c r="A7" s="2" t="s">
        <v>11</v>
      </c>
      <c r="B7" s="1" t="s">
        <v>17</v>
      </c>
      <c r="C7" s="1">
        <v>2</v>
      </c>
      <c r="D7" s="3" t="s">
        <v>20</v>
      </c>
      <c r="E7" s="1">
        <v>50000</v>
      </c>
      <c r="F7" s="1">
        <f>E7*C7</f>
        <v>100000</v>
      </c>
    </row>
    <row r="8" spans="1:6" outlineLevel="1" x14ac:dyDescent="0.25">
      <c r="A8" s="2" t="s">
        <v>11</v>
      </c>
      <c r="B8" s="5" t="s">
        <v>15</v>
      </c>
      <c r="C8" s="1">
        <v>4</v>
      </c>
      <c r="D8" s="3" t="s">
        <v>20</v>
      </c>
      <c r="E8" s="1">
        <v>9000</v>
      </c>
      <c r="F8" s="1">
        <f>E8*C8</f>
        <v>36000</v>
      </c>
    </row>
    <row r="9" spans="1:6" outlineLevel="3" x14ac:dyDescent="0.25">
      <c r="A9" s="2" t="s">
        <v>11</v>
      </c>
      <c r="B9" s="1" t="s">
        <v>12</v>
      </c>
      <c r="C9" s="1">
        <v>3</v>
      </c>
      <c r="D9" s="3" t="s">
        <v>22</v>
      </c>
      <c r="E9" s="1">
        <v>10000</v>
      </c>
      <c r="F9" s="1">
        <f>E9*C9</f>
        <v>30000</v>
      </c>
    </row>
    <row r="10" spans="1:6" outlineLevel="3" x14ac:dyDescent="0.25">
      <c r="A10" s="15" t="s">
        <v>37</v>
      </c>
      <c r="B10" s="1"/>
      <c r="C10" s="1"/>
      <c r="D10" s="3"/>
      <c r="E10" s="1">
        <f>SUBTOTAL(1,E7:E9)</f>
        <v>23000</v>
      </c>
      <c r="F10" s="1"/>
    </row>
    <row r="11" spans="1:6" outlineLevel="3" x14ac:dyDescent="0.25">
      <c r="A11" s="15" t="s">
        <v>30</v>
      </c>
      <c r="B11" s="1"/>
      <c r="C11" s="1"/>
      <c r="D11" s="3"/>
      <c r="E11" s="1"/>
      <c r="F11" s="1">
        <f>SUBTOTAL(9,F7:F9)</f>
        <v>166000</v>
      </c>
    </row>
    <row r="12" spans="1:6" outlineLevel="2" x14ac:dyDescent="0.25">
      <c r="A12" s="2" t="s">
        <v>9</v>
      </c>
      <c r="B12" s="1" t="s">
        <v>12</v>
      </c>
      <c r="C12" s="1">
        <v>6</v>
      </c>
      <c r="D12" s="3" t="s">
        <v>25</v>
      </c>
      <c r="E12" s="1">
        <v>10000</v>
      </c>
      <c r="F12" s="1">
        <f>E12*C12</f>
        <v>60000</v>
      </c>
    </row>
    <row r="13" spans="1:6" outlineLevel="1" x14ac:dyDescent="0.25">
      <c r="A13" s="2" t="s">
        <v>9</v>
      </c>
      <c r="B13" s="1" t="s">
        <v>16</v>
      </c>
      <c r="C13" s="1">
        <v>3</v>
      </c>
      <c r="D13" s="3" t="s">
        <v>26</v>
      </c>
      <c r="E13" s="1">
        <v>14000</v>
      </c>
      <c r="F13" s="1">
        <f>E13*C13</f>
        <v>42000</v>
      </c>
    </row>
    <row r="14" spans="1:6" outlineLevel="3" x14ac:dyDescent="0.25">
      <c r="A14" s="2" t="s">
        <v>9</v>
      </c>
      <c r="B14" s="1" t="s">
        <v>15</v>
      </c>
      <c r="C14" s="1">
        <v>2</v>
      </c>
      <c r="D14" s="3" t="s">
        <v>25</v>
      </c>
      <c r="E14" s="1">
        <v>9000</v>
      </c>
      <c r="F14" s="1">
        <f>E14*C14</f>
        <v>18000</v>
      </c>
    </row>
    <row r="15" spans="1:6" outlineLevel="3" x14ac:dyDescent="0.25">
      <c r="A15" s="15" t="s">
        <v>38</v>
      </c>
      <c r="B15" s="1"/>
      <c r="C15" s="1"/>
      <c r="D15" s="3"/>
      <c r="E15" s="1">
        <f>SUBTOTAL(1,E12:E14)</f>
        <v>11000</v>
      </c>
      <c r="F15" s="1"/>
    </row>
    <row r="16" spans="1:6" outlineLevel="3" x14ac:dyDescent="0.25">
      <c r="A16" s="15" t="s">
        <v>31</v>
      </c>
      <c r="B16" s="1"/>
      <c r="C16" s="1"/>
      <c r="D16" s="3"/>
      <c r="E16" s="1"/>
      <c r="F16" s="1">
        <f>SUBTOTAL(9,F12:F14)</f>
        <v>120000</v>
      </c>
    </row>
    <row r="17" spans="1:6" outlineLevel="2" x14ac:dyDescent="0.25">
      <c r="A17" s="2" t="s">
        <v>7</v>
      </c>
      <c r="B17" s="1" t="s">
        <v>13</v>
      </c>
      <c r="C17" s="1">
        <v>2</v>
      </c>
      <c r="D17" s="3" t="s">
        <v>19</v>
      </c>
      <c r="E17" s="1">
        <v>20000</v>
      </c>
      <c r="F17" s="1">
        <f>E17*C17</f>
        <v>40000</v>
      </c>
    </row>
    <row r="18" spans="1:6" outlineLevel="1" x14ac:dyDescent="0.25">
      <c r="A18" s="2" t="s">
        <v>7</v>
      </c>
      <c r="B18" s="1" t="s">
        <v>12</v>
      </c>
      <c r="C18" s="1">
        <v>4</v>
      </c>
      <c r="D18" s="3">
        <v>42705</v>
      </c>
      <c r="E18" s="1">
        <v>10000</v>
      </c>
      <c r="F18" s="1">
        <f>E18*C18</f>
        <v>40000</v>
      </c>
    </row>
    <row r="19" spans="1:6" outlineLevel="3" x14ac:dyDescent="0.25">
      <c r="A19" s="15" t="s">
        <v>39</v>
      </c>
      <c r="B19" s="1"/>
      <c r="C19" s="1"/>
      <c r="D19" s="3"/>
      <c r="E19" s="1">
        <f>SUBTOTAL(1,E17:E18)</f>
        <v>15000</v>
      </c>
      <c r="F19" s="1"/>
    </row>
    <row r="20" spans="1:6" outlineLevel="3" x14ac:dyDescent="0.25">
      <c r="A20" s="15" t="s">
        <v>32</v>
      </c>
      <c r="B20" s="1"/>
      <c r="C20" s="1"/>
      <c r="D20" s="3"/>
      <c r="E20" s="1"/>
      <c r="F20" s="1">
        <f>SUBTOTAL(9,F17:F18)</f>
        <v>80000</v>
      </c>
    </row>
    <row r="21" spans="1:6" outlineLevel="2" x14ac:dyDescent="0.25">
      <c r="A21" s="2" t="s">
        <v>8</v>
      </c>
      <c r="B21" s="4" t="s">
        <v>14</v>
      </c>
      <c r="C21" s="1">
        <v>8</v>
      </c>
      <c r="D21" s="3" t="s">
        <v>22</v>
      </c>
      <c r="E21" s="1">
        <v>15000</v>
      </c>
      <c r="F21" s="1">
        <f>E21*C21</f>
        <v>120000</v>
      </c>
    </row>
    <row r="22" spans="1:6" outlineLevel="1" x14ac:dyDescent="0.25">
      <c r="A22" s="2" t="s">
        <v>8</v>
      </c>
      <c r="B22" s="1" t="s">
        <v>12</v>
      </c>
      <c r="C22" s="1">
        <v>3</v>
      </c>
      <c r="D22" s="3" t="s">
        <v>26</v>
      </c>
      <c r="E22" s="1">
        <v>10000</v>
      </c>
      <c r="F22" s="1">
        <f>E22*C22</f>
        <v>30000</v>
      </c>
    </row>
    <row r="23" spans="1:6" outlineLevel="3" x14ac:dyDescent="0.25">
      <c r="A23" s="2" t="s">
        <v>8</v>
      </c>
      <c r="B23" s="1" t="s">
        <v>16</v>
      </c>
      <c r="C23" s="1">
        <v>2</v>
      </c>
      <c r="D23" s="3" t="s">
        <v>21</v>
      </c>
      <c r="E23" s="1">
        <v>14000</v>
      </c>
      <c r="F23" s="1">
        <f>E23*C23</f>
        <v>28000</v>
      </c>
    </row>
    <row r="24" spans="1:6" outlineLevel="3" x14ac:dyDescent="0.25">
      <c r="A24" s="15" t="s">
        <v>40</v>
      </c>
      <c r="B24" s="1"/>
      <c r="C24" s="1"/>
      <c r="D24" s="3"/>
      <c r="E24" s="1">
        <f>SUBTOTAL(1,E21:E23)</f>
        <v>13000</v>
      </c>
      <c r="F24" s="1"/>
    </row>
    <row r="25" spans="1:6" outlineLevel="3" x14ac:dyDescent="0.25">
      <c r="A25" s="15" t="s">
        <v>33</v>
      </c>
      <c r="B25" s="1"/>
      <c r="C25" s="1"/>
      <c r="D25" s="3"/>
      <c r="E25" s="1"/>
      <c r="F25" s="1">
        <f>SUBTOTAL(9,F21:F23)</f>
        <v>178000</v>
      </c>
    </row>
    <row r="26" spans="1:6" outlineLevel="2" x14ac:dyDescent="0.25">
      <c r="A26" s="2" t="s">
        <v>10</v>
      </c>
      <c r="B26" s="1" t="s">
        <v>16</v>
      </c>
      <c r="C26" s="1">
        <v>10</v>
      </c>
      <c r="D26" s="3" t="s">
        <v>27</v>
      </c>
      <c r="E26" s="1">
        <v>14000</v>
      </c>
      <c r="F26" s="1">
        <f>E26*C26</f>
        <v>140000</v>
      </c>
    </row>
    <row r="27" spans="1:6" outlineLevel="1" x14ac:dyDescent="0.25">
      <c r="A27" s="2" t="s">
        <v>10</v>
      </c>
      <c r="B27" s="1" t="s">
        <v>13</v>
      </c>
      <c r="C27" s="1">
        <v>5</v>
      </c>
      <c r="D27" s="3" t="s">
        <v>24</v>
      </c>
      <c r="E27" s="1">
        <v>20000</v>
      </c>
      <c r="F27" s="1">
        <f>E27*C27</f>
        <v>100000</v>
      </c>
    </row>
    <row r="28" spans="1:6" outlineLevel="3" x14ac:dyDescent="0.25">
      <c r="A28" s="16" t="s">
        <v>41</v>
      </c>
      <c r="B28" s="10"/>
      <c r="C28" s="10"/>
      <c r="D28" s="11"/>
      <c r="E28" s="10">
        <f>SUBTOTAL(1,E26:E27)</f>
        <v>17000</v>
      </c>
      <c r="F28" s="10"/>
    </row>
    <row r="29" spans="1:6" outlineLevel="3" x14ac:dyDescent="0.25">
      <c r="A29" s="16" t="s">
        <v>34</v>
      </c>
      <c r="B29" s="10"/>
      <c r="C29" s="10"/>
      <c r="D29" s="11"/>
      <c r="E29" s="10"/>
      <c r="F29" s="10">
        <f>SUBTOTAL(9,F26:F27)</f>
        <v>240000</v>
      </c>
    </row>
    <row r="30" spans="1:6" outlineLevel="2" x14ac:dyDescent="0.25">
      <c r="A30" s="16" t="s">
        <v>35</v>
      </c>
      <c r="B30" s="10"/>
      <c r="C30" s="10"/>
      <c r="D30" s="11"/>
      <c r="E30" s="10">
        <f>SUBTOTAL(1,E2:E27)</f>
        <v>15312.5</v>
      </c>
      <c r="F30" s="10"/>
    </row>
    <row r="31" spans="1:6" outlineLevel="1" x14ac:dyDescent="0.25">
      <c r="A31" s="16" t="s">
        <v>29</v>
      </c>
      <c r="B31" s="10"/>
      <c r="C31" s="10"/>
      <c r="D31" s="11"/>
      <c r="E31" s="10"/>
      <c r="F31" s="10">
        <f>SUBTOTAL(9,F2:F27)</f>
        <v>884000</v>
      </c>
    </row>
    <row r="33" spans="1:6" ht="45" x14ac:dyDescent="0.25">
      <c r="A33" s="6" t="s">
        <v>0</v>
      </c>
      <c r="B33" s="6" t="s">
        <v>1</v>
      </c>
      <c r="C33" s="6" t="s">
        <v>2</v>
      </c>
      <c r="D33" s="7" t="s">
        <v>3</v>
      </c>
      <c r="E33" s="6" t="s">
        <v>4</v>
      </c>
      <c r="F33" s="6" t="s">
        <v>5</v>
      </c>
    </row>
    <row r="34" spans="1:6" x14ac:dyDescent="0.25">
      <c r="A34" s="8" t="s">
        <v>11</v>
      </c>
      <c r="B34" s="8"/>
      <c r="C34" s="8"/>
      <c r="D34" s="14" t="s">
        <v>23</v>
      </c>
      <c r="E34" s="8"/>
      <c r="F34" s="8"/>
    </row>
    <row r="35" spans="1:6" x14ac:dyDescent="0.25">
      <c r="A35" s="12"/>
      <c r="B35" s="12"/>
      <c r="C35" s="12"/>
      <c r="D35" s="13"/>
      <c r="E35" s="12"/>
      <c r="F35" s="12"/>
    </row>
    <row r="36" spans="1:6" ht="45" x14ac:dyDescent="0.25">
      <c r="A36" s="6" t="s">
        <v>0</v>
      </c>
      <c r="B36" s="6" t="s">
        <v>1</v>
      </c>
      <c r="C36" s="6" t="s">
        <v>2</v>
      </c>
      <c r="D36" s="7" t="s">
        <v>3</v>
      </c>
      <c r="E36" s="6" t="s">
        <v>4</v>
      </c>
      <c r="F36" s="6" t="s">
        <v>5</v>
      </c>
    </row>
    <row r="37" spans="1:6" x14ac:dyDescent="0.25">
      <c r="A37" s="2" t="s">
        <v>11</v>
      </c>
      <c r="B37" s="1" t="s">
        <v>17</v>
      </c>
      <c r="C37" s="1">
        <v>2</v>
      </c>
      <c r="D37" s="3" t="s">
        <v>20</v>
      </c>
      <c r="E37" s="1">
        <v>50000</v>
      </c>
      <c r="F37" s="1">
        <v>100000</v>
      </c>
    </row>
    <row r="38" spans="1:6" x14ac:dyDescent="0.25">
      <c r="A38" s="2" t="s">
        <v>11</v>
      </c>
      <c r="B38" s="1" t="s">
        <v>15</v>
      </c>
      <c r="C38" s="1">
        <v>4</v>
      </c>
      <c r="D38" s="3" t="s">
        <v>20</v>
      </c>
      <c r="E38" s="1">
        <v>9000</v>
      </c>
      <c r="F38" s="1">
        <v>36000</v>
      </c>
    </row>
    <row r="39" spans="1:6" x14ac:dyDescent="0.25">
      <c r="A39" s="9"/>
      <c r="B39" s="10"/>
      <c r="C39" s="10"/>
      <c r="D39" s="11"/>
      <c r="E39" s="10"/>
      <c r="F39" s="10"/>
    </row>
    <row r="40" spans="1:6" x14ac:dyDescent="0.25">
      <c r="A40" s="9"/>
      <c r="B40" s="10"/>
      <c r="C40" s="10"/>
      <c r="D40" s="11"/>
      <c r="E40" s="10"/>
      <c r="F40" s="10"/>
    </row>
    <row r="41" spans="1:6" x14ac:dyDescent="0.25">
      <c r="A41" s="9"/>
      <c r="B41" s="10"/>
      <c r="C41" s="10"/>
      <c r="D41" s="11"/>
      <c r="E41" s="10"/>
      <c r="F41" s="10"/>
    </row>
    <row r="42" spans="1:6" x14ac:dyDescent="0.25">
      <c r="A42" s="9"/>
      <c r="B42" s="10"/>
      <c r="C42" s="10"/>
      <c r="D42" s="11"/>
      <c r="E42" s="10"/>
      <c r="F42" s="10"/>
    </row>
    <row r="43" spans="1:6" x14ac:dyDescent="0.25">
      <c r="A43" s="9"/>
      <c r="B43" s="10"/>
      <c r="C43" s="10"/>
      <c r="D43" s="11"/>
      <c r="E43" s="10"/>
      <c r="F43" s="10"/>
    </row>
    <row r="44" spans="1:6" x14ac:dyDescent="0.25">
      <c r="A44" s="9"/>
      <c r="B44" s="10"/>
      <c r="C44" s="10"/>
      <c r="D44" s="11"/>
      <c r="E44" s="10"/>
      <c r="F44" s="10"/>
    </row>
    <row r="45" spans="1:6" x14ac:dyDescent="0.25">
      <c r="A45" s="9"/>
      <c r="B45" s="10"/>
      <c r="C45" s="10"/>
      <c r="D45" s="11"/>
      <c r="E45" s="10"/>
      <c r="F45" s="10"/>
    </row>
    <row r="46" spans="1:6" x14ac:dyDescent="0.25">
      <c r="A46" s="9"/>
      <c r="B46" s="10"/>
      <c r="C46" s="10"/>
      <c r="D46" s="11"/>
      <c r="E46" s="10"/>
      <c r="F46" s="10"/>
    </row>
    <row r="47" spans="1:6" x14ac:dyDescent="0.25">
      <c r="A47" s="9"/>
      <c r="B47" s="10"/>
      <c r="C47" s="10"/>
      <c r="D47" s="11"/>
      <c r="E47" s="10"/>
      <c r="F47" s="10"/>
    </row>
    <row r="48" spans="1:6" x14ac:dyDescent="0.25">
      <c r="A48" s="9"/>
      <c r="B48" s="10"/>
      <c r="C48" s="10"/>
      <c r="D48" s="11"/>
      <c r="E48" s="10"/>
      <c r="F48" s="10"/>
    </row>
    <row r="49" spans="1:6" x14ac:dyDescent="0.25">
      <c r="A49" s="9"/>
      <c r="B49" s="10"/>
      <c r="C49" s="10"/>
      <c r="D49" s="11"/>
      <c r="E49" s="10"/>
      <c r="F49" s="10"/>
    </row>
    <row r="50" spans="1:6" x14ac:dyDescent="0.25">
      <c r="A50" s="9"/>
      <c r="B50" s="10"/>
      <c r="C50" s="10"/>
      <c r="D50" s="11"/>
      <c r="E50" s="10"/>
      <c r="F50" s="10"/>
    </row>
    <row r="51" spans="1:6" x14ac:dyDescent="0.25">
      <c r="A51" s="9"/>
      <c r="B51" s="10"/>
      <c r="C51" s="10"/>
      <c r="D51" s="11"/>
      <c r="E51" s="10"/>
      <c r="F51" s="10"/>
    </row>
    <row r="52" spans="1:6" x14ac:dyDescent="0.25">
      <c r="A52" s="9"/>
      <c r="B52" s="10"/>
      <c r="C52" s="10"/>
      <c r="D52" s="11"/>
      <c r="E52" s="10"/>
      <c r="F52" s="10"/>
    </row>
  </sheetData>
  <sortState ref="A2:F17">
    <sortCondition ref="A2:A1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44"/>
  <sheetViews>
    <sheetView tabSelected="1" topLeftCell="A25" zoomScale="70" zoomScaleNormal="70" workbookViewId="0">
      <selection activeCell="J54" sqref="J54"/>
    </sheetView>
  </sheetViews>
  <sheetFormatPr defaultRowHeight="15" x14ac:dyDescent="0.25"/>
  <cols>
    <col min="1" max="1" width="6.42578125" customWidth="1"/>
    <col min="2" max="2" width="37.28515625" customWidth="1"/>
    <col min="3" max="3" width="10.7109375" customWidth="1"/>
    <col min="18" max="18" width="12.42578125" bestFit="1" customWidth="1"/>
  </cols>
  <sheetData>
    <row r="4" spans="1:8" x14ac:dyDescent="0.25">
      <c r="A4" s="37" t="s">
        <v>144</v>
      </c>
      <c r="B4" s="37" t="s">
        <v>194</v>
      </c>
      <c r="C4" s="37" t="s">
        <v>195</v>
      </c>
      <c r="D4" s="37" t="s">
        <v>196</v>
      </c>
      <c r="E4" s="37" t="s">
        <v>197</v>
      </c>
      <c r="F4" s="37" t="s">
        <v>198</v>
      </c>
      <c r="G4" s="37" t="s">
        <v>221</v>
      </c>
      <c r="H4" s="37" t="s">
        <v>153</v>
      </c>
    </row>
    <row r="5" spans="1:8" x14ac:dyDescent="0.25">
      <c r="A5" s="2">
        <v>1</v>
      </c>
      <c r="B5" s="37" t="s">
        <v>199</v>
      </c>
      <c r="C5" s="56">
        <v>400</v>
      </c>
      <c r="D5" s="56">
        <v>300</v>
      </c>
      <c r="E5" s="56">
        <v>350</v>
      </c>
      <c r="F5" s="56">
        <v>350</v>
      </c>
      <c r="G5" s="56">
        <v>300</v>
      </c>
      <c r="H5" s="56">
        <f>SUM(C5:G5)</f>
        <v>1700</v>
      </c>
    </row>
    <row r="6" spans="1:8" x14ac:dyDescent="0.25">
      <c r="A6" s="2">
        <v>2</v>
      </c>
      <c r="B6" s="29" t="s">
        <v>200</v>
      </c>
      <c r="C6" s="2">
        <f>700+700*0.1</f>
        <v>770</v>
      </c>
      <c r="D6" s="2">
        <f>600+600*0.1</f>
        <v>660</v>
      </c>
      <c r="E6" s="2">
        <v>550</v>
      </c>
      <c r="F6" s="2">
        <f>660+660*0.1</f>
        <v>726</v>
      </c>
      <c r="G6" s="2">
        <f>710+710*0.1</f>
        <v>781</v>
      </c>
      <c r="H6" s="87">
        <f>H7/H5</f>
        <v>698.17647058823525</v>
      </c>
    </row>
    <row r="7" spans="1:8" x14ac:dyDescent="0.25">
      <c r="A7" s="2">
        <v>3</v>
      </c>
      <c r="B7" s="37" t="s">
        <v>43</v>
      </c>
      <c r="C7" s="56">
        <f>C5*C6</f>
        <v>308000</v>
      </c>
      <c r="D7" s="56">
        <f>D5*D6</f>
        <v>198000</v>
      </c>
      <c r="E7" s="56">
        <f>E5*E6</f>
        <v>192500</v>
      </c>
      <c r="F7" s="56">
        <f>F5*F6</f>
        <v>254100</v>
      </c>
      <c r="G7" s="56">
        <f>G5*G6</f>
        <v>234300</v>
      </c>
      <c r="H7" s="56">
        <f>SUM(C7:G7)</f>
        <v>1186900</v>
      </c>
    </row>
    <row r="8" spans="1:8" x14ac:dyDescent="0.25">
      <c r="A8" s="120" t="s">
        <v>191</v>
      </c>
      <c r="B8" s="120"/>
      <c r="C8" s="120"/>
      <c r="D8" s="120"/>
      <c r="E8" s="120"/>
      <c r="F8" s="120"/>
      <c r="G8" s="120"/>
      <c r="H8" s="120"/>
    </row>
    <row r="9" spans="1:8" x14ac:dyDescent="0.25">
      <c r="A9" s="2">
        <v>4</v>
      </c>
      <c r="B9" s="29" t="s">
        <v>201</v>
      </c>
      <c r="C9" s="2">
        <v>73700</v>
      </c>
      <c r="D9" s="2">
        <v>71500</v>
      </c>
      <c r="E9" s="2">
        <v>66000</v>
      </c>
      <c r="F9" s="2">
        <v>75900</v>
      </c>
      <c r="G9" s="2">
        <v>66000</v>
      </c>
      <c r="H9" s="2">
        <f>SUM(C9:G9)</f>
        <v>353100</v>
      </c>
    </row>
    <row r="10" spans="1:8" ht="30" x14ac:dyDescent="0.25">
      <c r="A10" s="2">
        <v>5</v>
      </c>
      <c r="B10" s="57" t="s">
        <v>202</v>
      </c>
      <c r="C10" s="2">
        <v>39000</v>
      </c>
      <c r="D10" s="2">
        <v>57000</v>
      </c>
      <c r="E10" s="2">
        <v>43500</v>
      </c>
      <c r="F10" s="2">
        <v>57000</v>
      </c>
      <c r="G10" s="2">
        <v>63000</v>
      </c>
      <c r="H10" s="2">
        <f>SUM(C10:G10)</f>
        <v>259500</v>
      </c>
    </row>
    <row r="11" spans="1:8" ht="30" x14ac:dyDescent="0.25">
      <c r="A11" s="2">
        <v>6</v>
      </c>
      <c r="B11" s="57" t="s">
        <v>203</v>
      </c>
      <c r="C11" s="2">
        <v>3120</v>
      </c>
      <c r="D11" s="2">
        <v>12000</v>
      </c>
      <c r="E11" s="2">
        <v>7560</v>
      </c>
      <c r="F11" s="2">
        <v>6300</v>
      </c>
      <c r="G11" s="2">
        <v>2220</v>
      </c>
      <c r="H11" s="2">
        <f>SUM(C11:G11)</f>
        <v>31200</v>
      </c>
    </row>
    <row r="12" spans="1:8" x14ac:dyDescent="0.25">
      <c r="A12" s="2">
        <v>7</v>
      </c>
      <c r="B12" s="29" t="s">
        <v>204</v>
      </c>
      <c r="C12" s="86">
        <f>H12/H5*C5</f>
        <v>3529.4117647058824</v>
      </c>
      <c r="D12" s="86">
        <f>H12/H5*D5</f>
        <v>2647.0588235294122</v>
      </c>
      <c r="E12" s="86">
        <f>H12/H5*E5</f>
        <v>3088.2352941176473</v>
      </c>
      <c r="F12" s="86">
        <f>H12/H5*F5</f>
        <v>3088.2352941176473</v>
      </c>
      <c r="G12" s="86">
        <f>H12/H5*G5</f>
        <v>2647.0588235294122</v>
      </c>
      <c r="H12" s="86">
        <v>15000</v>
      </c>
    </row>
    <row r="13" spans="1:8" ht="30" x14ac:dyDescent="0.25">
      <c r="A13" s="2">
        <v>8</v>
      </c>
      <c r="B13" s="57" t="s">
        <v>205</v>
      </c>
      <c r="C13" s="87">
        <f>H13/H5*C5</f>
        <v>4705.8823529411766</v>
      </c>
      <c r="D13" s="86">
        <f>H13/H5*D5</f>
        <v>3529.4117647058824</v>
      </c>
      <c r="E13" s="86">
        <f>H13/H5*E5</f>
        <v>4117.6470588235297</v>
      </c>
      <c r="F13" s="86">
        <f>H13/H5*F5</f>
        <v>4117.6470588235297</v>
      </c>
      <c r="G13" s="86">
        <f>H13/H5*G5</f>
        <v>3529.4117647058824</v>
      </c>
      <c r="H13" s="86">
        <v>20000</v>
      </c>
    </row>
    <row r="14" spans="1:8" x14ac:dyDescent="0.25">
      <c r="A14" s="2">
        <v>9</v>
      </c>
      <c r="B14" s="57" t="s">
        <v>219</v>
      </c>
      <c r="C14" s="86">
        <f>H14/H5*C5</f>
        <v>2352.9411764705883</v>
      </c>
      <c r="D14" s="86">
        <f>H14/H5*D5</f>
        <v>1764.7058823529412</v>
      </c>
      <c r="E14" s="86">
        <f>H14/H5*E5</f>
        <v>2058.8235294117649</v>
      </c>
      <c r="F14" s="86">
        <f>H14/H5*F5</f>
        <v>2058.8235294117649</v>
      </c>
      <c r="G14" s="86">
        <f>H14/H5*G5</f>
        <v>1764.7058823529412</v>
      </c>
      <c r="H14" s="86">
        <v>10000</v>
      </c>
    </row>
    <row r="15" spans="1:8" x14ac:dyDescent="0.25">
      <c r="A15" s="2">
        <v>10</v>
      </c>
      <c r="B15" s="7" t="s">
        <v>218</v>
      </c>
      <c r="C15" s="86">
        <f>C9+C10+C11+C12+C13+C14</f>
        <v>126408.23529411765</v>
      </c>
      <c r="D15" s="86">
        <f>SUM(D9:D14)</f>
        <v>148441.17647058822</v>
      </c>
      <c r="E15" s="86">
        <f>SUM(E9:E14)</f>
        <v>126324.70588235294</v>
      </c>
      <c r="F15" s="86">
        <f>SUM(F9:F14)</f>
        <v>148464.70588235295</v>
      </c>
      <c r="G15" s="86">
        <f>SUM(G9:G14)</f>
        <v>139161.17647058822</v>
      </c>
      <c r="H15" s="86">
        <f>SUM(H9:H14)</f>
        <v>688800</v>
      </c>
    </row>
    <row r="16" spans="1:8" ht="15" customHeight="1" x14ac:dyDescent="0.25">
      <c r="A16" s="2">
        <v>11</v>
      </c>
      <c r="B16" s="57" t="s">
        <v>206</v>
      </c>
      <c r="C16" s="86">
        <f>C7-C15</f>
        <v>181591.76470588235</v>
      </c>
      <c r="D16" s="86">
        <f>D7-D15</f>
        <v>49558.823529411777</v>
      </c>
      <c r="E16" s="86">
        <f>E7-E15</f>
        <v>66175.294117647063</v>
      </c>
      <c r="F16" s="86">
        <f>F7-F15</f>
        <v>105635.29411764705</v>
      </c>
      <c r="G16" s="86">
        <f>G7-G15</f>
        <v>95138.823529411777</v>
      </c>
      <c r="H16" s="86">
        <f>H7-H15</f>
        <v>498100</v>
      </c>
    </row>
    <row r="17" spans="1:8" x14ac:dyDescent="0.25">
      <c r="A17" s="2">
        <v>12</v>
      </c>
      <c r="B17" s="29" t="s">
        <v>207</v>
      </c>
      <c r="C17" s="86">
        <f>C16/C5</f>
        <v>453.9794117647059</v>
      </c>
      <c r="D17" s="86">
        <f>D16/D5</f>
        <v>165.1960784313726</v>
      </c>
      <c r="E17" s="86">
        <f>E16/E5</f>
        <v>189.07226890756303</v>
      </c>
      <c r="F17" s="86">
        <f>F16/F5</f>
        <v>301.81512605042013</v>
      </c>
      <c r="G17" s="86">
        <f>G16/G5</f>
        <v>317.12941176470594</v>
      </c>
      <c r="H17" s="86">
        <f>H16/H5</f>
        <v>293</v>
      </c>
    </row>
    <row r="18" spans="1:8" x14ac:dyDescent="0.25">
      <c r="A18" s="2">
        <v>13</v>
      </c>
      <c r="B18" s="29" t="s">
        <v>208</v>
      </c>
      <c r="C18" s="86">
        <f>C15/C5</f>
        <v>316.0205882352941</v>
      </c>
      <c r="D18" s="86">
        <f>D15/D5</f>
        <v>494.8039215686274</v>
      </c>
      <c r="E18" s="86">
        <f>E15/E5</f>
        <v>360.92773109243694</v>
      </c>
      <c r="F18" s="86">
        <f>F15/F5</f>
        <v>424.18487394957987</v>
      </c>
      <c r="G18" s="86">
        <f>G15/G5</f>
        <v>463.87058823529406</v>
      </c>
      <c r="H18" s="86">
        <f>H15/H5</f>
        <v>405.1764705882353</v>
      </c>
    </row>
    <row r="19" spans="1:8" x14ac:dyDescent="0.25">
      <c r="A19" s="120" t="s">
        <v>190</v>
      </c>
      <c r="B19" s="120"/>
      <c r="C19" s="120"/>
      <c r="D19" s="120"/>
      <c r="E19" s="120"/>
      <c r="F19" s="120"/>
      <c r="G19" s="120"/>
      <c r="H19" s="120"/>
    </row>
    <row r="20" spans="1:8" x14ac:dyDescent="0.25">
      <c r="A20" s="2">
        <v>14</v>
      </c>
      <c r="B20" s="29" t="s">
        <v>209</v>
      </c>
      <c r="C20" s="121">
        <v>19800</v>
      </c>
      <c r="D20" s="121"/>
      <c r="E20" s="121"/>
      <c r="F20" s="121"/>
      <c r="G20" s="121"/>
      <c r="H20" s="2">
        <f>C20</f>
        <v>19800</v>
      </c>
    </row>
    <row r="21" spans="1:8" x14ac:dyDescent="0.25">
      <c r="A21" s="2">
        <v>15</v>
      </c>
      <c r="B21" s="29" t="s">
        <v>210</v>
      </c>
      <c r="C21" s="121">
        <v>10560</v>
      </c>
      <c r="D21" s="121"/>
      <c r="E21" s="121"/>
      <c r="F21" s="121"/>
      <c r="G21" s="121"/>
      <c r="H21" s="2">
        <f>C21</f>
        <v>10560</v>
      </c>
    </row>
    <row r="22" spans="1:8" x14ac:dyDescent="0.25">
      <c r="A22" s="2">
        <v>16</v>
      </c>
      <c r="B22" s="29" t="s">
        <v>211</v>
      </c>
      <c r="C22" s="121">
        <v>27060</v>
      </c>
      <c r="D22" s="121"/>
      <c r="E22" s="121"/>
      <c r="F22" s="121"/>
      <c r="G22" s="121"/>
      <c r="H22" s="2">
        <f>C22</f>
        <v>27060</v>
      </c>
    </row>
    <row r="23" spans="1:8" x14ac:dyDescent="0.25">
      <c r="A23" s="2">
        <v>17</v>
      </c>
      <c r="B23" s="29" t="s">
        <v>212</v>
      </c>
      <c r="C23" s="121">
        <v>39600</v>
      </c>
      <c r="D23" s="121"/>
      <c r="E23" s="121"/>
      <c r="F23" s="121"/>
      <c r="G23" s="121"/>
      <c r="H23" s="2">
        <f>C23</f>
        <v>39600</v>
      </c>
    </row>
    <row r="24" spans="1:8" x14ac:dyDescent="0.25">
      <c r="A24" s="2">
        <v>18</v>
      </c>
      <c r="B24" s="29" t="s">
        <v>213</v>
      </c>
      <c r="C24" s="121">
        <v>3520</v>
      </c>
      <c r="D24" s="121"/>
      <c r="E24" s="121"/>
      <c r="F24" s="121"/>
      <c r="G24" s="121"/>
      <c r="H24" s="2">
        <f>C24</f>
        <v>3520</v>
      </c>
    </row>
    <row r="25" spans="1:8" x14ac:dyDescent="0.25">
      <c r="A25" s="2">
        <v>19</v>
      </c>
      <c r="B25" s="29" t="s">
        <v>214</v>
      </c>
      <c r="C25" s="121">
        <v>110000</v>
      </c>
      <c r="D25" s="121"/>
      <c r="E25" s="121"/>
      <c r="F25" s="121"/>
      <c r="G25" s="121"/>
      <c r="H25" s="2">
        <f>C25</f>
        <v>110000</v>
      </c>
    </row>
    <row r="26" spans="1:8" x14ac:dyDescent="0.25">
      <c r="A26" s="2">
        <v>20</v>
      </c>
      <c r="B26" s="37" t="s">
        <v>215</v>
      </c>
      <c r="C26" s="121">
        <f>SUM(C20:C25)</f>
        <v>210540</v>
      </c>
      <c r="D26" s="121"/>
      <c r="E26" s="121"/>
      <c r="F26" s="121"/>
      <c r="G26" s="121"/>
      <c r="H26" s="2">
        <f>C26</f>
        <v>210540</v>
      </c>
    </row>
    <row r="27" spans="1:8" x14ac:dyDescent="0.25">
      <c r="A27" s="2">
        <v>21</v>
      </c>
      <c r="B27" s="122" t="s">
        <v>216</v>
      </c>
      <c r="C27" s="121">
        <v>90000</v>
      </c>
      <c r="D27" s="121"/>
      <c r="E27" s="121"/>
      <c r="F27" s="121"/>
      <c r="G27" s="121"/>
      <c r="H27" s="2">
        <f>C27</f>
        <v>90000</v>
      </c>
    </row>
    <row r="28" spans="1:8" x14ac:dyDescent="0.25">
      <c r="A28" s="2">
        <v>22</v>
      </c>
      <c r="B28" s="37" t="s">
        <v>217</v>
      </c>
      <c r="C28" s="121">
        <f>C26+C27</f>
        <v>300540</v>
      </c>
      <c r="D28" s="121"/>
      <c r="E28" s="121"/>
      <c r="F28" s="121"/>
      <c r="G28" s="121"/>
      <c r="H28" s="2">
        <f>SUM(C28)</f>
        <v>300540</v>
      </c>
    </row>
    <row r="29" spans="1:8" x14ac:dyDescent="0.25">
      <c r="A29" s="2">
        <v>23</v>
      </c>
      <c r="B29" s="37" t="s">
        <v>220</v>
      </c>
      <c r="C29" s="80"/>
      <c r="D29" s="80"/>
      <c r="E29" s="80"/>
      <c r="F29" s="80"/>
      <c r="G29" s="80"/>
      <c r="H29" s="86">
        <f>H15+C28</f>
        <v>989340</v>
      </c>
    </row>
    <row r="30" spans="1:8" x14ac:dyDescent="0.25">
      <c r="A30" s="2">
        <v>24</v>
      </c>
      <c r="B30" s="37" t="s">
        <v>187</v>
      </c>
      <c r="C30" s="80"/>
      <c r="D30" s="80"/>
      <c r="E30" s="80"/>
      <c r="F30" s="80"/>
      <c r="G30" s="80"/>
      <c r="H30" s="2">
        <f>H28/(H6-H18)</f>
        <v>1025.7337883959046</v>
      </c>
    </row>
    <row r="31" spans="1:8" x14ac:dyDescent="0.25">
      <c r="A31" s="2">
        <v>25</v>
      </c>
      <c r="B31" s="37" t="s">
        <v>186</v>
      </c>
      <c r="C31" s="80"/>
      <c r="D31" s="80"/>
      <c r="E31" s="80"/>
      <c r="F31" s="80"/>
      <c r="G31" s="80"/>
      <c r="H31" s="2">
        <f>H7*H28/(H7-H15)</f>
        <v>716143.19614535233</v>
      </c>
    </row>
    <row r="33" spans="2:19" x14ac:dyDescent="0.25">
      <c r="B33" s="88" t="s">
        <v>222</v>
      </c>
      <c r="C33" s="123">
        <f>H5</f>
        <v>1700</v>
      </c>
    </row>
    <row r="34" spans="2:19" x14ac:dyDescent="0.25">
      <c r="B34" s="88" t="s">
        <v>43</v>
      </c>
      <c r="C34" s="123">
        <f>H7</f>
        <v>1186900</v>
      </c>
    </row>
    <row r="35" spans="2:19" x14ac:dyDescent="0.25">
      <c r="B35" s="88" t="s">
        <v>183</v>
      </c>
      <c r="C35" s="124">
        <f>H15</f>
        <v>688800</v>
      </c>
    </row>
    <row r="36" spans="2:19" x14ac:dyDescent="0.25">
      <c r="B36" s="88" t="s">
        <v>182</v>
      </c>
      <c r="C36" s="123">
        <f>H28</f>
        <v>300540</v>
      </c>
      <c r="E36">
        <f>100/17</f>
        <v>5.882352941176471</v>
      </c>
      <c r="F36" s="125" t="s">
        <v>224</v>
      </c>
    </row>
    <row r="37" spans="2:19" x14ac:dyDescent="0.25">
      <c r="B37" s="88" t="s">
        <v>223</v>
      </c>
      <c r="C37" s="124">
        <f>H29</f>
        <v>989340</v>
      </c>
    </row>
    <row r="39" spans="2:19" x14ac:dyDescent="0.25">
      <c r="B39" s="126" t="s">
        <v>222</v>
      </c>
      <c r="C39" s="2">
        <f>C33/100*E36*1</f>
        <v>100</v>
      </c>
      <c r="D39" s="2">
        <f>C33/100*E36*2</f>
        <v>200</v>
      </c>
      <c r="E39" s="2">
        <f>C33/100*E36*3</f>
        <v>300</v>
      </c>
      <c r="F39" s="2">
        <f>C33/100*E36*4</f>
        <v>400</v>
      </c>
      <c r="G39" s="2">
        <f>C33/100*E36*5</f>
        <v>500</v>
      </c>
      <c r="H39" s="2">
        <f>C33/100*E36*6</f>
        <v>600</v>
      </c>
      <c r="I39" s="2">
        <f>C33/100*E36*7</f>
        <v>700</v>
      </c>
      <c r="J39" s="2">
        <f>C33/100*E36*8</f>
        <v>800</v>
      </c>
      <c r="K39" s="2">
        <f>C33/100*E36*9</f>
        <v>900</v>
      </c>
      <c r="L39" s="2">
        <f>C33/100*E36*10</f>
        <v>1000</v>
      </c>
      <c r="M39" s="2">
        <f>C33/100*E36*11</f>
        <v>1100</v>
      </c>
      <c r="N39" s="2">
        <f>C33/100*E36*12</f>
        <v>1200</v>
      </c>
      <c r="O39" s="2">
        <f>C33/100*E36*13</f>
        <v>1300</v>
      </c>
      <c r="P39" s="2">
        <f>C33/100*E36*14</f>
        <v>1400</v>
      </c>
      <c r="Q39" s="2">
        <f>C33/100*E36*15</f>
        <v>1500</v>
      </c>
      <c r="R39" s="2">
        <f>C33/100*E36*16</f>
        <v>1600</v>
      </c>
      <c r="S39" s="2">
        <f>C33/100*E36*17</f>
        <v>1700</v>
      </c>
    </row>
    <row r="40" spans="2:19" x14ac:dyDescent="0.25">
      <c r="B40" s="127" t="s">
        <v>225</v>
      </c>
      <c r="C40" s="2">
        <f>C34/C33</f>
        <v>698.17647058823525</v>
      </c>
      <c r="D40" s="2">
        <f>C34/C33</f>
        <v>698.17647058823525</v>
      </c>
      <c r="E40" s="2">
        <f>C34/C33</f>
        <v>698.17647058823525</v>
      </c>
      <c r="F40" s="2">
        <f>C34/C33</f>
        <v>698.17647058823525</v>
      </c>
      <c r="G40" s="2">
        <f>C34/C33</f>
        <v>698.17647058823525</v>
      </c>
      <c r="H40" s="2">
        <f>C34/C33</f>
        <v>698.17647058823525</v>
      </c>
      <c r="I40" s="2">
        <f>C34/C33</f>
        <v>698.17647058823525</v>
      </c>
      <c r="J40" s="2">
        <f>C34/C33</f>
        <v>698.17647058823525</v>
      </c>
      <c r="K40" s="2">
        <f>C34/C33</f>
        <v>698.17647058823525</v>
      </c>
      <c r="L40" s="2">
        <f>C34/C33</f>
        <v>698.17647058823525</v>
      </c>
      <c r="M40" s="2">
        <f>C34/C33</f>
        <v>698.17647058823525</v>
      </c>
      <c r="N40" s="2">
        <f>C34/C33</f>
        <v>698.17647058823525</v>
      </c>
      <c r="O40" s="2">
        <f>C34/C33</f>
        <v>698.17647058823525</v>
      </c>
      <c r="P40" s="2">
        <f>C34/C33</f>
        <v>698.17647058823525</v>
      </c>
      <c r="Q40" s="2">
        <f>C34/C33</f>
        <v>698.17647058823525</v>
      </c>
      <c r="R40" s="2">
        <f>C34/C33</f>
        <v>698.17647058823525</v>
      </c>
      <c r="S40" s="2">
        <f>C34/C33</f>
        <v>698.17647058823525</v>
      </c>
    </row>
    <row r="41" spans="2:19" x14ac:dyDescent="0.25">
      <c r="B41" s="126" t="s">
        <v>43</v>
      </c>
      <c r="C41" s="2">
        <f>C34/C33*C39</f>
        <v>69817.647058823524</v>
      </c>
      <c r="D41" s="2">
        <f>C34/C33*D39</f>
        <v>139635.29411764705</v>
      </c>
      <c r="E41" s="2">
        <f>C34/C33*E39</f>
        <v>209452.94117647057</v>
      </c>
      <c r="F41" s="2">
        <f>C34/C33*F39</f>
        <v>279270.5882352941</v>
      </c>
      <c r="G41" s="2">
        <f>C34/C33*G39</f>
        <v>349088.23529411765</v>
      </c>
      <c r="H41" s="2">
        <f>C34/C33*H39</f>
        <v>418905.88235294115</v>
      </c>
      <c r="I41" s="2">
        <f>C34/C33*I39</f>
        <v>488723.5294117647</v>
      </c>
      <c r="J41" s="2">
        <f>C34/C33*J39</f>
        <v>558541.17647058819</v>
      </c>
      <c r="K41" s="2">
        <f>C34/C33*K39</f>
        <v>628358.82352941169</v>
      </c>
      <c r="L41" s="2">
        <f>C34/C33*L39</f>
        <v>698176.4705882353</v>
      </c>
      <c r="M41" s="2">
        <f>C34/C33*M39</f>
        <v>767994.1176470588</v>
      </c>
      <c r="N41" s="2">
        <f>C34/C33*N39</f>
        <v>837811.76470588229</v>
      </c>
      <c r="O41" s="2">
        <f>C34/C33*O39</f>
        <v>907629.41176470579</v>
      </c>
      <c r="P41" s="2">
        <f>C34/C33*P39</f>
        <v>977447.0588235294</v>
      </c>
      <c r="Q41" s="2">
        <f>C34/C33*Q39</f>
        <v>1047264.7058823529</v>
      </c>
      <c r="R41" s="2">
        <f>C34/C33*R39</f>
        <v>1117082.3529411764</v>
      </c>
      <c r="S41" s="2">
        <f>C34/C33*S39</f>
        <v>1186900</v>
      </c>
    </row>
    <row r="42" spans="2:19" x14ac:dyDescent="0.25">
      <c r="B42" s="126" t="s">
        <v>183</v>
      </c>
      <c r="C42" s="2">
        <f>C35/C33*C39</f>
        <v>40517.647058823532</v>
      </c>
      <c r="D42" s="2">
        <f>C35/C33*D39</f>
        <v>81035.294117647063</v>
      </c>
      <c r="E42" s="2">
        <f>C35/C33*E39</f>
        <v>121552.94117647059</v>
      </c>
      <c r="F42" s="2">
        <f>C35/C33*F39</f>
        <v>162070.58823529413</v>
      </c>
      <c r="G42" s="2">
        <f>C35/C33*G39</f>
        <v>202588.23529411765</v>
      </c>
      <c r="H42" s="2">
        <f>C35/C33*H39</f>
        <v>243105.88235294117</v>
      </c>
      <c r="I42" s="2">
        <f>C35/C33*I39</f>
        <v>283623.5294117647</v>
      </c>
      <c r="J42" s="2">
        <f>C35/C33*J39</f>
        <v>324141.17647058825</v>
      </c>
      <c r="K42" s="2">
        <f>C35/C33*K39</f>
        <v>364658.82352941175</v>
      </c>
      <c r="L42" s="2">
        <f>C35/C33*L39</f>
        <v>405176.4705882353</v>
      </c>
      <c r="M42" s="2">
        <f>C35/C33*M39</f>
        <v>445694.11764705885</v>
      </c>
      <c r="N42" s="2">
        <f>C35/C33*N39</f>
        <v>486211.76470588235</v>
      </c>
      <c r="O42" s="2">
        <f>C35/C33*O39</f>
        <v>526729.4117647059</v>
      </c>
      <c r="P42" s="2">
        <f>C35/C33*P39</f>
        <v>567247.0588235294</v>
      </c>
      <c r="Q42" s="2">
        <f>C35/C33*Q39</f>
        <v>607764.70588235301</v>
      </c>
      <c r="R42" s="2">
        <f>C35/C33*R39</f>
        <v>648282.3529411765</v>
      </c>
      <c r="S42" s="2">
        <f>C35/C33*S39</f>
        <v>688800</v>
      </c>
    </row>
    <row r="43" spans="2:19" x14ac:dyDescent="0.25">
      <c r="B43" s="126" t="s">
        <v>182</v>
      </c>
      <c r="C43" s="2">
        <f>C36</f>
        <v>300540</v>
      </c>
      <c r="D43" s="2">
        <f>C36</f>
        <v>300540</v>
      </c>
      <c r="E43" s="2">
        <f>C36</f>
        <v>300540</v>
      </c>
      <c r="F43" s="2">
        <f>C36</f>
        <v>300540</v>
      </c>
      <c r="G43" s="2">
        <f>C36</f>
        <v>300540</v>
      </c>
      <c r="H43" s="2">
        <f>C36</f>
        <v>300540</v>
      </c>
      <c r="I43" s="2">
        <f>C36</f>
        <v>300540</v>
      </c>
      <c r="J43" s="2">
        <f>C36</f>
        <v>300540</v>
      </c>
      <c r="K43" s="2">
        <f>C36</f>
        <v>300540</v>
      </c>
      <c r="L43" s="2">
        <f>C36</f>
        <v>300540</v>
      </c>
      <c r="M43" s="2">
        <f>C36</f>
        <v>300540</v>
      </c>
      <c r="N43" s="2">
        <f>C36</f>
        <v>300540</v>
      </c>
      <c r="O43" s="2">
        <f>C36</f>
        <v>300540</v>
      </c>
      <c r="P43" s="2">
        <f>C36</f>
        <v>300540</v>
      </c>
      <c r="Q43" s="2">
        <f>C36</f>
        <v>300540</v>
      </c>
      <c r="R43" s="2">
        <f>C36</f>
        <v>300540</v>
      </c>
      <c r="S43" s="2">
        <f>C36</f>
        <v>300540</v>
      </c>
    </row>
    <row r="44" spans="2:19" x14ac:dyDescent="0.25">
      <c r="B44" s="126" t="s">
        <v>223</v>
      </c>
      <c r="C44" s="2">
        <f>C43+C42</f>
        <v>341057.64705882355</v>
      </c>
      <c r="D44" s="2">
        <f>D43+D42</f>
        <v>381575.29411764705</v>
      </c>
      <c r="E44" s="2">
        <f>E43+E42</f>
        <v>422092.9411764706</v>
      </c>
      <c r="F44" s="2">
        <f>F43+F42</f>
        <v>462610.5882352941</v>
      </c>
      <c r="G44" s="2">
        <f>G43+G42</f>
        <v>503128.23529411765</v>
      </c>
      <c r="H44" s="2">
        <f>H43+H42</f>
        <v>543645.8823529412</v>
      </c>
      <c r="I44" s="2">
        <f>I43+I42</f>
        <v>584163.5294117647</v>
      </c>
      <c r="J44" s="2">
        <f>J43+J42</f>
        <v>624681.17647058819</v>
      </c>
      <c r="K44" s="2">
        <f>K43+K42</f>
        <v>665198.82352941181</v>
      </c>
      <c r="L44" s="2">
        <f>L43+L42</f>
        <v>705716.4705882353</v>
      </c>
      <c r="M44" s="2">
        <f>M43+M42</f>
        <v>746234.1176470588</v>
      </c>
      <c r="N44" s="2">
        <f>N43+N42</f>
        <v>786751.76470588241</v>
      </c>
      <c r="O44" s="2">
        <f>O43+O42</f>
        <v>827269.4117647059</v>
      </c>
      <c r="P44" s="2">
        <f>P43+P42</f>
        <v>867787.0588235294</v>
      </c>
      <c r="Q44" s="2">
        <f>Q43+Q42</f>
        <v>908304.70588235301</v>
      </c>
      <c r="R44" s="2">
        <f>R43+R42</f>
        <v>948822.3529411765</v>
      </c>
      <c r="S44" s="2">
        <f>S43+S42</f>
        <v>989340</v>
      </c>
    </row>
  </sheetData>
  <mergeCells count="14">
    <mergeCell ref="C28:G28"/>
    <mergeCell ref="C29:G29"/>
    <mergeCell ref="C30:G30"/>
    <mergeCell ref="C31:G31"/>
    <mergeCell ref="C22:G22"/>
    <mergeCell ref="C23:G23"/>
    <mergeCell ref="C24:G24"/>
    <mergeCell ref="C25:G25"/>
    <mergeCell ref="C26:G26"/>
    <mergeCell ref="C27:G27"/>
    <mergeCell ref="A8:H8"/>
    <mergeCell ref="A19:H19"/>
    <mergeCell ref="C20:G20"/>
    <mergeCell ref="C21:G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6" workbookViewId="0">
      <selection activeCell="A36" sqref="A36"/>
    </sheetView>
  </sheetViews>
  <sheetFormatPr defaultRowHeight="15" x14ac:dyDescent="0.25"/>
  <cols>
    <col min="1" max="1" width="14.28515625" customWidth="1"/>
    <col min="2" max="2" width="13.42578125" customWidth="1"/>
    <col min="3" max="3" width="13.85546875" customWidth="1"/>
    <col min="4" max="4" width="17.28515625" customWidth="1"/>
    <col min="5" max="5" width="13.7109375" customWidth="1"/>
    <col min="6" max="6" width="14" customWidth="1"/>
    <col min="7" max="7" width="16.28515625" customWidth="1"/>
    <col min="8" max="8" width="14.140625" customWidth="1"/>
  </cols>
  <sheetData>
    <row r="1" spans="1:8" ht="15.75" thickBot="1" x14ac:dyDescent="0.3">
      <c r="A1" s="23" t="s">
        <v>42</v>
      </c>
      <c r="B1" s="23" t="s">
        <v>43</v>
      </c>
      <c r="C1" s="10"/>
      <c r="D1" s="10"/>
      <c r="E1" s="10"/>
      <c r="F1" s="10"/>
    </row>
    <row r="2" spans="1:8" ht="15.75" thickTop="1" x14ac:dyDescent="0.25">
      <c r="A2" s="21">
        <v>43617</v>
      </c>
      <c r="B2" s="24">
        <v>281488</v>
      </c>
      <c r="C2" s="9"/>
      <c r="D2" s="9"/>
      <c r="E2" s="9"/>
      <c r="F2" s="9"/>
    </row>
    <row r="3" spans="1:8" x14ac:dyDescent="0.25">
      <c r="A3" s="19">
        <v>154.06</v>
      </c>
      <c r="B3" s="20">
        <v>271285</v>
      </c>
    </row>
    <row r="4" spans="1:8" x14ac:dyDescent="0.25">
      <c r="A4" s="19">
        <v>155.06</v>
      </c>
      <c r="B4" s="20">
        <v>247689</v>
      </c>
    </row>
    <row r="5" spans="1:8" x14ac:dyDescent="0.25">
      <c r="A5" s="19">
        <v>156.06</v>
      </c>
      <c r="B5" s="20">
        <v>312502</v>
      </c>
    </row>
    <row r="6" spans="1:8" ht="15.75" thickBot="1" x14ac:dyDescent="0.3">
      <c r="A6" s="19">
        <v>157.06</v>
      </c>
      <c r="B6" s="20">
        <v>330647</v>
      </c>
      <c r="D6" s="23" t="s">
        <v>44</v>
      </c>
      <c r="E6" s="23" t="s">
        <v>45</v>
      </c>
      <c r="F6" s="23" t="s">
        <v>46</v>
      </c>
      <c r="G6" s="23" t="s">
        <v>47</v>
      </c>
    </row>
    <row r="7" spans="1:8" ht="15.75" thickTop="1" x14ac:dyDescent="0.25">
      <c r="A7" s="19">
        <v>158.06</v>
      </c>
      <c r="B7" s="20">
        <v>358665</v>
      </c>
      <c r="D7" s="22">
        <f>SUM(B2:B11)+SUM(B12:B21)+SUM(B22:B31)</f>
        <v>9934053</v>
      </c>
      <c r="E7" s="22">
        <f>MAX(B2:B11,B12:B21,B22:B31)</f>
        <v>470534</v>
      </c>
      <c r="F7" s="22">
        <f>MIN(B2:B11,B12:B21,B22:B31)</f>
        <v>247689</v>
      </c>
      <c r="G7" s="22">
        <f>AVERAGE(B2:B11,B12:B21,B22:B31)</f>
        <v>331135.09999999998</v>
      </c>
    </row>
    <row r="8" spans="1:8" x14ac:dyDescent="0.25">
      <c r="A8" s="19">
        <v>159.06</v>
      </c>
      <c r="B8" s="20">
        <v>339868</v>
      </c>
    </row>
    <row r="9" spans="1:8" x14ac:dyDescent="0.25">
      <c r="A9" s="19">
        <v>160.06</v>
      </c>
      <c r="B9" s="20">
        <v>338943</v>
      </c>
    </row>
    <row r="10" spans="1:8" ht="15.75" thickBot="1" x14ac:dyDescent="0.3">
      <c r="A10" s="19">
        <v>161.06</v>
      </c>
      <c r="B10" s="20">
        <v>470534</v>
      </c>
      <c r="D10" s="23" t="s">
        <v>42</v>
      </c>
      <c r="E10" s="23" t="s">
        <v>43</v>
      </c>
      <c r="G10" s="23" t="s">
        <v>42</v>
      </c>
      <c r="H10" s="23" t="s">
        <v>43</v>
      </c>
    </row>
    <row r="11" spans="1:8" ht="15.75" thickTop="1" x14ac:dyDescent="0.25">
      <c r="A11" s="19">
        <v>162.06</v>
      </c>
      <c r="B11" s="20">
        <v>295677</v>
      </c>
      <c r="D11" s="25"/>
      <c r="E11" s="25" t="s">
        <v>48</v>
      </c>
      <c r="G11" s="25"/>
      <c r="H11" s="25" t="s">
        <v>49</v>
      </c>
    </row>
    <row r="12" spans="1:8" x14ac:dyDescent="0.25">
      <c r="A12" s="21">
        <v>43627</v>
      </c>
      <c r="B12" s="22">
        <v>360022</v>
      </c>
      <c r="C12" s="17"/>
      <c r="D12" s="17"/>
      <c r="F12" s="18"/>
    </row>
    <row r="13" spans="1:8" ht="15.75" thickBot="1" x14ac:dyDescent="0.3">
      <c r="A13" s="19">
        <v>43628</v>
      </c>
      <c r="B13" s="20">
        <v>338545</v>
      </c>
      <c r="C13" s="17"/>
      <c r="D13" s="23" t="s">
        <v>42</v>
      </c>
      <c r="E13" s="23" t="s">
        <v>43</v>
      </c>
      <c r="F13" s="10"/>
      <c r="G13" s="23" t="s">
        <v>42</v>
      </c>
      <c r="H13" s="23" t="s">
        <v>43</v>
      </c>
    </row>
    <row r="14" spans="1:8" ht="15.75" thickTop="1" x14ac:dyDescent="0.25">
      <c r="A14" s="19">
        <v>43629</v>
      </c>
      <c r="B14" s="20">
        <v>328580</v>
      </c>
      <c r="D14" s="19">
        <v>161.06</v>
      </c>
      <c r="E14" s="20">
        <v>470534</v>
      </c>
      <c r="F14" s="26"/>
      <c r="G14" s="21">
        <v>43617</v>
      </c>
      <c r="H14" s="24">
        <v>281488</v>
      </c>
    </row>
    <row r="15" spans="1:8" x14ac:dyDescent="0.25">
      <c r="A15" s="19">
        <v>43630</v>
      </c>
      <c r="B15" s="20">
        <v>351078</v>
      </c>
      <c r="D15" s="26"/>
      <c r="F15" s="26"/>
      <c r="G15" s="19">
        <v>154.06</v>
      </c>
      <c r="H15" s="20">
        <v>271285</v>
      </c>
    </row>
    <row r="16" spans="1:8" x14ac:dyDescent="0.25">
      <c r="A16" s="19">
        <v>43631</v>
      </c>
      <c r="B16" s="20">
        <v>305675</v>
      </c>
      <c r="C16" s="17"/>
      <c r="D16" s="26"/>
      <c r="F16" s="26"/>
      <c r="G16" s="19">
        <v>155.06</v>
      </c>
      <c r="H16" s="20">
        <v>247689</v>
      </c>
    </row>
    <row r="17" spans="1:8" x14ac:dyDescent="0.25">
      <c r="A17" s="19">
        <v>43632</v>
      </c>
      <c r="B17" s="20">
        <v>340379</v>
      </c>
      <c r="D17" s="26"/>
      <c r="F17" s="26"/>
      <c r="G17" s="19">
        <v>162.06</v>
      </c>
      <c r="H17" s="20">
        <v>295677</v>
      </c>
    </row>
    <row r="18" spans="1:8" x14ac:dyDescent="0.25">
      <c r="A18" s="19">
        <v>43633</v>
      </c>
      <c r="B18" s="20">
        <v>326507</v>
      </c>
      <c r="D18" s="26"/>
      <c r="F18" s="26"/>
      <c r="G18" s="19">
        <v>43638</v>
      </c>
      <c r="H18" s="20">
        <v>289173</v>
      </c>
    </row>
    <row r="19" spans="1:8" x14ac:dyDescent="0.25">
      <c r="A19" s="19">
        <v>43634</v>
      </c>
      <c r="B19" s="20">
        <v>341764</v>
      </c>
      <c r="D19" s="26"/>
      <c r="G19" s="27">
        <v>43645</v>
      </c>
      <c r="H19" s="28">
        <v>282518</v>
      </c>
    </row>
    <row r="20" spans="1:8" x14ac:dyDescent="0.25">
      <c r="A20" s="19">
        <v>43635</v>
      </c>
      <c r="B20" s="20">
        <v>332301</v>
      </c>
      <c r="D20" s="26"/>
      <c r="F20" s="1" t="s">
        <v>50</v>
      </c>
      <c r="G20" s="77">
        <f>SUM(H14:H19)</f>
        <v>1667830</v>
      </c>
      <c r="H20" s="78"/>
    </row>
    <row r="21" spans="1:8" x14ac:dyDescent="0.25">
      <c r="A21" s="19">
        <v>43636</v>
      </c>
      <c r="B21" s="20">
        <v>357530</v>
      </c>
      <c r="D21" s="26"/>
    </row>
    <row r="22" spans="1:8" x14ac:dyDescent="0.25">
      <c r="A22" s="21">
        <v>43637</v>
      </c>
      <c r="B22" s="22">
        <v>319431</v>
      </c>
      <c r="D22" s="26"/>
    </row>
    <row r="23" spans="1:8" x14ac:dyDescent="0.25">
      <c r="A23" s="19">
        <v>43638</v>
      </c>
      <c r="B23" s="20">
        <v>289173</v>
      </c>
      <c r="D23" s="26"/>
    </row>
    <row r="24" spans="1:8" x14ac:dyDescent="0.25">
      <c r="A24" s="19">
        <v>43639</v>
      </c>
      <c r="B24" s="20">
        <v>346041</v>
      </c>
      <c r="D24" s="26"/>
    </row>
    <row r="25" spans="1:8" x14ac:dyDescent="0.25">
      <c r="A25" s="19">
        <v>43640</v>
      </c>
      <c r="B25" s="20">
        <v>340932</v>
      </c>
      <c r="D25" s="26"/>
    </row>
    <row r="26" spans="1:8" x14ac:dyDescent="0.25">
      <c r="A26" s="19">
        <v>43641</v>
      </c>
      <c r="B26" s="20">
        <v>363283</v>
      </c>
      <c r="D26" s="26"/>
    </row>
    <row r="27" spans="1:8" x14ac:dyDescent="0.25">
      <c r="A27" s="19">
        <v>43642</v>
      </c>
      <c r="B27" s="20">
        <v>350168</v>
      </c>
      <c r="D27" s="26"/>
    </row>
    <row r="28" spans="1:8" x14ac:dyDescent="0.25">
      <c r="A28" s="19">
        <v>43643</v>
      </c>
      <c r="B28" s="20">
        <v>360549</v>
      </c>
      <c r="D28" s="26"/>
    </row>
    <row r="29" spans="1:8" x14ac:dyDescent="0.25">
      <c r="A29" s="19">
        <v>43644</v>
      </c>
      <c r="B29" s="20">
        <v>322612</v>
      </c>
      <c r="D29" s="26"/>
    </row>
    <row r="30" spans="1:8" x14ac:dyDescent="0.25">
      <c r="A30" s="19">
        <v>43645</v>
      </c>
      <c r="B30" s="20">
        <v>282518</v>
      </c>
      <c r="D30" s="26"/>
    </row>
    <row r="31" spans="1:8" x14ac:dyDescent="0.25">
      <c r="A31" s="19">
        <v>43646</v>
      </c>
      <c r="B31" s="20">
        <v>329667</v>
      </c>
      <c r="D31" s="26"/>
    </row>
    <row r="32" spans="1:8" x14ac:dyDescent="0.25">
      <c r="D32" s="26"/>
    </row>
    <row r="33" spans="4:4" x14ac:dyDescent="0.25">
      <c r="D33" s="26"/>
    </row>
    <row r="34" spans="4:4" x14ac:dyDescent="0.25">
      <c r="D34" s="26"/>
    </row>
    <row r="35" spans="4:4" x14ac:dyDescent="0.25">
      <c r="D35" s="26"/>
    </row>
    <row r="36" spans="4:4" x14ac:dyDescent="0.25">
      <c r="D36" s="26"/>
    </row>
    <row r="37" spans="4:4" x14ac:dyDescent="0.25">
      <c r="D37" s="26"/>
    </row>
    <row r="38" spans="4:4" x14ac:dyDescent="0.25">
      <c r="D38" s="26"/>
    </row>
    <row r="39" spans="4:4" x14ac:dyDescent="0.25">
      <c r="D39" s="26"/>
    </row>
    <row r="40" spans="4:4" x14ac:dyDescent="0.25">
      <c r="D40" s="26"/>
    </row>
    <row r="41" spans="4:4" x14ac:dyDescent="0.25">
      <c r="D41" s="26"/>
    </row>
    <row r="42" spans="4:4" x14ac:dyDescent="0.25">
      <c r="D42" s="26"/>
    </row>
    <row r="43" spans="4:4" x14ac:dyDescent="0.25">
      <c r="D43" s="9"/>
    </row>
  </sheetData>
  <mergeCells count="1">
    <mergeCell ref="G20:H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I24" zoomScale="90" zoomScaleNormal="90" workbookViewId="0">
      <selection activeCell="W39" sqref="W39"/>
    </sheetView>
  </sheetViews>
  <sheetFormatPr defaultRowHeight="15" x14ac:dyDescent="0.25"/>
  <cols>
    <col min="1" max="1" width="31.140625" customWidth="1"/>
    <col min="2" max="2" width="13.7109375" customWidth="1"/>
    <col min="3" max="3" width="13.85546875" customWidth="1"/>
    <col min="4" max="4" width="18.42578125" customWidth="1"/>
    <col min="5" max="5" width="11.140625" customWidth="1"/>
    <col min="6" max="6" width="11.42578125" customWidth="1"/>
  </cols>
  <sheetData>
    <row r="1" spans="1:6" x14ac:dyDescent="0.25">
      <c r="A1" s="79" t="s">
        <v>51</v>
      </c>
      <c r="B1" s="80" t="s">
        <v>52</v>
      </c>
      <c r="C1" s="81"/>
      <c r="D1" s="82" t="s">
        <v>79</v>
      </c>
      <c r="E1" s="80" t="s">
        <v>82</v>
      </c>
      <c r="F1" s="80"/>
    </row>
    <row r="2" spans="1:6" x14ac:dyDescent="0.25">
      <c r="A2" s="79"/>
      <c r="B2" s="2" t="s">
        <v>53</v>
      </c>
      <c r="C2" s="33" t="s">
        <v>54</v>
      </c>
      <c r="D2" s="80"/>
      <c r="E2" s="2" t="s">
        <v>80</v>
      </c>
      <c r="F2" s="2" t="s">
        <v>81</v>
      </c>
    </row>
    <row r="3" spans="1:6" x14ac:dyDescent="0.25">
      <c r="A3" s="2" t="s">
        <v>55</v>
      </c>
      <c r="B3" s="1">
        <v>1725318</v>
      </c>
      <c r="C3" s="34">
        <v>2011069</v>
      </c>
      <c r="D3" s="2">
        <f t="shared" ref="D3:D26" si="0">(C3-B3)/B3*100</f>
        <v>16.562222152669825</v>
      </c>
      <c r="E3" s="2">
        <f>B3/B25*100</f>
        <v>15.98174433829479</v>
      </c>
      <c r="F3" s="2">
        <f>C3/C25*100</f>
        <v>19.649819210278292</v>
      </c>
    </row>
    <row r="4" spans="1:6" x14ac:dyDescent="0.25">
      <c r="A4" s="2" t="s">
        <v>56</v>
      </c>
      <c r="B4" s="1">
        <v>739814</v>
      </c>
      <c r="C4" s="34">
        <v>668870</v>
      </c>
      <c r="D4" s="2">
        <f t="shared" si="0"/>
        <v>-9.5894373450624073</v>
      </c>
      <c r="E4" s="2">
        <f>B4/B25*100</f>
        <v>6.8529501262325097</v>
      </c>
      <c r="F4" s="2">
        <f>C4/C25*100</f>
        <v>6.535417022080714</v>
      </c>
    </row>
    <row r="5" spans="1:6" x14ac:dyDescent="0.25">
      <c r="A5" s="2" t="s">
        <v>57</v>
      </c>
      <c r="B5" s="1">
        <v>644928</v>
      </c>
      <c r="C5" s="34">
        <v>755480</v>
      </c>
      <c r="D5" s="2">
        <f t="shared" si="0"/>
        <v>17.141758459859087</v>
      </c>
      <c r="E5" s="2">
        <f>B5/B25*100</f>
        <v>5.9740143049616252</v>
      </c>
      <c r="F5" s="2">
        <f>C5/C25*100</f>
        <v>7.3816688621728259</v>
      </c>
    </row>
    <row r="6" spans="1:6" x14ac:dyDescent="0.25">
      <c r="A6" s="2" t="s">
        <v>58</v>
      </c>
      <c r="B6" s="1">
        <v>351292</v>
      </c>
      <c r="C6" s="34">
        <v>385912</v>
      </c>
      <c r="D6" s="2">
        <f t="shared" si="0"/>
        <v>9.8550493606458449</v>
      </c>
      <c r="E6" s="2">
        <f>B6/B25*100</f>
        <v>3.2540429834316069</v>
      </c>
      <c r="F6" s="2">
        <f>C6/C25*100</f>
        <v>3.7706816777927141</v>
      </c>
    </row>
    <row r="7" spans="1:6" x14ac:dyDescent="0.25">
      <c r="A7" s="2" t="s">
        <v>59</v>
      </c>
      <c r="B7" s="1">
        <v>1033910</v>
      </c>
      <c r="C7" s="34">
        <v>893503</v>
      </c>
      <c r="D7" s="2">
        <f t="shared" si="0"/>
        <v>-13.580195568279638</v>
      </c>
      <c r="E7" s="2">
        <f>B7/B25*100</f>
        <v>9.577182460744261</v>
      </c>
      <c r="F7" s="2">
        <f>C7/C25*100</f>
        <v>8.7302685357097563</v>
      </c>
    </row>
    <row r="8" spans="1:6" x14ac:dyDescent="0.25">
      <c r="A8" s="2" t="s">
        <v>60</v>
      </c>
      <c r="B8" s="1">
        <v>367324</v>
      </c>
      <c r="C8" s="34">
        <v>275392</v>
      </c>
      <c r="D8" s="2">
        <f t="shared" si="0"/>
        <v>-25.027496161426971</v>
      </c>
      <c r="E8" s="2">
        <f>B8/B25*100</f>
        <v>3.4025485489166605</v>
      </c>
      <c r="F8" s="2">
        <f>C8/C25*100</f>
        <v>2.6908092223374527</v>
      </c>
    </row>
    <row r="9" spans="1:6" x14ac:dyDescent="0.25">
      <c r="A9" s="2" t="s">
        <v>61</v>
      </c>
      <c r="B9" s="1">
        <v>86782</v>
      </c>
      <c r="C9" s="34">
        <v>80484</v>
      </c>
      <c r="D9" s="2">
        <f t="shared" si="0"/>
        <v>-7.2572653315203617</v>
      </c>
      <c r="E9" s="2">
        <f>B9/B25*100</f>
        <v>0.8038678882188085</v>
      </c>
      <c r="F9" s="2">
        <f>C9/C25*100</f>
        <v>0.78639571756117665</v>
      </c>
    </row>
    <row r="10" spans="1:6" x14ac:dyDescent="0.25">
      <c r="A10" s="2" t="s">
        <v>62</v>
      </c>
      <c r="B10" s="1">
        <v>467968</v>
      </c>
      <c r="C10" s="34">
        <v>351358</v>
      </c>
      <c r="D10" s="2">
        <f t="shared" si="0"/>
        <v>-24.918370486870899</v>
      </c>
      <c r="E10" s="2">
        <f>B10/B25*100</f>
        <v>4.3348211370327876</v>
      </c>
      <c r="F10" s="2">
        <f>C10/C25*100</f>
        <v>3.4330603167195952</v>
      </c>
    </row>
    <row r="11" spans="1:6" x14ac:dyDescent="0.25">
      <c r="A11" s="2" t="s">
        <v>63</v>
      </c>
      <c r="B11" s="1">
        <v>1166818</v>
      </c>
      <c r="C11" s="34">
        <v>1073958</v>
      </c>
      <c r="D11" s="2">
        <f t="shared" si="0"/>
        <v>-7.9583962537430857</v>
      </c>
      <c r="E11" s="2">
        <f>B11/B25*100</f>
        <v>10.808318794170377</v>
      </c>
      <c r="F11" s="2">
        <f>C11/C25*100</f>
        <v>10.493464192144602</v>
      </c>
    </row>
    <row r="12" spans="1:6" x14ac:dyDescent="0.25">
      <c r="A12" s="2" t="s">
        <v>64</v>
      </c>
      <c r="B12" s="1">
        <v>878440</v>
      </c>
      <c r="C12" s="34">
        <v>814262</v>
      </c>
      <c r="D12" s="2">
        <f t="shared" si="0"/>
        <v>-7.3059059241382451</v>
      </c>
      <c r="E12" s="2">
        <f>B12/B25*100</f>
        <v>8.1370527036358951</v>
      </c>
      <c r="F12" s="2">
        <f>C12/C25*100</f>
        <v>7.9560179634809254</v>
      </c>
    </row>
    <row r="13" spans="1:6" x14ac:dyDescent="0.25">
      <c r="A13" s="2" t="s">
        <v>65</v>
      </c>
      <c r="B13" s="1">
        <v>143582</v>
      </c>
      <c r="C13" s="34">
        <v>107220</v>
      </c>
      <c r="D13" s="2">
        <f t="shared" si="0"/>
        <v>-25.324901450042486</v>
      </c>
      <c r="E13" s="2">
        <f>B13/B25*100</f>
        <v>1.3300103607456959</v>
      </c>
      <c r="F13" s="2">
        <f>C13/C25*100</f>
        <v>1.0476287067853158</v>
      </c>
    </row>
    <row r="14" spans="1:6" x14ac:dyDescent="0.25">
      <c r="A14" s="2" t="s">
        <v>66</v>
      </c>
      <c r="B14" s="1">
        <v>272189</v>
      </c>
      <c r="C14" s="34">
        <v>260851</v>
      </c>
      <c r="D14" s="2">
        <f t="shared" si="0"/>
        <v>-4.1654879513867202</v>
      </c>
      <c r="E14" s="2">
        <f>B14/B25*100</f>
        <v>2.5213062227926217</v>
      </c>
      <c r="F14" s="2">
        <f>C14/C25*100</f>
        <v>2.5487315406981574</v>
      </c>
    </row>
    <row r="15" spans="1:6" x14ac:dyDescent="0.25">
      <c r="A15" s="2" t="s">
        <v>67</v>
      </c>
      <c r="B15" s="1">
        <v>1322667</v>
      </c>
      <c r="C15" s="34">
        <v>1112995</v>
      </c>
      <c r="D15" s="2">
        <f t="shared" si="0"/>
        <v>-15.85221374692194</v>
      </c>
      <c r="E15" s="2">
        <f>B15/B25*100</f>
        <v>12.251959255452823</v>
      </c>
      <c r="F15" s="2">
        <f>C15/C25*100</f>
        <v>10.874888197244195</v>
      </c>
    </row>
    <row r="16" spans="1:6" x14ac:dyDescent="0.25">
      <c r="A16" s="2" t="s">
        <v>68</v>
      </c>
      <c r="B16" s="1">
        <v>10268</v>
      </c>
      <c r="C16" s="34">
        <v>16230</v>
      </c>
      <c r="D16" s="2">
        <f t="shared" si="0"/>
        <v>58.063887806778339</v>
      </c>
      <c r="E16" s="2">
        <f>B16/B25*100</f>
        <v>9.5113220209614047E-2</v>
      </c>
      <c r="F16" s="2">
        <f>C16/C25*100</f>
        <v>0.15858061845854948</v>
      </c>
    </row>
    <row r="17" spans="1:6" x14ac:dyDescent="0.25">
      <c r="A17" s="2" t="s">
        <v>69</v>
      </c>
      <c r="B17" s="1">
        <v>52009</v>
      </c>
      <c r="C17" s="34">
        <v>39009</v>
      </c>
      <c r="D17" s="2">
        <f t="shared" si="0"/>
        <v>-24.995673825684015</v>
      </c>
      <c r="E17" s="2">
        <f>B17/B25*100</f>
        <v>0.48176309601498024</v>
      </c>
      <c r="F17" s="2">
        <f>C17/C25*100</f>
        <v>0.3811504217775451</v>
      </c>
    </row>
    <row r="18" spans="1:6" x14ac:dyDescent="0.25">
      <c r="A18" s="2" t="s">
        <v>70</v>
      </c>
      <c r="B18" s="1">
        <v>453138</v>
      </c>
      <c r="C18" s="34">
        <v>382602</v>
      </c>
      <c r="D18" s="2">
        <f t="shared" si="0"/>
        <v>-15.566118930656886</v>
      </c>
      <c r="E18" s="2">
        <f>B18/B25*100</f>
        <v>4.1974497837304341</v>
      </c>
      <c r="F18" s="2">
        <f>C18/C25*100</f>
        <v>3.7383402207934657</v>
      </c>
    </row>
    <row r="19" spans="1:6" x14ac:dyDescent="0.25">
      <c r="A19" s="2" t="s">
        <v>71</v>
      </c>
      <c r="B19" s="1">
        <v>695930</v>
      </c>
      <c r="C19" s="34">
        <v>667225</v>
      </c>
      <c r="D19" s="2">
        <f t="shared" si="0"/>
        <v>-4.1246964493555387</v>
      </c>
      <c r="E19" s="2">
        <f>B19/B25*100</f>
        <v>6.4464494877752925</v>
      </c>
      <c r="F19" s="2">
        <f>C19/C25*100</f>
        <v>6.519344001910393</v>
      </c>
    </row>
    <row r="20" spans="1:6" x14ac:dyDescent="0.25">
      <c r="A20" s="2" t="s">
        <v>72</v>
      </c>
      <c r="B20" s="1">
        <v>67616</v>
      </c>
      <c r="C20" s="34">
        <v>56855</v>
      </c>
      <c r="D20" s="2">
        <f t="shared" si="0"/>
        <v>-15.914872219592995</v>
      </c>
      <c r="E20" s="2">
        <f>B20/B25*100</f>
        <v>0.62633185602778185</v>
      </c>
      <c r="F20" s="2">
        <f>C20/C25*100</f>
        <v>0.55552070625143757</v>
      </c>
    </row>
    <row r="21" spans="1:6" x14ac:dyDescent="0.25">
      <c r="A21" s="2" t="s">
        <v>73</v>
      </c>
      <c r="B21" s="1">
        <v>14281</v>
      </c>
      <c r="C21" s="34">
        <v>11032</v>
      </c>
      <c r="D21" s="2">
        <f t="shared" si="0"/>
        <v>-22.750507667530286</v>
      </c>
      <c r="E21" s="2">
        <f>B21/B25*100</f>
        <v>0.13228592693937458</v>
      </c>
      <c r="F21" s="2">
        <f>C21/C25*100</f>
        <v>0.10779182888692039</v>
      </c>
    </row>
    <row r="22" spans="1:6" x14ac:dyDescent="0.25">
      <c r="A22" s="2" t="s">
        <v>74</v>
      </c>
      <c r="B22" s="1">
        <v>41070</v>
      </c>
      <c r="C22" s="34">
        <v>44360</v>
      </c>
      <c r="D22" s="2">
        <f t="shared" si="0"/>
        <v>8.010713416118822</v>
      </c>
      <c r="E22" s="2">
        <f>B22/B25*100</f>
        <v>0.38043435469505738</v>
      </c>
      <c r="F22" s="2">
        <f>C22/C25*100</f>
        <v>0.43343414878750802</v>
      </c>
    </row>
    <row r="23" spans="1:6" x14ac:dyDescent="0.25">
      <c r="A23" s="2" t="s">
        <v>75</v>
      </c>
      <c r="B23" s="1">
        <v>210092</v>
      </c>
      <c r="C23" s="34">
        <v>188136</v>
      </c>
      <c r="D23" s="2">
        <f t="shared" si="0"/>
        <v>-10.450659710983759</v>
      </c>
      <c r="E23" s="2">
        <f>B23/B25*100</f>
        <v>1.9460972594739223</v>
      </c>
      <c r="F23" s="2">
        <f>C23/C25*100</f>
        <v>1.8382454241723762</v>
      </c>
    </row>
    <row r="24" spans="1:6" x14ac:dyDescent="0.25">
      <c r="A24" s="2" t="s">
        <v>76</v>
      </c>
      <c r="B24" s="1">
        <v>50119</v>
      </c>
      <c r="C24" s="34">
        <v>37739</v>
      </c>
      <c r="D24" s="2">
        <f t="shared" si="0"/>
        <v>-24.701211117540254</v>
      </c>
      <c r="E24" s="8">
        <f>B24/B25*100</f>
        <v>0.46425589050308208</v>
      </c>
      <c r="F24" s="8">
        <f>C24/C25*100</f>
        <v>0.36874146395608126</v>
      </c>
    </row>
    <row r="25" spans="1:6" x14ac:dyDescent="0.25">
      <c r="A25" s="31" t="s">
        <v>77</v>
      </c>
      <c r="B25" s="32">
        <f>SUM(B3:B24)</f>
        <v>10795555</v>
      </c>
      <c r="C25" s="35">
        <f>SUM(C3:C24)</f>
        <v>10234542</v>
      </c>
      <c r="D25" s="36">
        <f t="shared" si="0"/>
        <v>-5.196703643305046</v>
      </c>
      <c r="E25" s="83">
        <f>SUM(E3:E24)</f>
        <v>99.999999999999986</v>
      </c>
      <c r="F25" s="83">
        <f>SUM(F3:F24)</f>
        <v>100</v>
      </c>
    </row>
    <row r="26" spans="1:6" x14ac:dyDescent="0.25">
      <c r="A26" s="30" t="s">
        <v>78</v>
      </c>
      <c r="B26" s="17">
        <v>59582</v>
      </c>
      <c r="C26" s="17">
        <v>67169</v>
      </c>
      <c r="D26" s="36">
        <f t="shared" si="0"/>
        <v>12.733711523614513</v>
      </c>
      <c r="E26" s="83"/>
      <c r="F26" s="83"/>
    </row>
  </sheetData>
  <mergeCells count="6">
    <mergeCell ref="A1:A2"/>
    <mergeCell ref="B1:C1"/>
    <mergeCell ref="D1:D2"/>
    <mergeCell ref="E1:F1"/>
    <mergeCell ref="E25:E26"/>
    <mergeCell ref="F25:F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3" sqref="C3"/>
    </sheetView>
  </sheetViews>
  <sheetFormatPr defaultRowHeight="15" x14ac:dyDescent="0.25"/>
  <cols>
    <col min="1" max="1" width="18" customWidth="1"/>
    <col min="2" max="2" width="18.140625" customWidth="1"/>
    <col min="3" max="3" width="16.7109375" customWidth="1"/>
    <col min="4" max="4" width="21" customWidth="1"/>
  </cols>
  <sheetData>
    <row r="1" spans="1:5" ht="45" x14ac:dyDescent="0.25">
      <c r="A1" s="7" t="s">
        <v>83</v>
      </c>
      <c r="B1" s="6" t="s">
        <v>84</v>
      </c>
      <c r="C1" s="40" t="s">
        <v>96</v>
      </c>
      <c r="D1" s="39" t="s">
        <v>97</v>
      </c>
      <c r="E1" s="1" t="s">
        <v>98</v>
      </c>
    </row>
    <row r="2" spans="1:5" x14ac:dyDescent="0.25">
      <c r="A2" s="41" t="s">
        <v>94</v>
      </c>
      <c r="B2" s="41">
        <v>60000</v>
      </c>
      <c r="C2" s="42">
        <f>B2/SUM(B2:B12)*100</f>
        <v>38.585209003215432</v>
      </c>
      <c r="D2" s="42">
        <f>C2</f>
        <v>38.585209003215432</v>
      </c>
      <c r="E2" s="43" t="s">
        <v>99</v>
      </c>
    </row>
    <row r="3" spans="1:5" x14ac:dyDescent="0.25">
      <c r="A3" s="41" t="s">
        <v>92</v>
      </c>
      <c r="B3" s="41">
        <v>37000</v>
      </c>
      <c r="C3" s="42">
        <f>B3/SUM(B2:B12)*100</f>
        <v>23.79421221864952</v>
      </c>
      <c r="D3" s="42">
        <f>C3+C2</f>
        <v>62.379421221864952</v>
      </c>
      <c r="E3" s="43" t="s">
        <v>99</v>
      </c>
    </row>
    <row r="4" spans="1:5" x14ac:dyDescent="0.25">
      <c r="A4" s="41" t="s">
        <v>87</v>
      </c>
      <c r="B4" s="41">
        <v>21000</v>
      </c>
      <c r="C4" s="42">
        <f>B4/SUM(B2:B12)*100</f>
        <v>13.504823151125404</v>
      </c>
      <c r="D4" s="42">
        <f t="shared" ref="D4:D12" si="0">D3+C4</f>
        <v>75.884244372990352</v>
      </c>
      <c r="E4" s="43" t="s">
        <v>99</v>
      </c>
    </row>
    <row r="5" spans="1:5" x14ac:dyDescent="0.25">
      <c r="A5" s="44" t="s">
        <v>88</v>
      </c>
      <c r="B5" s="44">
        <v>10000</v>
      </c>
      <c r="C5" s="45">
        <f>B5/SUM(B2:B12)*100</f>
        <v>6.430868167202572</v>
      </c>
      <c r="D5" s="45">
        <f t="shared" si="0"/>
        <v>82.315112540192928</v>
      </c>
      <c r="E5" s="46" t="s">
        <v>100</v>
      </c>
    </row>
    <row r="6" spans="1:5" x14ac:dyDescent="0.25">
      <c r="A6" s="44" t="s">
        <v>85</v>
      </c>
      <c r="B6" s="44">
        <v>8000</v>
      </c>
      <c r="C6" s="45">
        <f>B6/SUM(B2:B12)*100</f>
        <v>5.144694533762058</v>
      </c>
      <c r="D6" s="45">
        <f t="shared" si="0"/>
        <v>87.459807073954991</v>
      </c>
      <c r="E6" s="46" t="s">
        <v>100</v>
      </c>
    </row>
    <row r="7" spans="1:5" x14ac:dyDescent="0.25">
      <c r="A7" s="44" t="s">
        <v>86</v>
      </c>
      <c r="B7" s="44">
        <v>7000</v>
      </c>
      <c r="C7" s="45">
        <f>B7/SUM(B2:B12)*100</f>
        <v>4.501607717041801</v>
      </c>
      <c r="D7" s="45">
        <f t="shared" si="0"/>
        <v>91.961414790996798</v>
      </c>
      <c r="E7" s="46" t="s">
        <v>100</v>
      </c>
    </row>
    <row r="8" spans="1:5" x14ac:dyDescent="0.25">
      <c r="A8" s="44" t="s">
        <v>91</v>
      </c>
      <c r="B8" s="44">
        <v>4000</v>
      </c>
      <c r="C8" s="45">
        <f>B8/SUM(B2:B12)*100</f>
        <v>2.572347266881029</v>
      </c>
      <c r="D8" s="45">
        <f t="shared" si="0"/>
        <v>94.533762057877823</v>
      </c>
      <c r="E8" s="46" t="s">
        <v>100</v>
      </c>
    </row>
    <row r="9" spans="1:5" x14ac:dyDescent="0.25">
      <c r="A9" s="49" t="s">
        <v>93</v>
      </c>
      <c r="B9" s="49">
        <v>3000</v>
      </c>
      <c r="C9" s="50">
        <f>B9/SUM(B2:B12)*100</f>
        <v>1.929260450160772</v>
      </c>
      <c r="D9" s="50">
        <f t="shared" si="0"/>
        <v>96.463022508038591</v>
      </c>
      <c r="E9" s="51" t="s">
        <v>101</v>
      </c>
    </row>
    <row r="10" spans="1:5" x14ac:dyDescent="0.25">
      <c r="A10" s="49" t="s">
        <v>95</v>
      </c>
      <c r="B10" s="49">
        <v>3000</v>
      </c>
      <c r="C10" s="50">
        <f>B10/SUM(B2:B12)*100</f>
        <v>1.929260450160772</v>
      </c>
      <c r="D10" s="50">
        <f t="shared" si="0"/>
        <v>98.39228295819936</v>
      </c>
      <c r="E10" s="51" t="s">
        <v>101</v>
      </c>
    </row>
    <row r="11" spans="1:5" x14ac:dyDescent="0.25">
      <c r="A11" s="49" t="s">
        <v>89</v>
      </c>
      <c r="B11" s="49">
        <v>1500</v>
      </c>
      <c r="C11" s="50">
        <f>B11/SUM(B2:B12)*100</f>
        <v>0.96463022508038598</v>
      </c>
      <c r="D11" s="50">
        <f t="shared" si="0"/>
        <v>99.356913183279744</v>
      </c>
      <c r="E11" s="51" t="s">
        <v>101</v>
      </c>
    </row>
    <row r="12" spans="1:5" x14ac:dyDescent="0.25">
      <c r="A12" s="49" t="s">
        <v>90</v>
      </c>
      <c r="B12" s="49">
        <v>1000</v>
      </c>
      <c r="C12" s="50">
        <f>B12/SUM(B2:B12)*100</f>
        <v>0.64308681672025725</v>
      </c>
      <c r="D12" s="50">
        <f t="shared" si="0"/>
        <v>100</v>
      </c>
      <c r="E12" s="51" t="s">
        <v>101</v>
      </c>
    </row>
  </sheetData>
  <sortState ref="A2:B12">
    <sortCondition descending="1"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B1" workbookViewId="0">
      <selection activeCell="H3" sqref="H3"/>
    </sheetView>
  </sheetViews>
  <sheetFormatPr defaultRowHeight="15" x14ac:dyDescent="0.25"/>
  <cols>
    <col min="1" max="1" width="18.42578125" customWidth="1"/>
    <col min="8" max="8" width="18.28515625" customWidth="1"/>
  </cols>
  <sheetData>
    <row r="1" spans="1:11" ht="30" x14ac:dyDescent="0.25">
      <c r="A1" s="7" t="s">
        <v>83</v>
      </c>
      <c r="B1" s="6" t="s">
        <v>102</v>
      </c>
      <c r="C1" s="6" t="s">
        <v>103</v>
      </c>
      <c r="D1" s="6" t="s">
        <v>104</v>
      </c>
      <c r="E1" s="6" t="s">
        <v>105</v>
      </c>
      <c r="F1" s="6" t="s">
        <v>106</v>
      </c>
      <c r="G1" s="6" t="s">
        <v>107</v>
      </c>
      <c r="H1" s="52" t="s">
        <v>108</v>
      </c>
      <c r="I1" s="52" t="s">
        <v>109</v>
      </c>
      <c r="K1" s="53" t="s">
        <v>110</v>
      </c>
    </row>
    <row r="2" spans="1:11" x14ac:dyDescent="0.25">
      <c r="A2" s="49" t="s">
        <v>91</v>
      </c>
      <c r="B2" s="49">
        <v>60</v>
      </c>
      <c r="C2" s="49">
        <v>57</v>
      </c>
      <c r="D2" s="49">
        <v>66</v>
      </c>
      <c r="E2" s="49">
        <v>68</v>
      </c>
      <c r="F2" s="49">
        <v>71</v>
      </c>
      <c r="G2" s="49">
        <v>69</v>
      </c>
      <c r="H2" s="50">
        <f>STDEV(B2:G2)/AVERAGE(B2:G2)*100</f>
        <v>8.428264477383161</v>
      </c>
      <c r="I2" s="49" t="str">
        <f>IF(H2&lt;10,"X",IF(H2&lt;25,"Y","Z"))</f>
        <v>X</v>
      </c>
    </row>
    <row r="3" spans="1:11" x14ac:dyDescent="0.25">
      <c r="A3" s="47" t="s">
        <v>92</v>
      </c>
      <c r="B3" s="47">
        <v>22</v>
      </c>
      <c r="C3" s="47">
        <v>28</v>
      </c>
      <c r="D3" s="47">
        <v>18</v>
      </c>
      <c r="E3" s="47">
        <v>19</v>
      </c>
      <c r="F3" s="47">
        <v>22</v>
      </c>
      <c r="G3" s="47">
        <v>25</v>
      </c>
      <c r="H3" s="48">
        <f t="shared" ref="H2:H9" si="0">STDEV(B3:G3)/AVERAGE(B3:G3)*100</f>
        <v>16.673719455246516</v>
      </c>
      <c r="I3" s="47" t="str">
        <f t="shared" ref="I2:I9" si="1">IF(H3&lt;10,"X",IF(H3&lt;25,"Y","Z"))</f>
        <v>Y</v>
      </c>
    </row>
    <row r="4" spans="1:11" x14ac:dyDescent="0.25">
      <c r="A4" s="47" t="s">
        <v>88</v>
      </c>
      <c r="B4" s="47">
        <v>30</v>
      </c>
      <c r="C4" s="47">
        <v>33</v>
      </c>
      <c r="D4" s="47">
        <v>25</v>
      </c>
      <c r="E4" s="47">
        <v>31</v>
      </c>
      <c r="F4" s="47">
        <v>32</v>
      </c>
      <c r="G4" s="47">
        <v>27</v>
      </c>
      <c r="H4" s="48">
        <f t="shared" si="0"/>
        <v>10.371218659967932</v>
      </c>
      <c r="I4" s="47" t="str">
        <f t="shared" si="1"/>
        <v>Y</v>
      </c>
    </row>
    <row r="5" spans="1:11" x14ac:dyDescent="0.25">
      <c r="A5" s="47" t="s">
        <v>85</v>
      </c>
      <c r="B5" s="47">
        <v>70</v>
      </c>
      <c r="C5" s="47">
        <v>65</v>
      </c>
      <c r="D5" s="47">
        <v>90</v>
      </c>
      <c r="E5" s="47">
        <v>68</v>
      </c>
      <c r="F5" s="47">
        <v>75</v>
      </c>
      <c r="G5" s="47">
        <v>80</v>
      </c>
      <c r="H5" s="48">
        <f t="shared" si="0"/>
        <v>12.323369412359195</v>
      </c>
      <c r="I5" s="47" t="str">
        <f t="shared" si="1"/>
        <v>Y</v>
      </c>
    </row>
    <row r="6" spans="1:11" x14ac:dyDescent="0.25">
      <c r="A6" s="47" t="s">
        <v>86</v>
      </c>
      <c r="B6" s="47">
        <v>7</v>
      </c>
      <c r="C6" s="47">
        <v>5</v>
      </c>
      <c r="D6" s="47">
        <v>6</v>
      </c>
      <c r="E6" s="47">
        <v>8</v>
      </c>
      <c r="F6" s="47">
        <v>9</v>
      </c>
      <c r="G6" s="47">
        <v>7</v>
      </c>
      <c r="H6" s="48">
        <f t="shared" si="0"/>
        <v>20.203050891044217</v>
      </c>
      <c r="I6" s="47" t="str">
        <f t="shared" si="1"/>
        <v>Y</v>
      </c>
    </row>
    <row r="7" spans="1:11" x14ac:dyDescent="0.25">
      <c r="A7" s="47" t="s">
        <v>93</v>
      </c>
      <c r="B7" s="47">
        <v>43</v>
      </c>
      <c r="C7" s="47">
        <v>44</v>
      </c>
      <c r="D7" s="47">
        <v>35</v>
      </c>
      <c r="E7" s="47">
        <v>51</v>
      </c>
      <c r="F7" s="47">
        <v>49</v>
      </c>
      <c r="G7" s="47">
        <v>47</v>
      </c>
      <c r="H7" s="48">
        <f t="shared" si="0"/>
        <v>12.650334220946904</v>
      </c>
      <c r="I7" s="47" t="str">
        <f t="shared" si="1"/>
        <v>Y</v>
      </c>
    </row>
    <row r="8" spans="1:11" x14ac:dyDescent="0.25">
      <c r="A8" s="44" t="s">
        <v>94</v>
      </c>
      <c r="B8" s="44">
        <v>15</v>
      </c>
      <c r="C8" s="44">
        <v>30</v>
      </c>
      <c r="D8" s="44">
        <v>27</v>
      </c>
      <c r="E8" s="44">
        <v>45</v>
      </c>
      <c r="F8" s="44">
        <v>80</v>
      </c>
      <c r="G8" s="44">
        <v>12</v>
      </c>
      <c r="H8" s="45">
        <f t="shared" si="0"/>
        <v>71.974828288402207</v>
      </c>
      <c r="I8" s="44" t="str">
        <f t="shared" si="1"/>
        <v>Z</v>
      </c>
    </row>
    <row r="9" spans="1:11" x14ac:dyDescent="0.25">
      <c r="A9" s="44" t="s">
        <v>87</v>
      </c>
      <c r="B9" s="44">
        <v>12</v>
      </c>
      <c r="C9" s="44">
        <v>6</v>
      </c>
      <c r="D9" s="44">
        <v>8</v>
      </c>
      <c r="E9" s="44">
        <v>13</v>
      </c>
      <c r="F9" s="44">
        <v>9</v>
      </c>
      <c r="G9" s="44">
        <v>10</v>
      </c>
      <c r="H9" s="45">
        <f t="shared" si="0"/>
        <v>26.710229973844267</v>
      </c>
      <c r="I9" s="44" t="str">
        <f t="shared" si="1"/>
        <v>Z</v>
      </c>
    </row>
  </sheetData>
  <sortState ref="A2:I9">
    <sortCondition ref="I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B7" workbookViewId="0">
      <selection activeCell="H19" sqref="H19"/>
    </sheetView>
  </sheetViews>
  <sheetFormatPr defaultRowHeight="15" x14ac:dyDescent="0.25"/>
  <cols>
    <col min="1" max="1" width="29.7109375" customWidth="1"/>
    <col min="2" max="2" width="14" customWidth="1"/>
    <col min="3" max="3" width="14.42578125" customWidth="1"/>
    <col min="4" max="4" width="21.7109375" customWidth="1"/>
    <col min="5" max="5" width="16.28515625" customWidth="1"/>
    <col min="6" max="6" width="14.140625" customWidth="1"/>
    <col min="7" max="8" width="10.7109375" customWidth="1"/>
  </cols>
  <sheetData>
    <row r="1" spans="1:7" x14ac:dyDescent="0.25">
      <c r="A1" s="38" t="s">
        <v>111</v>
      </c>
    </row>
    <row r="2" spans="1:7" ht="45" x14ac:dyDescent="0.25">
      <c r="A2" s="1" t="s">
        <v>112</v>
      </c>
      <c r="B2" s="54" t="s">
        <v>124</v>
      </c>
      <c r="C2" s="54" t="s">
        <v>125</v>
      </c>
      <c r="D2" s="54" t="s">
        <v>126</v>
      </c>
      <c r="E2" s="58" t="s">
        <v>133</v>
      </c>
      <c r="F2" s="61" t="s">
        <v>134</v>
      </c>
      <c r="G2" s="60" t="s">
        <v>109</v>
      </c>
    </row>
    <row r="3" spans="1:7" x14ac:dyDescent="0.25">
      <c r="A3" s="63" t="s">
        <v>113</v>
      </c>
      <c r="B3" s="64">
        <v>6.5</v>
      </c>
      <c r="C3" s="64">
        <v>5500</v>
      </c>
      <c r="D3" s="64">
        <v>35750</v>
      </c>
      <c r="E3" s="65">
        <f>D3/D14*100</f>
        <v>42.008413433291814</v>
      </c>
      <c r="F3" s="66">
        <f>E3</f>
        <v>42.008413433291814</v>
      </c>
      <c r="G3" s="67" t="s">
        <v>99</v>
      </c>
    </row>
    <row r="4" spans="1:7" x14ac:dyDescent="0.25">
      <c r="A4" s="63" t="s">
        <v>116</v>
      </c>
      <c r="B4" s="64">
        <v>9</v>
      </c>
      <c r="C4" s="64">
        <v>2743</v>
      </c>
      <c r="D4" s="64">
        <v>24687</v>
      </c>
      <c r="E4" s="65">
        <f>D4/D14*100</f>
        <v>29.008718949025873</v>
      </c>
      <c r="F4" s="66">
        <f t="shared" ref="F4:F12" si="0">F3+E4</f>
        <v>71.017132382317683</v>
      </c>
      <c r="G4" s="67" t="s">
        <v>99</v>
      </c>
    </row>
    <row r="5" spans="1:7" x14ac:dyDescent="0.25">
      <c r="A5" s="63" t="s">
        <v>119</v>
      </c>
      <c r="B5" s="64">
        <v>11.5</v>
      </c>
      <c r="C5" s="64">
        <v>592</v>
      </c>
      <c r="D5" s="64">
        <v>6808</v>
      </c>
      <c r="E5" s="65">
        <f>D5/D14*100</f>
        <v>7.9998119903175011</v>
      </c>
      <c r="F5" s="66">
        <f t="shared" si="0"/>
        <v>79.01694437263518</v>
      </c>
      <c r="G5" s="67" t="s">
        <v>99</v>
      </c>
    </row>
    <row r="6" spans="1:7" x14ac:dyDescent="0.25">
      <c r="A6" s="70" t="s">
        <v>114</v>
      </c>
      <c r="B6" s="49">
        <v>8</v>
      </c>
      <c r="C6" s="49">
        <v>745</v>
      </c>
      <c r="D6" s="49">
        <v>5960</v>
      </c>
      <c r="E6" s="50">
        <f>D6/D14*100</f>
        <v>7.0033606730746625</v>
      </c>
      <c r="F6" s="71">
        <f t="shared" si="0"/>
        <v>86.020305045709847</v>
      </c>
      <c r="G6" s="51" t="s">
        <v>100</v>
      </c>
    </row>
    <row r="7" spans="1:7" x14ac:dyDescent="0.25">
      <c r="A7" s="70" t="s">
        <v>117</v>
      </c>
      <c r="B7" s="49">
        <v>10</v>
      </c>
      <c r="C7" s="49">
        <v>340</v>
      </c>
      <c r="D7" s="49">
        <v>3400</v>
      </c>
      <c r="E7" s="50">
        <f>D7/D14*100</f>
        <v>3.9952057530962843</v>
      </c>
      <c r="F7" s="71">
        <f t="shared" si="0"/>
        <v>90.015510798806133</v>
      </c>
      <c r="G7" s="51" t="s">
        <v>100</v>
      </c>
    </row>
    <row r="8" spans="1:7" x14ac:dyDescent="0.25">
      <c r="A8" s="70" t="s">
        <v>120</v>
      </c>
      <c r="B8" s="49">
        <v>4.5</v>
      </c>
      <c r="C8" s="49">
        <v>567</v>
      </c>
      <c r="D8" s="49">
        <v>2551.5</v>
      </c>
      <c r="E8" s="50">
        <f>D8/D14*100</f>
        <v>2.9981669055956379</v>
      </c>
      <c r="F8" s="71">
        <f t="shared" si="0"/>
        <v>93.013677704401772</v>
      </c>
      <c r="G8" s="51" t="s">
        <v>100</v>
      </c>
    </row>
    <row r="9" spans="1:7" x14ac:dyDescent="0.25">
      <c r="A9" s="68" t="s">
        <v>118</v>
      </c>
      <c r="B9" s="44">
        <v>13</v>
      </c>
      <c r="C9" s="44">
        <v>196</v>
      </c>
      <c r="D9" s="44">
        <v>2548</v>
      </c>
      <c r="E9" s="45">
        <f>D9/D14*100</f>
        <v>2.9940541937909804</v>
      </c>
      <c r="F9" s="69">
        <f t="shared" si="0"/>
        <v>96.007731898192759</v>
      </c>
      <c r="G9" s="46" t="s">
        <v>101</v>
      </c>
    </row>
    <row r="10" spans="1:7" x14ac:dyDescent="0.25">
      <c r="A10" s="68" t="s">
        <v>115</v>
      </c>
      <c r="B10" s="44">
        <v>9.5</v>
      </c>
      <c r="C10" s="44">
        <v>179</v>
      </c>
      <c r="D10" s="44">
        <v>1700.5</v>
      </c>
      <c r="E10" s="45">
        <f>D10/D14*100</f>
        <v>1.9981904068059504</v>
      </c>
      <c r="F10" s="69">
        <f t="shared" si="0"/>
        <v>98.005922304998705</v>
      </c>
      <c r="G10" s="46" t="s">
        <v>101</v>
      </c>
    </row>
    <row r="11" spans="1:7" x14ac:dyDescent="0.25">
      <c r="A11" s="44" t="s">
        <v>122</v>
      </c>
      <c r="B11" s="44">
        <v>12</v>
      </c>
      <c r="C11" s="44">
        <v>71</v>
      </c>
      <c r="D11" s="44">
        <v>852</v>
      </c>
      <c r="E11" s="45">
        <f>D11/D14*100</f>
        <v>1.0011515593053042</v>
      </c>
      <c r="F11" s="69">
        <f t="shared" si="0"/>
        <v>99.007073864304004</v>
      </c>
      <c r="G11" s="46" t="s">
        <v>101</v>
      </c>
    </row>
    <row r="12" spans="1:7" x14ac:dyDescent="0.25">
      <c r="A12" s="68" t="s">
        <v>121</v>
      </c>
      <c r="B12" s="44">
        <v>13</v>
      </c>
      <c r="C12" s="44">
        <v>65</v>
      </c>
      <c r="D12" s="44">
        <v>845</v>
      </c>
      <c r="E12" s="45">
        <f>D12/D14*100</f>
        <v>0.99292613569598831</v>
      </c>
      <c r="F12" s="69">
        <f t="shared" si="0"/>
        <v>99.999999999999986</v>
      </c>
      <c r="G12" s="46" t="s">
        <v>101</v>
      </c>
    </row>
    <row r="14" spans="1:7" x14ac:dyDescent="0.25">
      <c r="A14" s="55" t="s">
        <v>123</v>
      </c>
      <c r="B14" s="2"/>
      <c r="C14" s="56">
        <f>SUM(C3:C12)</f>
        <v>10998</v>
      </c>
      <c r="D14" s="56">
        <f>SUM(D3:D12)</f>
        <v>85102</v>
      </c>
      <c r="E14" s="59">
        <f>SUM(E3:E12)</f>
        <v>99.999999999999986</v>
      </c>
      <c r="F14" s="62"/>
    </row>
    <row r="16" spans="1:7" x14ac:dyDescent="0.25">
      <c r="A16" s="38" t="s">
        <v>127</v>
      </c>
    </row>
    <row r="17" spans="1:8" ht="45" x14ac:dyDescent="0.25">
      <c r="A17" s="1" t="s">
        <v>112</v>
      </c>
      <c r="B17" s="57" t="s">
        <v>128</v>
      </c>
      <c r="C17" s="57" t="s">
        <v>129</v>
      </c>
      <c r="D17" s="1" t="s">
        <v>130</v>
      </c>
      <c r="E17" s="57" t="s">
        <v>131</v>
      </c>
      <c r="F17" s="57" t="s">
        <v>132</v>
      </c>
      <c r="G17" s="60" t="s">
        <v>108</v>
      </c>
      <c r="H17" s="1" t="s">
        <v>109</v>
      </c>
    </row>
    <row r="18" spans="1:8" x14ac:dyDescent="0.25">
      <c r="A18" s="72" t="s">
        <v>113</v>
      </c>
      <c r="B18" s="73">
        <v>87000</v>
      </c>
      <c r="C18" s="73">
        <v>91000</v>
      </c>
      <c r="D18" s="73">
        <v>90000</v>
      </c>
      <c r="E18" s="73">
        <v>89500</v>
      </c>
      <c r="F18" s="73">
        <f t="shared" ref="F18:F27" si="1">SUM(B18:E18)</f>
        <v>357500</v>
      </c>
      <c r="G18" s="74">
        <f>STDEV(B18:E18)/AVERAGE(B18:E18)*100</f>
        <v>1.9040165833717611</v>
      </c>
      <c r="H18" s="73" t="str">
        <f>IF(G18&lt;10,"X",IF(G18&lt;25,"Y","Z"))</f>
        <v>X</v>
      </c>
    </row>
    <row r="19" spans="1:8" x14ac:dyDescent="0.25">
      <c r="A19" s="72" t="s">
        <v>116</v>
      </c>
      <c r="B19" s="73">
        <v>59000</v>
      </c>
      <c r="C19" s="73">
        <v>60000</v>
      </c>
      <c r="D19" s="73">
        <v>65000</v>
      </c>
      <c r="E19" s="73">
        <v>62845</v>
      </c>
      <c r="F19" s="73">
        <f t="shared" si="1"/>
        <v>246845</v>
      </c>
      <c r="G19" s="74">
        <f t="shared" ref="G18:G27" si="2">STDEV(B19:E19)/AVERAGE(B19:E19)*100</f>
        <v>4.4259866899649154</v>
      </c>
      <c r="H19" s="73" t="str">
        <f t="shared" ref="H18:H27" si="3">IF(G19&lt;10,"X",IF(G19&lt;25,"Y","Z"))</f>
        <v>X</v>
      </c>
    </row>
    <row r="20" spans="1:8" x14ac:dyDescent="0.25">
      <c r="A20" s="72" t="s">
        <v>118</v>
      </c>
      <c r="B20" s="73">
        <v>6000</v>
      </c>
      <c r="C20" s="73">
        <v>6400</v>
      </c>
      <c r="D20" s="73">
        <v>6700</v>
      </c>
      <c r="E20" s="73">
        <v>6436</v>
      </c>
      <c r="F20" s="73">
        <f t="shared" si="1"/>
        <v>25536</v>
      </c>
      <c r="G20" s="74">
        <f t="shared" si="2"/>
        <v>4.5243128317132069</v>
      </c>
      <c r="H20" s="73" t="str">
        <f t="shared" si="3"/>
        <v>X</v>
      </c>
    </row>
    <row r="21" spans="1:8" x14ac:dyDescent="0.25">
      <c r="A21" s="72" t="s">
        <v>121</v>
      </c>
      <c r="B21" s="73">
        <v>2100</v>
      </c>
      <c r="C21" s="73">
        <v>2210</v>
      </c>
      <c r="D21" s="73">
        <v>2000</v>
      </c>
      <c r="E21" s="73">
        <v>2202</v>
      </c>
      <c r="F21" s="73">
        <f t="shared" si="1"/>
        <v>8512</v>
      </c>
      <c r="G21" s="74">
        <f t="shared" si="2"/>
        <v>4.6494858973659214</v>
      </c>
      <c r="H21" s="73" t="str">
        <f t="shared" si="3"/>
        <v>X</v>
      </c>
    </row>
    <row r="22" spans="1:8" x14ac:dyDescent="0.25">
      <c r="A22" s="70" t="s">
        <v>117</v>
      </c>
      <c r="B22" s="49">
        <v>7684</v>
      </c>
      <c r="C22" s="49">
        <v>9500</v>
      </c>
      <c r="D22" s="49">
        <v>6600</v>
      </c>
      <c r="E22" s="49">
        <v>10264</v>
      </c>
      <c r="F22" s="49">
        <f t="shared" si="1"/>
        <v>34048</v>
      </c>
      <c r="G22" s="76">
        <f t="shared" si="2"/>
        <v>19.643119459581229</v>
      </c>
      <c r="H22" s="49" t="str">
        <f t="shared" si="3"/>
        <v>Y</v>
      </c>
    </row>
    <row r="23" spans="1:8" x14ac:dyDescent="0.25">
      <c r="A23" s="68" t="s">
        <v>115</v>
      </c>
      <c r="B23" s="44">
        <v>2000</v>
      </c>
      <c r="C23" s="44">
        <v>6000</v>
      </c>
      <c r="D23" s="44">
        <v>5000</v>
      </c>
      <c r="E23" s="44">
        <v>4024</v>
      </c>
      <c r="F23" s="44">
        <f t="shared" si="1"/>
        <v>17024</v>
      </c>
      <c r="G23" s="75">
        <f t="shared" si="2"/>
        <v>40.100935927728166</v>
      </c>
      <c r="H23" s="44" t="str">
        <f t="shared" si="3"/>
        <v>Z</v>
      </c>
    </row>
    <row r="24" spans="1:8" x14ac:dyDescent="0.25">
      <c r="A24" s="68" t="s">
        <v>114</v>
      </c>
      <c r="B24" s="44">
        <v>8350</v>
      </c>
      <c r="C24" s="44">
        <v>16500</v>
      </c>
      <c r="D24" s="44">
        <v>18000</v>
      </c>
      <c r="E24" s="44">
        <v>16733</v>
      </c>
      <c r="F24" s="44">
        <f t="shared" si="1"/>
        <v>59583</v>
      </c>
      <c r="G24" s="75">
        <f t="shared" si="2"/>
        <v>29.628082870596323</v>
      </c>
      <c r="H24" s="44" t="str">
        <f t="shared" si="3"/>
        <v>Z</v>
      </c>
    </row>
    <row r="25" spans="1:8" x14ac:dyDescent="0.25">
      <c r="A25" s="68" t="s">
        <v>119</v>
      </c>
      <c r="B25" s="44">
        <v>10000</v>
      </c>
      <c r="C25" s="44">
        <v>20000</v>
      </c>
      <c r="D25" s="44">
        <v>23000</v>
      </c>
      <c r="E25" s="44">
        <v>15095</v>
      </c>
      <c r="F25" s="44">
        <f t="shared" si="1"/>
        <v>68095</v>
      </c>
      <c r="G25" s="75">
        <f t="shared" si="2"/>
        <v>33.509550127935462</v>
      </c>
      <c r="H25" s="44" t="str">
        <f t="shared" si="3"/>
        <v>Z</v>
      </c>
    </row>
    <row r="26" spans="1:8" x14ac:dyDescent="0.25">
      <c r="A26" s="68" t="s">
        <v>120</v>
      </c>
      <c r="B26" s="44">
        <v>3000</v>
      </c>
      <c r="C26" s="44">
        <v>7500</v>
      </c>
      <c r="D26" s="44">
        <v>9350</v>
      </c>
      <c r="E26" s="44">
        <v>5686</v>
      </c>
      <c r="F26" s="44">
        <f t="shared" si="1"/>
        <v>25536</v>
      </c>
      <c r="G26" s="75">
        <f t="shared" si="2"/>
        <v>42.400688086136853</v>
      </c>
      <c r="H26" s="44" t="str">
        <f t="shared" si="3"/>
        <v>Z</v>
      </c>
    </row>
    <row r="27" spans="1:8" x14ac:dyDescent="0.25">
      <c r="A27" s="44" t="s">
        <v>122</v>
      </c>
      <c r="B27" s="44">
        <v>480</v>
      </c>
      <c r="C27" s="44">
        <v>2780</v>
      </c>
      <c r="D27" s="44">
        <v>3000</v>
      </c>
      <c r="E27" s="44">
        <v>2252</v>
      </c>
      <c r="F27" s="44">
        <f t="shared" si="1"/>
        <v>8512</v>
      </c>
      <c r="G27" s="75">
        <f t="shared" si="2"/>
        <v>53.694731247981309</v>
      </c>
      <c r="H27" s="44" t="str">
        <f t="shared" si="3"/>
        <v>Z</v>
      </c>
    </row>
    <row r="28" spans="1:8" x14ac:dyDescent="0.25">
      <c r="A28" s="55" t="s">
        <v>123</v>
      </c>
      <c r="B28" s="56">
        <f>SUM(B18:B27)</f>
        <v>185614</v>
      </c>
      <c r="C28" s="56">
        <f>SUM(C18:C27)</f>
        <v>221890</v>
      </c>
      <c r="D28" s="56">
        <f>SUM(D18:D27)</f>
        <v>228650</v>
      </c>
      <c r="E28" s="56">
        <f>SUM(E18:E27)</f>
        <v>215037</v>
      </c>
      <c r="F28" s="56">
        <f>SUM(F18:F27)</f>
        <v>851191</v>
      </c>
    </row>
    <row r="31" spans="1:8" x14ac:dyDescent="0.25">
      <c r="A31" s="1" t="s">
        <v>135</v>
      </c>
      <c r="B31" s="1" t="s">
        <v>136</v>
      </c>
      <c r="C31" s="1" t="s">
        <v>137</v>
      </c>
      <c r="D31" s="1" t="s">
        <v>138</v>
      </c>
    </row>
    <row r="32" spans="1:8" ht="30" x14ac:dyDescent="0.25">
      <c r="A32" s="1" t="s">
        <v>99</v>
      </c>
      <c r="B32" s="57" t="s">
        <v>139</v>
      </c>
      <c r="C32" s="1" t="s">
        <v>140</v>
      </c>
      <c r="D32" s="1" t="s">
        <v>119</v>
      </c>
    </row>
    <row r="33" spans="1:4" ht="30" x14ac:dyDescent="0.25">
      <c r="A33" s="1" t="s">
        <v>100</v>
      </c>
      <c r="B33" s="1" t="s">
        <v>140</v>
      </c>
      <c r="C33" s="1" t="s">
        <v>117</v>
      </c>
      <c r="D33" s="57" t="s">
        <v>141</v>
      </c>
    </row>
    <row r="34" spans="1:4" ht="45" x14ac:dyDescent="0.25">
      <c r="A34" s="1" t="s">
        <v>101</v>
      </c>
      <c r="B34" s="57" t="s">
        <v>142</v>
      </c>
      <c r="C34" s="1" t="s">
        <v>140</v>
      </c>
      <c r="D34" s="57" t="s">
        <v>143</v>
      </c>
    </row>
  </sheetData>
  <autoFilter ref="E2:E12">
    <sortState ref="A3:F12">
      <sortCondition descending="1" ref="E2:E12"/>
    </sortState>
  </autoFilter>
  <sortState ref="A18:H28">
    <sortCondition ref="H1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32" zoomScale="80" zoomScaleNormal="80" workbookViewId="0">
      <selection activeCell="H60" sqref="H60"/>
    </sheetView>
  </sheetViews>
  <sheetFormatPr defaultRowHeight="15" x14ac:dyDescent="0.25"/>
  <cols>
    <col min="2" max="2" width="27.28515625" customWidth="1"/>
    <col min="3" max="3" width="10.42578125" customWidth="1"/>
    <col min="7" max="7" width="14.85546875" customWidth="1"/>
    <col min="8" max="8" width="16.42578125" customWidth="1"/>
    <col min="9" max="9" width="14" customWidth="1"/>
    <col min="10" max="10" width="21.140625" customWidth="1"/>
    <col min="11" max="11" width="13.5703125" customWidth="1"/>
    <col min="12" max="12" width="16.28515625" customWidth="1"/>
  </cols>
  <sheetData>
    <row r="1" spans="1:13" ht="21.75" customHeight="1" x14ac:dyDescent="0.25">
      <c r="A1" s="79" t="s">
        <v>154</v>
      </c>
      <c r="B1" s="84" t="s">
        <v>145</v>
      </c>
      <c r="C1" s="79" t="s">
        <v>150</v>
      </c>
      <c r="D1" s="79"/>
      <c r="E1" s="79"/>
      <c r="F1" s="79"/>
      <c r="G1" s="79" t="s">
        <v>159</v>
      </c>
      <c r="H1" s="79"/>
      <c r="I1" s="79"/>
      <c r="J1" s="79" t="s">
        <v>155</v>
      </c>
      <c r="K1" s="79" t="s">
        <v>158</v>
      </c>
      <c r="L1" s="79"/>
      <c r="M1" s="79"/>
    </row>
    <row r="2" spans="1:13" x14ac:dyDescent="0.25">
      <c r="A2" s="79"/>
      <c r="B2" s="84"/>
      <c r="C2" s="29" t="s">
        <v>146</v>
      </c>
      <c r="D2" s="29" t="s">
        <v>147</v>
      </c>
      <c r="E2" s="29" t="s">
        <v>148</v>
      </c>
      <c r="F2" s="29" t="s">
        <v>149</v>
      </c>
      <c r="G2" s="4" t="s">
        <v>151</v>
      </c>
      <c r="H2" s="4" t="s">
        <v>152</v>
      </c>
      <c r="I2" s="4" t="s">
        <v>109</v>
      </c>
      <c r="J2" s="79"/>
      <c r="K2" s="29" t="s">
        <v>156</v>
      </c>
      <c r="L2" s="29" t="s">
        <v>157</v>
      </c>
      <c r="M2" s="29" t="s">
        <v>109</v>
      </c>
    </row>
    <row r="3" spans="1:13" x14ac:dyDescent="0.25">
      <c r="A3" s="92">
        <v>1</v>
      </c>
      <c r="B3" s="92">
        <v>4900</v>
      </c>
      <c r="C3" s="93">
        <v>4000</v>
      </c>
      <c r="D3" s="93">
        <v>3700</v>
      </c>
      <c r="E3" s="93">
        <v>3500</v>
      </c>
      <c r="F3" s="93">
        <v>4100</v>
      </c>
      <c r="G3" s="103">
        <f>B3/SUM(B3:B12)</f>
        <v>0.3132992327365729</v>
      </c>
      <c r="H3" s="103">
        <f>G3</f>
        <v>0.3132992327365729</v>
      </c>
      <c r="I3" s="94" t="str">
        <f>IF(H3&lt;=80%,"A",IF(H3&gt;95%,"C","B"))</f>
        <v>A</v>
      </c>
      <c r="J3" s="67">
        <f>SUM(C3:F3)</f>
        <v>15300</v>
      </c>
      <c r="K3" s="107">
        <f>J3/SUM(J3:J12)</f>
        <v>0.26055858310626701</v>
      </c>
      <c r="L3" s="107">
        <f>K3</f>
        <v>0.26055858310626701</v>
      </c>
      <c r="M3" s="67" t="str">
        <f>IF(L3&lt;=80%,"A",IF(L3&gt;95%,"C","B"))</f>
        <v>A</v>
      </c>
    </row>
    <row r="4" spans="1:13" x14ac:dyDescent="0.25">
      <c r="A4" s="92">
        <v>9</v>
      </c>
      <c r="B4" s="92">
        <v>3800</v>
      </c>
      <c r="C4" s="93">
        <v>3600</v>
      </c>
      <c r="D4" s="93">
        <v>3300</v>
      </c>
      <c r="E4" s="93">
        <v>4000</v>
      </c>
      <c r="F4" s="93">
        <v>3400</v>
      </c>
      <c r="G4" s="103">
        <f>B4/SUM(B3:B12)</f>
        <v>0.24296675191815856</v>
      </c>
      <c r="H4" s="103">
        <f>H3+G4</f>
        <v>0.55626598465473143</v>
      </c>
      <c r="I4" s="94" t="str">
        <f>IF(H4&lt;=80%,"A",IF(H4&gt;95%,"C","B"))</f>
        <v>A</v>
      </c>
      <c r="J4" s="93">
        <f>SUM(C4:F4)</f>
        <v>14300</v>
      </c>
      <c r="K4" s="108">
        <f>J4/SUM(J3:J12)</f>
        <v>0.24352861035422343</v>
      </c>
      <c r="L4" s="108">
        <f>L3+K4</f>
        <v>0.50408719346049047</v>
      </c>
      <c r="M4" s="93" t="str">
        <f>IF(L4&lt;=80%,"A",IF(L4&gt;95%,"C","B"))</f>
        <v>A</v>
      </c>
    </row>
    <row r="5" spans="1:13" x14ac:dyDescent="0.25">
      <c r="A5" s="92">
        <v>8</v>
      </c>
      <c r="B5" s="92">
        <v>2500</v>
      </c>
      <c r="C5" s="93">
        <v>400</v>
      </c>
      <c r="D5" s="93">
        <v>1600</v>
      </c>
      <c r="E5" s="93">
        <v>2000</v>
      </c>
      <c r="F5" s="93">
        <v>2900</v>
      </c>
      <c r="G5" s="103">
        <f>B5/SUM(B3:B12)</f>
        <v>0.15984654731457801</v>
      </c>
      <c r="H5" s="103">
        <f>H4+G5</f>
        <v>0.71611253196930946</v>
      </c>
      <c r="I5" s="94" t="str">
        <f>IF(H5&lt;=80%,"A",IF(H5&gt;95%,"C","B"))</f>
        <v>A</v>
      </c>
      <c r="J5" s="93">
        <f>SUM(C5:F5)</f>
        <v>6900</v>
      </c>
      <c r="K5" s="108">
        <f>J5/SUM(J3:J12)</f>
        <v>0.11750681198910082</v>
      </c>
      <c r="L5" s="108">
        <f>L4+K5</f>
        <v>0.62159400544959131</v>
      </c>
      <c r="M5" s="93" t="str">
        <f>IF(L5&lt;=80%,"A",IF(L5&gt;95%,"C","B"))</f>
        <v>A</v>
      </c>
    </row>
    <row r="6" spans="1:13" ht="16.5" customHeight="1" x14ac:dyDescent="0.25">
      <c r="A6" s="95">
        <v>4</v>
      </c>
      <c r="B6" s="95">
        <v>1900</v>
      </c>
      <c r="C6" s="96">
        <v>3300</v>
      </c>
      <c r="D6" s="96">
        <v>1000</v>
      </c>
      <c r="E6" s="96">
        <v>1500</v>
      </c>
      <c r="F6" s="96">
        <v>2000</v>
      </c>
      <c r="G6" s="104">
        <f>B6/SUM(B3:B12)</f>
        <v>0.12148337595907928</v>
      </c>
      <c r="H6" s="104">
        <f>H5+G6</f>
        <v>0.83759590792838878</v>
      </c>
      <c r="I6" s="98" t="str">
        <f>IF(H6&lt;=80%,"A",IF(H6&gt;95%,"C","B"))</f>
        <v>B</v>
      </c>
      <c r="J6" s="93">
        <f>SUM(C6:F6)</f>
        <v>7800</v>
      </c>
      <c r="K6" s="108">
        <f>J6/SUM(J3:J12)</f>
        <v>0.13283378746594005</v>
      </c>
      <c r="L6" s="108">
        <f>L5+K6</f>
        <v>0.75442779291553141</v>
      </c>
      <c r="M6" s="93" t="str">
        <f>IF(L6&lt;=80%,"A",IF(L6&gt;95%,"C","B"))</f>
        <v>A</v>
      </c>
    </row>
    <row r="7" spans="1:13" x14ac:dyDescent="0.25">
      <c r="A7" s="95">
        <v>7</v>
      </c>
      <c r="B7" s="95">
        <v>900</v>
      </c>
      <c r="C7" s="96">
        <v>1400</v>
      </c>
      <c r="D7" s="96">
        <v>1040</v>
      </c>
      <c r="E7" s="96">
        <v>1200</v>
      </c>
      <c r="F7" s="96">
        <v>1300</v>
      </c>
      <c r="G7" s="104">
        <f>B7/SUM(B3:B12)</f>
        <v>5.754475703324808E-2</v>
      </c>
      <c r="H7" s="104">
        <f>H6+G7</f>
        <v>0.89514066496163691</v>
      </c>
      <c r="I7" s="98" t="str">
        <f>IF(H7&lt;=80%,"A",IF(H7&gt;95%,"C","B"))</f>
        <v>B</v>
      </c>
      <c r="J7" s="96">
        <f>SUM(C7:F7)</f>
        <v>4940</v>
      </c>
      <c r="K7" s="109">
        <f>J7/SUM(J3:J12)</f>
        <v>8.4128065395095361E-2</v>
      </c>
      <c r="L7" s="109">
        <f>L6+K7</f>
        <v>0.83855585831062673</v>
      </c>
      <c r="M7" s="96" t="str">
        <f>IF(L7&lt;=80%,"A",IF(L7&gt;95%,"C","B"))</f>
        <v>B</v>
      </c>
    </row>
    <row r="8" spans="1:13" x14ac:dyDescent="0.25">
      <c r="A8" s="95">
        <v>10</v>
      </c>
      <c r="B8" s="95">
        <v>690</v>
      </c>
      <c r="C8" s="96">
        <v>700</v>
      </c>
      <c r="D8" s="96">
        <v>1000</v>
      </c>
      <c r="E8" s="96">
        <v>1100</v>
      </c>
      <c r="F8" s="96">
        <v>800</v>
      </c>
      <c r="G8" s="104">
        <f>B8/SUM(B3:B12)</f>
        <v>4.4117647058823532E-2</v>
      </c>
      <c r="H8" s="104">
        <f>H7+G8</f>
        <v>0.9392583120204604</v>
      </c>
      <c r="I8" s="98" t="str">
        <f>IF(H8&lt;=80%,"A",IF(H8&gt;95%,"C","B"))</f>
        <v>B</v>
      </c>
      <c r="J8" s="96">
        <f>SUM(C8:F8)</f>
        <v>3600</v>
      </c>
      <c r="K8" s="109">
        <f>J8/SUM(J3:J12)</f>
        <v>6.1307901907356951E-2</v>
      </c>
      <c r="L8" s="109">
        <f>L7+K8</f>
        <v>0.89986376021798364</v>
      </c>
      <c r="M8" s="96" t="str">
        <f>IF(L8&lt;=80%,"A",IF(L8&gt;95%,"C","B"))</f>
        <v>B</v>
      </c>
    </row>
    <row r="9" spans="1:13" x14ac:dyDescent="0.25">
      <c r="A9" s="99">
        <v>6</v>
      </c>
      <c r="B9" s="99">
        <v>450</v>
      </c>
      <c r="C9" s="100">
        <v>450</v>
      </c>
      <c r="D9" s="100">
        <v>490</v>
      </c>
      <c r="E9" s="100">
        <v>460</v>
      </c>
      <c r="F9" s="100">
        <v>480</v>
      </c>
      <c r="G9" s="105">
        <f>B9/SUM(B3:B12)</f>
        <v>2.877237851662404E-2</v>
      </c>
      <c r="H9" s="105">
        <f>H8+G9</f>
        <v>0.96803069053708446</v>
      </c>
      <c r="I9" s="102" t="str">
        <f>IF(H9&lt;=80%,"A",IF(H9&gt;95%,"C","B"))</f>
        <v>C</v>
      </c>
      <c r="J9" s="96">
        <f>SUM(C9:F9)</f>
        <v>1880</v>
      </c>
      <c r="K9" s="109">
        <f>J9/SUM(J3:J12)</f>
        <v>3.2016348773841963E-2</v>
      </c>
      <c r="L9" s="109">
        <f>L8+K9</f>
        <v>0.93188010899182561</v>
      </c>
      <c r="M9" s="96" t="str">
        <f>IF(L9&lt;=80%,"A",IF(L9&gt;95%,"C","B"))</f>
        <v>B</v>
      </c>
    </row>
    <row r="10" spans="1:13" x14ac:dyDescent="0.25">
      <c r="A10" s="99">
        <v>3</v>
      </c>
      <c r="B10" s="99">
        <v>200</v>
      </c>
      <c r="C10" s="100">
        <v>500</v>
      </c>
      <c r="D10" s="100">
        <v>600</v>
      </c>
      <c r="E10" s="100">
        <v>400</v>
      </c>
      <c r="F10" s="100">
        <v>900</v>
      </c>
      <c r="G10" s="105">
        <f>B10/SUM(B3:B12)</f>
        <v>1.278772378516624E-2</v>
      </c>
      <c r="H10" s="105">
        <f>H9+G10</f>
        <v>0.9808184143222507</v>
      </c>
      <c r="I10" s="102" t="str">
        <f>IF(H10&lt;=80%,"A",IF(H10&gt;95%,"C","B"))</f>
        <v>C</v>
      </c>
      <c r="J10" s="100">
        <f>SUM(C10:F10)</f>
        <v>2400</v>
      </c>
      <c r="K10" s="110">
        <f>J10/SUM(J3:J12)</f>
        <v>4.0871934604904632E-2</v>
      </c>
      <c r="L10" s="110">
        <f>L9+K10</f>
        <v>0.97275204359673029</v>
      </c>
      <c r="M10" s="100" t="str">
        <f>IF(L10&lt;=80%,"A",IF(L10&gt;95%,"C","B"))</f>
        <v>C</v>
      </c>
    </row>
    <row r="11" spans="1:13" x14ac:dyDescent="0.25">
      <c r="A11" s="99">
        <v>2</v>
      </c>
      <c r="B11" s="99">
        <v>150</v>
      </c>
      <c r="C11" s="100">
        <v>240</v>
      </c>
      <c r="D11" s="100">
        <v>300</v>
      </c>
      <c r="E11" s="100">
        <v>340</v>
      </c>
      <c r="F11" s="100">
        <v>400</v>
      </c>
      <c r="G11" s="105">
        <f>B11/SUM(B3:B12)</f>
        <v>9.5907928388746806E-3</v>
      </c>
      <c r="H11" s="105">
        <f>H10+G11</f>
        <v>0.99040920716112535</v>
      </c>
      <c r="I11" s="102" t="str">
        <f>IF(H11&lt;=80%,"A",IF(H11&gt;95%,"C","B"))</f>
        <v>C</v>
      </c>
      <c r="J11" s="100">
        <f>SUM(C11:F11)</f>
        <v>1280</v>
      </c>
      <c r="K11" s="110">
        <f>J11/SUM(J3:J12)</f>
        <v>2.1798365122615803E-2</v>
      </c>
      <c r="L11" s="110">
        <f>L10+K11</f>
        <v>0.99455040871934608</v>
      </c>
      <c r="M11" s="100" t="str">
        <f>IF(L11&lt;=80%,"A",IF(L11&gt;95%,"C","B"))</f>
        <v>C</v>
      </c>
    </row>
    <row r="12" spans="1:13" x14ac:dyDescent="0.25">
      <c r="A12" s="99">
        <v>5</v>
      </c>
      <c r="B12" s="99">
        <v>150</v>
      </c>
      <c r="C12" s="100">
        <v>50</v>
      </c>
      <c r="D12" s="100">
        <v>70</v>
      </c>
      <c r="E12" s="100">
        <v>180</v>
      </c>
      <c r="F12" s="100">
        <v>20</v>
      </c>
      <c r="G12" s="105">
        <f>B12/SUM(B3:B12)</f>
        <v>9.5907928388746806E-3</v>
      </c>
      <c r="H12" s="105">
        <f>H11+G12</f>
        <v>1</v>
      </c>
      <c r="I12" s="102" t="str">
        <f>IF(H12&lt;=80%,"A",IF(H12&gt;95%,"C","B"))</f>
        <v>C</v>
      </c>
      <c r="J12" s="100">
        <f>SUM(C12:F12)</f>
        <v>320</v>
      </c>
      <c r="K12" s="110">
        <f>J12/SUM(J3:J12)</f>
        <v>5.4495912806539508E-3</v>
      </c>
      <c r="L12" s="110">
        <f>L11+K12</f>
        <v>1</v>
      </c>
      <c r="M12" s="100" t="str">
        <f>IF(L12&lt;=80%,"A",IF(L12&gt;95%,"C","B"))</f>
        <v>C</v>
      </c>
    </row>
    <row r="13" spans="1:13" x14ac:dyDescent="0.25">
      <c r="A13" s="9" t="s">
        <v>153</v>
      </c>
      <c r="B13" s="9">
        <f>SUM(B3:B12)</f>
        <v>15640</v>
      </c>
      <c r="G13" s="106">
        <f>SUM(G3:G12)</f>
        <v>1</v>
      </c>
      <c r="H13" s="9"/>
      <c r="I13" s="9"/>
    </row>
    <row r="14" spans="1:13" x14ac:dyDescent="0.25">
      <c r="C14" s="9"/>
      <c r="D14" s="9"/>
      <c r="E14" s="9"/>
      <c r="F14" s="9"/>
    </row>
    <row r="15" spans="1:13" x14ac:dyDescent="0.25">
      <c r="D15" s="85"/>
      <c r="E15" s="85"/>
    </row>
    <row r="35" spans="1:10" x14ac:dyDescent="0.25">
      <c r="A35" s="79" t="s">
        <v>154</v>
      </c>
      <c r="B35" s="84" t="s">
        <v>145</v>
      </c>
      <c r="C35" s="79" t="s">
        <v>150</v>
      </c>
      <c r="D35" s="79"/>
      <c r="E35" s="79"/>
      <c r="F35" s="79"/>
      <c r="G35" s="82" t="s">
        <v>160</v>
      </c>
      <c r="H35" s="82" t="s">
        <v>161</v>
      </c>
      <c r="I35" s="112" t="s">
        <v>162</v>
      </c>
      <c r="J35" s="79" t="s">
        <v>109</v>
      </c>
    </row>
    <row r="36" spans="1:10" ht="30" customHeight="1" x14ac:dyDescent="0.25">
      <c r="A36" s="79"/>
      <c r="B36" s="84"/>
      <c r="C36" s="29" t="s">
        <v>146</v>
      </c>
      <c r="D36" s="29" t="s">
        <v>147</v>
      </c>
      <c r="E36" s="29" t="s">
        <v>148</v>
      </c>
      <c r="F36" s="29" t="s">
        <v>149</v>
      </c>
      <c r="G36" s="80"/>
      <c r="H36" s="80"/>
      <c r="I36" s="113"/>
      <c r="J36" s="79"/>
    </row>
    <row r="37" spans="1:10" x14ac:dyDescent="0.25">
      <c r="A37" s="95">
        <v>1</v>
      </c>
      <c r="B37" s="95">
        <v>4900</v>
      </c>
      <c r="C37" s="96">
        <v>4000</v>
      </c>
      <c r="D37" s="96">
        <v>3700</v>
      </c>
      <c r="E37" s="96">
        <v>3500</v>
      </c>
      <c r="F37" s="96">
        <v>4100</v>
      </c>
      <c r="G37" s="49">
        <f>AVERAGE(C37:F37)</f>
        <v>3825</v>
      </c>
      <c r="H37" s="97">
        <f>STDEV(C37:F37)</f>
        <v>275.37852736430511</v>
      </c>
      <c r="I37" s="117">
        <f>H37/G37</f>
        <v>7.1994386239034022E-2</v>
      </c>
      <c r="J37" s="49" t="str">
        <f>IF(I37&lt;10%,"X",IF(I37&lt;25%,"Y","Z"))</f>
        <v>X</v>
      </c>
    </row>
    <row r="38" spans="1:10" x14ac:dyDescent="0.25">
      <c r="A38" s="99">
        <v>2</v>
      </c>
      <c r="B38" s="99">
        <v>150</v>
      </c>
      <c r="C38" s="100">
        <v>240</v>
      </c>
      <c r="D38" s="100">
        <v>300</v>
      </c>
      <c r="E38" s="100">
        <v>340</v>
      </c>
      <c r="F38" s="100">
        <v>400</v>
      </c>
      <c r="G38" s="44">
        <f>AVERAGE(C38:F38)</f>
        <v>320</v>
      </c>
      <c r="H38" s="101">
        <f>STDEV(C38:F38)</f>
        <v>67.330032922413849</v>
      </c>
      <c r="I38" s="118">
        <f>H38/G38</f>
        <v>0.21040635288254328</v>
      </c>
      <c r="J38" s="44" t="str">
        <f>IF(I38&lt;10%,"X",IF(I38&lt;25%,"Y","Z"))</f>
        <v>Y</v>
      </c>
    </row>
    <row r="39" spans="1:10" x14ac:dyDescent="0.25">
      <c r="A39" s="89">
        <v>3</v>
      </c>
      <c r="B39" s="89">
        <v>200</v>
      </c>
      <c r="C39" s="90">
        <v>500</v>
      </c>
      <c r="D39" s="90">
        <v>600</v>
      </c>
      <c r="E39" s="90">
        <v>400</v>
      </c>
      <c r="F39" s="90">
        <v>900</v>
      </c>
      <c r="G39" s="115">
        <f>AVERAGE(C39:F39)</f>
        <v>600</v>
      </c>
      <c r="H39" s="91">
        <f>STDEV(C39:F39)</f>
        <v>216.02468994692867</v>
      </c>
      <c r="I39" s="116">
        <f>H39/G39</f>
        <v>0.36004114991154779</v>
      </c>
      <c r="J39" s="115" t="str">
        <f>IF(I39&lt;10%,"X",IF(I39&lt;25%,"Y","Z"))</f>
        <v>Z</v>
      </c>
    </row>
    <row r="40" spans="1:10" x14ac:dyDescent="0.25">
      <c r="A40" s="89">
        <v>4</v>
      </c>
      <c r="B40" s="89">
        <v>1900</v>
      </c>
      <c r="C40" s="90">
        <v>3300</v>
      </c>
      <c r="D40" s="90">
        <v>1000</v>
      </c>
      <c r="E40" s="90">
        <v>1500</v>
      </c>
      <c r="F40" s="90">
        <v>2000</v>
      </c>
      <c r="G40" s="115">
        <f>AVERAGE(C40:F40)</f>
        <v>1950</v>
      </c>
      <c r="H40" s="91">
        <f>STDEV(C40:F40)</f>
        <v>988.26447202490624</v>
      </c>
      <c r="I40" s="116">
        <f>H40/G40</f>
        <v>0.50680229334610571</v>
      </c>
      <c r="J40" s="115" t="str">
        <f>IF(I40&lt;10%,"X",IF(I40&lt;25%,"Y","Z"))</f>
        <v>Z</v>
      </c>
    </row>
    <row r="41" spans="1:10" x14ac:dyDescent="0.25">
      <c r="A41" s="89">
        <v>5</v>
      </c>
      <c r="B41" s="89">
        <v>150</v>
      </c>
      <c r="C41" s="90">
        <v>50</v>
      </c>
      <c r="D41" s="90">
        <v>70</v>
      </c>
      <c r="E41" s="90">
        <v>180</v>
      </c>
      <c r="F41" s="90">
        <v>20</v>
      </c>
      <c r="G41" s="115">
        <f>AVERAGE(C41:F41)</f>
        <v>80</v>
      </c>
      <c r="H41" s="91">
        <f>STDEV(C41:F41)</f>
        <v>69.761498454854504</v>
      </c>
      <c r="I41" s="116">
        <f>H41/G41</f>
        <v>0.87201873068568125</v>
      </c>
      <c r="J41" s="115" t="str">
        <f>IF(I41&lt;10%,"X",IF(I41&lt;25%,"Y","Z"))</f>
        <v>Z</v>
      </c>
    </row>
    <row r="42" spans="1:10" x14ac:dyDescent="0.25">
      <c r="A42" s="95">
        <v>6</v>
      </c>
      <c r="B42" s="95">
        <v>450</v>
      </c>
      <c r="C42" s="96">
        <v>450</v>
      </c>
      <c r="D42" s="96">
        <v>490</v>
      </c>
      <c r="E42" s="96">
        <v>460</v>
      </c>
      <c r="F42" s="96">
        <v>480</v>
      </c>
      <c r="G42" s="49">
        <f>AVERAGE(C42:F42)</f>
        <v>470</v>
      </c>
      <c r="H42" s="97">
        <f>STDEV(C42:F42)</f>
        <v>18.257418583505537</v>
      </c>
      <c r="I42" s="117">
        <f>H42/G42</f>
        <v>3.8845571454267099E-2</v>
      </c>
      <c r="J42" s="49" t="str">
        <f>IF(I42&lt;10%,"X",IF(I42&lt;25%,"Y","Z"))</f>
        <v>X</v>
      </c>
    </row>
    <row r="43" spans="1:10" x14ac:dyDescent="0.25">
      <c r="A43" s="99">
        <v>7</v>
      </c>
      <c r="B43" s="99">
        <v>900</v>
      </c>
      <c r="C43" s="100">
        <v>1400</v>
      </c>
      <c r="D43" s="100">
        <v>1040</v>
      </c>
      <c r="E43" s="100">
        <v>1200</v>
      </c>
      <c r="F43" s="100">
        <v>1300</v>
      </c>
      <c r="G43" s="44">
        <f>AVERAGE(C43:F43)</f>
        <v>1235</v>
      </c>
      <c r="H43" s="101">
        <f>STDEV(C43:F43)</f>
        <v>153.51438586225939</v>
      </c>
      <c r="I43" s="118">
        <f>H43/G43</f>
        <v>0.12430314644717359</v>
      </c>
      <c r="J43" s="44" t="str">
        <f>IF(I43&lt;10%,"X",IF(I43&lt;25%,"Y","Z"))</f>
        <v>Y</v>
      </c>
    </row>
    <row r="44" spans="1:10" x14ac:dyDescent="0.25">
      <c r="A44" s="89">
        <v>8</v>
      </c>
      <c r="B44" s="89">
        <v>2500</v>
      </c>
      <c r="C44" s="90">
        <v>400</v>
      </c>
      <c r="D44" s="90">
        <v>1600</v>
      </c>
      <c r="E44" s="90">
        <v>2000</v>
      </c>
      <c r="F44" s="90">
        <v>2900</v>
      </c>
      <c r="G44" s="115">
        <f>AVERAGE(C44:F44)</f>
        <v>1725</v>
      </c>
      <c r="H44" s="91">
        <f>STDEV(C44:F44)</f>
        <v>1037.2238588334408</v>
      </c>
      <c r="I44" s="116">
        <f>H44/G44</f>
        <v>0.60128919352663235</v>
      </c>
      <c r="J44" s="115" t="str">
        <f>IF(I44&lt;10%,"X",IF(I44&lt;25%,"Y","Z"))</f>
        <v>Z</v>
      </c>
    </row>
    <row r="45" spans="1:10" x14ac:dyDescent="0.25">
      <c r="A45" s="95">
        <v>9</v>
      </c>
      <c r="B45" s="95">
        <v>3800</v>
      </c>
      <c r="C45" s="96">
        <v>3600</v>
      </c>
      <c r="D45" s="96">
        <v>3300</v>
      </c>
      <c r="E45" s="96">
        <v>4000</v>
      </c>
      <c r="F45" s="96">
        <v>3400</v>
      </c>
      <c r="G45" s="49">
        <f>AVERAGE(C45:F45)</f>
        <v>3575</v>
      </c>
      <c r="H45" s="97">
        <f>STDEV(C45:F45)</f>
        <v>309.56959368344513</v>
      </c>
      <c r="I45" s="117">
        <f>H45/G45</f>
        <v>8.6592893338026611E-2</v>
      </c>
      <c r="J45" s="49" t="str">
        <f>IF(I45&lt;10%,"X",IF(I45&lt;25%,"Y","Z"))</f>
        <v>X</v>
      </c>
    </row>
    <row r="46" spans="1:10" x14ac:dyDescent="0.25">
      <c r="A46" s="99">
        <v>10</v>
      </c>
      <c r="B46" s="99">
        <v>690</v>
      </c>
      <c r="C46" s="100">
        <v>700</v>
      </c>
      <c r="D46" s="100">
        <v>1000</v>
      </c>
      <c r="E46" s="100">
        <v>1100</v>
      </c>
      <c r="F46" s="100">
        <v>800</v>
      </c>
      <c r="G46" s="119">
        <f>AVERAGE(C46:F46)</f>
        <v>900</v>
      </c>
      <c r="H46" s="101">
        <f>STDEV(C46:F46)</f>
        <v>182.57418583505537</v>
      </c>
      <c r="I46" s="118">
        <f>H46/G46</f>
        <v>0.20286020648339487</v>
      </c>
      <c r="J46" s="44" t="str">
        <f>IF(I46&lt;10%,"X",IF(I46&lt;25%,"Y","Z"))</f>
        <v>Y</v>
      </c>
    </row>
    <row r="47" spans="1:10" x14ac:dyDescent="0.25">
      <c r="B47" t="s">
        <v>153</v>
      </c>
      <c r="C47">
        <f>SUM(C37:C46)</f>
        <v>14640</v>
      </c>
      <c r="G47" s="111">
        <f>SUM(G37:G46)</f>
        <v>14680</v>
      </c>
    </row>
    <row r="50" spans="3:6" x14ac:dyDescent="0.25">
      <c r="C50" s="79" t="s">
        <v>135</v>
      </c>
      <c r="D50" s="79" t="s">
        <v>135</v>
      </c>
      <c r="E50" s="79"/>
      <c r="F50" s="79"/>
    </row>
    <row r="51" spans="3:6" x14ac:dyDescent="0.25">
      <c r="C51" s="79"/>
      <c r="D51" s="29" t="s">
        <v>99</v>
      </c>
      <c r="E51" s="29" t="s">
        <v>100</v>
      </c>
      <c r="F51" s="29" t="s">
        <v>101</v>
      </c>
    </row>
    <row r="52" spans="3:6" x14ac:dyDescent="0.25">
      <c r="C52" s="29" t="s">
        <v>136</v>
      </c>
      <c r="D52" s="29" t="s">
        <v>163</v>
      </c>
      <c r="E52" s="29"/>
      <c r="F52" s="29">
        <v>6</v>
      </c>
    </row>
    <row r="53" spans="3:6" x14ac:dyDescent="0.25">
      <c r="C53" s="29" t="s">
        <v>137</v>
      </c>
      <c r="D53" s="29"/>
      <c r="E53" s="29" t="s">
        <v>166</v>
      </c>
      <c r="F53" s="29">
        <v>2</v>
      </c>
    </row>
    <row r="54" spans="3:6" x14ac:dyDescent="0.25">
      <c r="C54" s="29" t="s">
        <v>138</v>
      </c>
      <c r="D54" s="29" t="s">
        <v>165</v>
      </c>
      <c r="E54" s="29"/>
      <c r="F54" s="29" t="s">
        <v>164</v>
      </c>
    </row>
  </sheetData>
  <autoFilter ref="A35:A46">
    <sortState ref="A38:J47">
      <sortCondition ref="A35:A46"/>
    </sortState>
  </autoFilter>
  <mergeCells count="15">
    <mergeCell ref="I35:I36"/>
    <mergeCell ref="C50:C51"/>
    <mergeCell ref="D50:F50"/>
    <mergeCell ref="K1:M1"/>
    <mergeCell ref="A35:A36"/>
    <mergeCell ref="B35:B36"/>
    <mergeCell ref="C35:F35"/>
    <mergeCell ref="G35:G36"/>
    <mergeCell ref="H35:H36"/>
    <mergeCell ref="J35:J36"/>
    <mergeCell ref="A1:A2"/>
    <mergeCell ref="B1:B2"/>
    <mergeCell ref="C1:F1"/>
    <mergeCell ref="G1:I1"/>
    <mergeCell ref="J1:J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B16" zoomScale="90" zoomScaleNormal="90" workbookViewId="0">
      <selection activeCell="M38" sqref="M38"/>
    </sheetView>
  </sheetViews>
  <sheetFormatPr defaultRowHeight="15" x14ac:dyDescent="0.25"/>
  <cols>
    <col min="1" max="1" width="45.140625" customWidth="1"/>
    <col min="2" max="2" width="28.42578125" customWidth="1"/>
  </cols>
  <sheetData>
    <row r="1" spans="1:13" x14ac:dyDescent="0.25">
      <c r="A1" s="37" t="s">
        <v>51</v>
      </c>
      <c r="B1" s="37" t="s">
        <v>171</v>
      </c>
    </row>
    <row r="2" spans="1:13" x14ac:dyDescent="0.25">
      <c r="A2" s="2" t="s">
        <v>167</v>
      </c>
      <c r="B2" s="2">
        <v>4879</v>
      </c>
    </row>
    <row r="3" spans="1:13" x14ac:dyDescent="0.25">
      <c r="A3" s="2" t="s">
        <v>168</v>
      </c>
      <c r="B3" s="2">
        <v>25621</v>
      </c>
    </row>
    <row r="4" spans="1:13" x14ac:dyDescent="0.25">
      <c r="A4" s="2" t="s">
        <v>170</v>
      </c>
      <c r="B4" s="2">
        <v>32793</v>
      </c>
    </row>
    <row r="5" spans="1:13" x14ac:dyDescent="0.25">
      <c r="A5" s="2" t="s">
        <v>169</v>
      </c>
      <c r="B5" s="2">
        <v>45879</v>
      </c>
    </row>
    <row r="7" spans="1:13" x14ac:dyDescent="0.25">
      <c r="A7" s="2" t="s">
        <v>172</v>
      </c>
      <c r="B7" s="2">
        <f>B3/B5</f>
        <v>0.55844721986093859</v>
      </c>
    </row>
    <row r="9" spans="1:13" x14ac:dyDescent="0.25">
      <c r="A9" s="2" t="s">
        <v>173</v>
      </c>
      <c r="B9" s="2">
        <f>B4/B5</f>
        <v>0.7147714640685281</v>
      </c>
    </row>
    <row r="11" spans="1:13" x14ac:dyDescent="0.25">
      <c r="A11" s="2" t="s">
        <v>174</v>
      </c>
      <c r="B11" s="2">
        <f>B4*B2/(B4-B3)</f>
        <v>22308.567624093699</v>
      </c>
    </row>
    <row r="13" spans="1:13" x14ac:dyDescent="0.25">
      <c r="A13" s="2" t="s">
        <v>175</v>
      </c>
      <c r="B13" s="2">
        <f>B2/(B9-B7)</f>
        <v>31210.76979921919</v>
      </c>
    </row>
    <row r="15" spans="1:13" x14ac:dyDescent="0.25">
      <c r="B15" s="2" t="s">
        <v>176</v>
      </c>
      <c r="C15" s="2">
        <v>0</v>
      </c>
      <c r="D15" s="2">
        <v>0.1</v>
      </c>
      <c r="E15" s="2">
        <v>0.2</v>
      </c>
      <c r="F15" s="2">
        <v>0.3</v>
      </c>
      <c r="G15" s="2">
        <v>0.4</v>
      </c>
      <c r="H15" s="2">
        <v>0.5</v>
      </c>
      <c r="I15" s="2">
        <v>0.6</v>
      </c>
      <c r="J15" s="2">
        <v>0.7</v>
      </c>
      <c r="K15" s="2">
        <v>0.8</v>
      </c>
      <c r="L15" s="2">
        <v>0.9</v>
      </c>
      <c r="M15" s="2">
        <v>1</v>
      </c>
    </row>
    <row r="16" spans="1:13" x14ac:dyDescent="0.25">
      <c r="B16" s="2" t="s">
        <v>177</v>
      </c>
      <c r="C16" s="2">
        <f>B2</f>
        <v>4879</v>
      </c>
      <c r="D16" s="2">
        <f>B2</f>
        <v>4879</v>
      </c>
      <c r="E16" s="2">
        <f>B2</f>
        <v>4879</v>
      </c>
      <c r="F16" s="2">
        <f>B2</f>
        <v>4879</v>
      </c>
      <c r="G16" s="2">
        <f>B2</f>
        <v>4879</v>
      </c>
      <c r="H16" s="2">
        <f>B2</f>
        <v>4879</v>
      </c>
      <c r="I16" s="2">
        <f>B2</f>
        <v>4879</v>
      </c>
      <c r="J16" s="2">
        <f>B2</f>
        <v>4879</v>
      </c>
      <c r="K16" s="2">
        <f>B2</f>
        <v>4879</v>
      </c>
      <c r="L16" s="2">
        <f>B2</f>
        <v>4879</v>
      </c>
      <c r="M16" s="2">
        <f>B2</f>
        <v>4879</v>
      </c>
    </row>
    <row r="17" spans="2:13" x14ac:dyDescent="0.25">
      <c r="B17" s="2" t="s">
        <v>178</v>
      </c>
      <c r="C17" s="2">
        <f>C16</f>
        <v>4879</v>
      </c>
      <c r="D17" s="2">
        <f>C17+((B3-C17)*D15)</f>
        <v>6953.2000000000007</v>
      </c>
      <c r="E17" s="2">
        <f>C17+((B3-C17)*E15)</f>
        <v>9027.4000000000015</v>
      </c>
      <c r="F17" s="2">
        <f>C17+((B3-C17)*F15)</f>
        <v>11101.599999999999</v>
      </c>
      <c r="G17" s="2">
        <f>C17+((B3-C17)*G15)</f>
        <v>13175.800000000001</v>
      </c>
      <c r="H17" s="2">
        <f>C17+((B3-C17)*H15)</f>
        <v>15250</v>
      </c>
      <c r="I17" s="2">
        <f>C17+((B3-C17)*I15)</f>
        <v>17324.199999999997</v>
      </c>
      <c r="J17" s="2">
        <f>C17+((B3-C17)*J15)</f>
        <v>19398.400000000001</v>
      </c>
      <c r="K17" s="2">
        <f>C17+((B3-C17)*K15)</f>
        <v>21472.600000000002</v>
      </c>
      <c r="L17" s="2">
        <f>C17+((B3-C17)*L15)</f>
        <v>23546.799999999999</v>
      </c>
      <c r="M17" s="2">
        <f>C17+((B3-C17)*M15)</f>
        <v>25621</v>
      </c>
    </row>
    <row r="18" spans="2:13" x14ac:dyDescent="0.25">
      <c r="B18" s="2" t="s">
        <v>179</v>
      </c>
      <c r="C18" s="2"/>
      <c r="D18" s="2">
        <f>((B4-C18)*D15)</f>
        <v>3279.3</v>
      </c>
      <c r="E18" s="2">
        <f>((B4-C18)*E15)</f>
        <v>6558.6</v>
      </c>
      <c r="F18" s="2">
        <f>((B4-C18)*F15)</f>
        <v>9837.9</v>
      </c>
      <c r="G18" s="2">
        <f>((B4-C18)*G15)</f>
        <v>13117.2</v>
      </c>
      <c r="H18" s="2">
        <f>((B4-C18)*H15)</f>
        <v>16396.5</v>
      </c>
      <c r="I18" s="2">
        <f>((B4-C18)*I15)</f>
        <v>19675.8</v>
      </c>
      <c r="J18" s="2">
        <f>((B4-C18)*J15)</f>
        <v>22955.1</v>
      </c>
      <c r="K18" s="2">
        <f>((B4-C18)*K15)</f>
        <v>26234.400000000001</v>
      </c>
      <c r="L18" s="2">
        <f>((B4-C18)*L15)</f>
        <v>29513.7</v>
      </c>
      <c r="M18" s="2">
        <f>((B4-C18)*M15)</f>
        <v>32793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5"/>
  <sheetViews>
    <sheetView topLeftCell="A14" zoomScale="70" zoomScaleNormal="70" workbookViewId="0">
      <selection activeCell="O33" sqref="O33"/>
    </sheetView>
  </sheetViews>
  <sheetFormatPr defaultRowHeight="15" x14ac:dyDescent="0.25"/>
  <cols>
    <col min="1" max="1" width="23.140625" customWidth="1"/>
    <col min="2" max="2" width="18.5703125" customWidth="1"/>
  </cols>
  <sheetData>
    <row r="4" spans="1:12" x14ac:dyDescent="0.25">
      <c r="A4" s="38" t="s">
        <v>180</v>
      </c>
    </row>
    <row r="5" spans="1:12" x14ac:dyDescent="0.25">
      <c r="A5" s="2" t="s">
        <v>43</v>
      </c>
      <c r="B5" s="2">
        <v>100000</v>
      </c>
      <c r="E5" s="2" t="s">
        <v>184</v>
      </c>
      <c r="F5" s="2"/>
      <c r="G5" s="2"/>
      <c r="H5" s="2">
        <f>B5/B6</f>
        <v>2000</v>
      </c>
    </row>
    <row r="6" spans="1:12" x14ac:dyDescent="0.25">
      <c r="A6" s="2" t="s">
        <v>181</v>
      </c>
      <c r="B6" s="2">
        <v>50</v>
      </c>
      <c r="E6" s="2" t="s">
        <v>185</v>
      </c>
      <c r="F6" s="2"/>
      <c r="G6" s="2"/>
      <c r="H6" s="2">
        <f>B8/B6</f>
        <v>500</v>
      </c>
    </row>
    <row r="7" spans="1:12" x14ac:dyDescent="0.25">
      <c r="A7" s="2" t="s">
        <v>182</v>
      </c>
      <c r="B7" s="2">
        <v>15000</v>
      </c>
      <c r="E7" s="2" t="s">
        <v>186</v>
      </c>
      <c r="F7" s="2"/>
      <c r="G7" s="2"/>
      <c r="H7" s="2">
        <f>B5*B7/(B5-B8)</f>
        <v>20000</v>
      </c>
    </row>
    <row r="8" spans="1:12" x14ac:dyDescent="0.25">
      <c r="A8" s="2" t="s">
        <v>183</v>
      </c>
      <c r="B8" s="2">
        <v>25000</v>
      </c>
      <c r="E8" s="2" t="s">
        <v>187</v>
      </c>
      <c r="F8" s="2"/>
      <c r="G8" s="2"/>
      <c r="H8" s="2">
        <f>B7/(H5-H6)</f>
        <v>10</v>
      </c>
    </row>
    <row r="10" spans="1:12" x14ac:dyDescent="0.25">
      <c r="A10" s="2" t="s">
        <v>188</v>
      </c>
      <c r="B10" s="114">
        <v>0</v>
      </c>
      <c r="C10" s="114">
        <v>0.1</v>
      </c>
      <c r="D10" s="114">
        <v>0.2</v>
      </c>
      <c r="E10" s="114">
        <v>0.3</v>
      </c>
      <c r="F10" s="114">
        <v>0.4</v>
      </c>
      <c r="G10" s="114">
        <v>0.5</v>
      </c>
      <c r="H10" s="114">
        <v>0.6</v>
      </c>
      <c r="I10" s="114">
        <v>0.7</v>
      </c>
      <c r="J10" s="114">
        <v>0.8</v>
      </c>
      <c r="K10" s="114">
        <v>0.9</v>
      </c>
      <c r="L10" s="114">
        <v>1</v>
      </c>
    </row>
    <row r="11" spans="1:12" x14ac:dyDescent="0.25">
      <c r="A11" s="2" t="s">
        <v>189</v>
      </c>
      <c r="B11" s="2">
        <f>L11*B10</f>
        <v>0</v>
      </c>
      <c r="C11" s="2">
        <f>L11*C10</f>
        <v>10000</v>
      </c>
      <c r="D11" s="2">
        <f>L11*D10</f>
        <v>20000</v>
      </c>
      <c r="E11" s="2">
        <f>L11*E10</f>
        <v>30000</v>
      </c>
      <c r="F11" s="2">
        <f>L11*F10</f>
        <v>40000</v>
      </c>
      <c r="G11" s="2">
        <f>L11*G10</f>
        <v>50000</v>
      </c>
      <c r="H11" s="2">
        <f>L11*H10</f>
        <v>60000</v>
      </c>
      <c r="I11" s="2">
        <f>L11*I10</f>
        <v>70000</v>
      </c>
      <c r="J11" s="2">
        <f>L11*J10</f>
        <v>80000</v>
      </c>
      <c r="K11" s="2">
        <f>L11*K10</f>
        <v>90000</v>
      </c>
      <c r="L11" s="2">
        <f>B5</f>
        <v>100000</v>
      </c>
    </row>
    <row r="12" spans="1:12" x14ac:dyDescent="0.25">
      <c r="A12" s="2" t="s">
        <v>190</v>
      </c>
      <c r="B12" s="2">
        <f>B7</f>
        <v>15000</v>
      </c>
      <c r="C12" s="2">
        <f>B7</f>
        <v>15000</v>
      </c>
      <c r="D12" s="2">
        <f>B7</f>
        <v>15000</v>
      </c>
      <c r="E12" s="2">
        <f>B7</f>
        <v>15000</v>
      </c>
      <c r="F12" s="2">
        <f>B7</f>
        <v>15000</v>
      </c>
      <c r="G12" s="2">
        <f>B7</f>
        <v>15000</v>
      </c>
      <c r="H12" s="2">
        <f>B7</f>
        <v>15000</v>
      </c>
      <c r="I12" s="2">
        <f>B7</f>
        <v>15000</v>
      </c>
      <c r="J12" s="2">
        <f>B7</f>
        <v>15000</v>
      </c>
      <c r="K12" s="2">
        <f>B7</f>
        <v>15000</v>
      </c>
      <c r="L12" s="2">
        <f>B7</f>
        <v>15000</v>
      </c>
    </row>
    <row r="13" spans="1:12" x14ac:dyDescent="0.25">
      <c r="A13" s="2" t="s">
        <v>191</v>
      </c>
      <c r="B13" s="2">
        <f>B11</f>
        <v>0</v>
      </c>
      <c r="C13" s="2">
        <f>L13*C10</f>
        <v>2500</v>
      </c>
      <c r="D13" s="2">
        <f>L13*D10</f>
        <v>5000</v>
      </c>
      <c r="E13" s="2">
        <f>L13*E10</f>
        <v>7500</v>
      </c>
      <c r="F13" s="2">
        <f>L13*F10</f>
        <v>10000</v>
      </c>
      <c r="G13" s="2">
        <f>L13*G10</f>
        <v>12500</v>
      </c>
      <c r="H13" s="2">
        <f>L13*H10</f>
        <v>15000</v>
      </c>
      <c r="I13" s="2">
        <f>L13*I10</f>
        <v>17500</v>
      </c>
      <c r="J13" s="2">
        <f>L13*J10</f>
        <v>20000</v>
      </c>
      <c r="K13" s="2">
        <f>L13*K10</f>
        <v>22500</v>
      </c>
      <c r="L13" s="2">
        <f>B8</f>
        <v>25000</v>
      </c>
    </row>
    <row r="14" spans="1:12" x14ac:dyDescent="0.25">
      <c r="A14" s="2" t="s">
        <v>192</v>
      </c>
      <c r="B14" s="2">
        <f>B12</f>
        <v>15000</v>
      </c>
      <c r="C14" s="2">
        <f>C12+C13</f>
        <v>17500</v>
      </c>
      <c r="D14" s="2">
        <f>D12+D13</f>
        <v>20000</v>
      </c>
      <c r="E14" s="2">
        <f>E12+E13</f>
        <v>22500</v>
      </c>
      <c r="F14" s="2">
        <f>F12+F13</f>
        <v>25000</v>
      </c>
      <c r="G14" s="2">
        <f>G12+G13</f>
        <v>27500</v>
      </c>
      <c r="H14" s="2">
        <f>H12+H13</f>
        <v>30000</v>
      </c>
      <c r="I14" s="2">
        <f>I12+I13</f>
        <v>32500</v>
      </c>
      <c r="J14" s="2">
        <f>J12+J13</f>
        <v>35000</v>
      </c>
      <c r="K14" s="2">
        <f>K12+K13</f>
        <v>37500</v>
      </c>
      <c r="L14" s="2">
        <f>L12+L13</f>
        <v>40000</v>
      </c>
    </row>
    <row r="15" spans="1:12" x14ac:dyDescent="0.25">
      <c r="A15" s="2" t="s">
        <v>193</v>
      </c>
      <c r="B15" s="2">
        <f>B13</f>
        <v>0</v>
      </c>
      <c r="C15" s="2">
        <f>L15*C10</f>
        <v>5</v>
      </c>
      <c r="D15" s="2">
        <f>L15*D10</f>
        <v>10</v>
      </c>
      <c r="E15" s="2">
        <f>L15*E10</f>
        <v>15</v>
      </c>
      <c r="F15" s="2">
        <f>L15*F10</f>
        <v>20</v>
      </c>
      <c r="G15" s="2">
        <f>L15*G10</f>
        <v>25</v>
      </c>
      <c r="H15" s="2">
        <f>L15*H10</f>
        <v>30</v>
      </c>
      <c r="I15" s="2">
        <f>L15*I10</f>
        <v>35</v>
      </c>
      <c r="J15" s="2">
        <f>L15*J10</f>
        <v>40</v>
      </c>
      <c r="K15" s="2">
        <f>L15*K10</f>
        <v>45</v>
      </c>
      <c r="L15" s="2">
        <f>B6</f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Задача 1</vt:lpstr>
      <vt:lpstr>Задача 2</vt:lpstr>
      <vt:lpstr>Задача 3</vt:lpstr>
      <vt:lpstr>Задача 4</vt:lpstr>
      <vt:lpstr>Задача 5</vt:lpstr>
      <vt:lpstr>Задача 6</vt:lpstr>
      <vt:lpstr>Задача 7</vt:lpstr>
      <vt:lpstr>Задача 8</vt:lpstr>
      <vt:lpstr>Задача 9</vt:lpstr>
      <vt:lpstr>Задача 10</vt:lpstr>
      <vt:lpstr>'Задача 1'!Criteria</vt:lpstr>
      <vt:lpstr>'Задача 2'!Criteria</vt:lpstr>
      <vt:lpstr>'Задача 1'!Extract</vt:lpstr>
      <vt:lpstr>'Задача 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2019-11-29T06:36:52Z</dcterms:modified>
</cp:coreProperties>
</file>