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5" activeTab="19"/>
  </bookViews>
  <sheets>
    <sheet name="Задача 1" sheetId="1" r:id="rId1"/>
    <sheet name="Задача 2,3" sheetId="2" r:id="rId2"/>
    <sheet name="Задача 4" sheetId="3" r:id="rId3"/>
    <sheet name="Задача 5" sheetId="4" r:id="rId4"/>
    <sheet name="Задача 6" sheetId="5" r:id="rId5"/>
    <sheet name="Задача 7" sheetId="6" r:id="rId6"/>
    <sheet name="Scenario Summary 7" sheetId="9" r:id="rId7"/>
    <sheet name="Задача 8" sheetId="10" r:id="rId8"/>
    <sheet name="Задача 9" sheetId="11" r:id="rId9"/>
    <sheet name="Задача 10" sheetId="12" r:id="rId10"/>
    <sheet name="Задача 11" sheetId="13" r:id="rId11"/>
    <sheet name="Задача 12" sheetId="14" r:id="rId12"/>
    <sheet name="Задача 13" sheetId="15" r:id="rId13"/>
    <sheet name="Задача 14" sheetId="16" r:id="rId14"/>
    <sheet name="Задача 15" sheetId="17" r:id="rId15"/>
    <sheet name="Задача 16" sheetId="18" r:id="rId16"/>
    <sheet name="Задача 17" sheetId="19" r:id="rId17"/>
    <sheet name="Задача 18" sheetId="20" r:id="rId18"/>
    <sheet name="Задача 19" sheetId="21" r:id="rId19"/>
    <sheet name="Задача 20" sheetId="22" r:id="rId20"/>
  </sheets>
  <externalReferences>
    <externalReference r:id="rId2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2" l="1"/>
  <c r="D12" i="22"/>
  <c r="C12" i="22"/>
  <c r="B12" i="22"/>
  <c r="E11" i="22"/>
  <c r="D11" i="22"/>
  <c r="C11" i="22"/>
  <c r="B11" i="22"/>
  <c r="E10" i="22"/>
  <c r="D10" i="22"/>
  <c r="C10" i="22"/>
  <c r="B10" i="22"/>
  <c r="E9" i="22"/>
  <c r="D9" i="22"/>
  <c r="C9" i="22"/>
  <c r="B9" i="22"/>
  <c r="E8" i="22"/>
  <c r="E13" i="22" s="1"/>
  <c r="D8" i="22"/>
  <c r="D13" i="22" s="1"/>
  <c r="C8" i="22"/>
  <c r="C13" i="22" s="1"/>
  <c r="B8" i="22"/>
  <c r="B13" i="22" s="1"/>
  <c r="B23" i="21" l="1"/>
  <c r="B22" i="21"/>
  <c r="B21" i="21"/>
  <c r="B20" i="21"/>
  <c r="B19" i="21"/>
  <c r="B16" i="21"/>
  <c r="B15" i="21"/>
  <c r="B14" i="21"/>
  <c r="B13" i="21"/>
  <c r="B12" i="21"/>
  <c r="B9" i="21"/>
  <c r="B8" i="21"/>
  <c r="B6" i="21"/>
  <c r="C21" i="20" l="1"/>
  <c r="C20" i="20"/>
  <c r="C19" i="20"/>
  <c r="C18" i="20"/>
  <c r="B18" i="20"/>
  <c r="B19" i="20" s="1"/>
  <c r="F17" i="20"/>
  <c r="C17" i="20"/>
  <c r="B17" i="20"/>
  <c r="E17" i="20" s="1"/>
  <c r="F16" i="20"/>
  <c r="E16" i="20"/>
  <c r="D16" i="20"/>
  <c r="C16" i="20"/>
  <c r="C22" i="20" s="1"/>
  <c r="C12" i="20"/>
  <c r="C11" i="20"/>
  <c r="C10" i="20"/>
  <c r="C9" i="20"/>
  <c r="C8" i="20"/>
  <c r="C7" i="20"/>
  <c r="C6" i="20"/>
  <c r="F19" i="20" l="1"/>
  <c r="D19" i="20"/>
  <c r="E19" i="20"/>
  <c r="B20" i="20"/>
  <c r="D18" i="20"/>
  <c r="E18" i="20"/>
  <c r="F18" i="20"/>
  <c r="D17" i="20"/>
  <c r="F20" i="20" l="1"/>
  <c r="E20" i="20"/>
  <c r="D20" i="20"/>
  <c r="B21" i="20"/>
  <c r="F21" i="20" l="1"/>
  <c r="F22" i="20" s="1"/>
  <c r="E21" i="20"/>
  <c r="E22" i="20" s="1"/>
  <c r="D21" i="20"/>
  <c r="D22" i="20" s="1"/>
  <c r="C40" i="19"/>
  <c r="C35" i="19"/>
  <c r="B35" i="19"/>
  <c r="B36" i="19" s="1"/>
  <c r="D31" i="19"/>
  <c r="C26" i="19"/>
  <c r="B26" i="19"/>
  <c r="B27" i="19" s="1"/>
  <c r="B18" i="19"/>
  <c r="B19" i="19" s="1"/>
  <c r="C13" i="19"/>
  <c r="C12" i="19"/>
  <c r="C11" i="19"/>
  <c r="C10" i="19"/>
  <c r="D10" i="19" s="1"/>
  <c r="C9" i="19"/>
  <c r="D13" i="19" s="1"/>
  <c r="B9" i="19"/>
  <c r="B10" i="19" s="1"/>
  <c r="B11" i="19" s="1"/>
  <c r="B12" i="19" s="1"/>
  <c r="B13" i="19" s="1"/>
  <c r="B20" i="19" l="1"/>
  <c r="C19" i="19"/>
  <c r="B28" i="19"/>
  <c r="C27" i="19"/>
  <c r="B37" i="19"/>
  <c r="C36" i="19"/>
  <c r="D36" i="19" s="1"/>
  <c r="D11" i="19"/>
  <c r="C18" i="19"/>
  <c r="D26" i="19"/>
  <c r="D35" i="19"/>
  <c r="D9" i="19"/>
  <c r="D12" i="19"/>
  <c r="D27" i="19"/>
  <c r="C37" i="19" l="1"/>
  <c r="B38" i="19"/>
  <c r="C28" i="19"/>
  <c r="B29" i="19"/>
  <c r="D19" i="19"/>
  <c r="D18" i="19"/>
  <c r="C20" i="19"/>
  <c r="B21" i="19"/>
  <c r="B10" i="18"/>
  <c r="B11" i="18" s="1"/>
  <c r="B12" i="18" s="1"/>
  <c r="D37" i="19" l="1"/>
  <c r="D28" i="19"/>
  <c r="D20" i="19"/>
  <c r="D21" i="19"/>
  <c r="D38" i="19"/>
  <c r="B22" i="19"/>
  <c r="C22" i="19" s="1"/>
  <c r="C21" i="19"/>
  <c r="D22" i="19" s="1"/>
  <c r="B39" i="19"/>
  <c r="C39" i="19" s="1"/>
  <c r="C38" i="19"/>
  <c r="D40" i="19" s="1"/>
  <c r="B30" i="19"/>
  <c r="C30" i="19" s="1"/>
  <c r="D30" i="19" s="1"/>
  <c r="C29" i="19"/>
  <c r="D29" i="19" s="1"/>
  <c r="B15" i="17"/>
  <c r="B16" i="17" s="1"/>
  <c r="D14" i="17"/>
  <c r="C14" i="17"/>
  <c r="E9" i="17"/>
  <c r="E10" i="17" s="1"/>
  <c r="E11" i="17" s="1"/>
  <c r="D39" i="19" l="1"/>
  <c r="B17" i="17"/>
  <c r="D16" i="17"/>
  <c r="C16" i="17"/>
  <c r="C15" i="17"/>
  <c r="E15" i="17" s="1"/>
  <c r="D15" i="17"/>
  <c r="E14" i="17"/>
  <c r="F14" i="17"/>
  <c r="E16" i="17" l="1"/>
  <c r="B18" i="17"/>
  <c r="D17" i="17"/>
  <c r="C17" i="17"/>
  <c r="E17" i="17" s="1"/>
  <c r="F16" i="17"/>
  <c r="F17" i="17"/>
  <c r="F15" i="17"/>
  <c r="C18" i="17" l="1"/>
  <c r="B19" i="17"/>
  <c r="D18" i="17"/>
  <c r="E18" i="17" l="1"/>
  <c r="F18" i="17"/>
  <c r="D19" i="17"/>
  <c r="B20" i="17"/>
  <c r="C19" i="17"/>
  <c r="F19" i="17" l="1"/>
  <c r="B21" i="17"/>
  <c r="D20" i="17"/>
  <c r="C20" i="17"/>
  <c r="E19" i="17"/>
  <c r="E20" i="17" l="1"/>
  <c r="C21" i="17"/>
  <c r="B22" i="17"/>
  <c r="D21" i="17"/>
  <c r="F20" i="17"/>
  <c r="B23" i="17" l="1"/>
  <c r="D22" i="17"/>
  <c r="C22" i="17"/>
  <c r="E21" i="17"/>
  <c r="F21" i="17"/>
  <c r="E22" i="17" l="1"/>
  <c r="F22" i="17"/>
  <c r="C23" i="17"/>
  <c r="B24" i="17"/>
  <c r="D23" i="17"/>
  <c r="D24" i="17" l="1"/>
  <c r="C24" i="17"/>
  <c r="B25" i="17"/>
  <c r="E23" i="17"/>
  <c r="F23" i="17"/>
  <c r="B26" i="17" l="1"/>
  <c r="D25" i="17"/>
  <c r="C25" i="17"/>
  <c r="E24" i="17"/>
  <c r="F24" i="17"/>
  <c r="E25" i="17" l="1"/>
  <c r="F25" i="17"/>
  <c r="B27" i="17"/>
  <c r="D26" i="17"/>
  <c r="C26" i="17"/>
  <c r="D27" i="17" l="1"/>
  <c r="C27" i="17"/>
  <c r="B28" i="17"/>
  <c r="E26" i="17"/>
  <c r="F26" i="17"/>
  <c r="B29" i="17" l="1"/>
  <c r="D28" i="17"/>
  <c r="C28" i="17"/>
  <c r="E27" i="17"/>
  <c r="F27" i="17"/>
  <c r="E28" i="17" l="1"/>
  <c r="F28" i="17"/>
  <c r="C29" i="17"/>
  <c r="B30" i="17"/>
  <c r="D29" i="17"/>
  <c r="E29" i="17" l="1"/>
  <c r="F29" i="17"/>
  <c r="D30" i="17"/>
  <c r="C30" i="17"/>
  <c r="B31" i="17"/>
  <c r="E30" i="17" l="1"/>
  <c r="F30" i="17"/>
  <c r="B32" i="17"/>
  <c r="D31" i="17"/>
  <c r="C31" i="17"/>
  <c r="D32" i="17" l="1"/>
  <c r="C32" i="17"/>
  <c r="B33" i="17"/>
  <c r="E31" i="17"/>
  <c r="F31" i="17"/>
  <c r="F26" i="16"/>
  <c r="F25" i="16"/>
  <c r="F24" i="16"/>
  <c r="F23" i="16"/>
  <c r="F22" i="16"/>
  <c r="F21" i="16"/>
  <c r="F20" i="16"/>
  <c r="F19" i="16"/>
  <c r="F18" i="16"/>
  <c r="F17" i="16"/>
  <c r="G17" i="16" s="1"/>
  <c r="F16" i="16"/>
  <c r="G16" i="16"/>
  <c r="F15" i="16"/>
  <c r="G15" i="16"/>
  <c r="C26" i="16"/>
  <c r="C25" i="16"/>
  <c r="A26" i="16" s="1"/>
  <c r="B26" i="16" s="1"/>
  <c r="C24" i="16"/>
  <c r="A25" i="16" s="1"/>
  <c r="B25" i="16" s="1"/>
  <c r="C23" i="16"/>
  <c r="A24" i="16" s="1"/>
  <c r="B24" i="16" s="1"/>
  <c r="C22" i="16"/>
  <c r="A23" i="16" s="1"/>
  <c r="B23" i="16" s="1"/>
  <c r="C21" i="16"/>
  <c r="B22" i="16"/>
  <c r="B21" i="16"/>
  <c r="A22" i="16"/>
  <c r="C20" i="16"/>
  <c r="A21" i="16"/>
  <c r="C19" i="16"/>
  <c r="A20" i="16" s="1"/>
  <c r="B20" i="16" s="1"/>
  <c r="C18" i="16"/>
  <c r="A19" i="16" s="1"/>
  <c r="B19" i="16" s="1"/>
  <c r="C17" i="16"/>
  <c r="A18" i="16" s="1"/>
  <c r="B18" i="16" s="1"/>
  <c r="C16" i="16"/>
  <c r="A17" i="16"/>
  <c r="B17" i="16" s="1"/>
  <c r="C15" i="16"/>
  <c r="B16" i="16"/>
  <c r="A16" i="16"/>
  <c r="B15" i="16"/>
  <c r="C10" i="16"/>
  <c r="C9" i="16"/>
  <c r="E8" i="16"/>
  <c r="E9" i="16" s="1"/>
  <c r="C8" i="16"/>
  <c r="D3" i="15"/>
  <c r="D2" i="15"/>
  <c r="C3" i="15"/>
  <c r="C2" i="15"/>
  <c r="H3" i="14"/>
  <c r="H2" i="14"/>
  <c r="F3" i="14"/>
  <c r="F2" i="14"/>
  <c r="E2" i="14"/>
  <c r="G3" i="14"/>
  <c r="G2" i="14"/>
  <c r="B9" i="13"/>
  <c r="B8" i="13"/>
  <c r="C2" i="13"/>
  <c r="D13" i="12"/>
  <c r="D12" i="12"/>
  <c r="D11" i="12"/>
  <c r="B13" i="12"/>
  <c r="B12" i="12"/>
  <c r="B11" i="12"/>
  <c r="B9" i="12"/>
  <c r="B7" i="12"/>
  <c r="E9" i="12"/>
  <c r="C9" i="12"/>
  <c r="C2" i="6"/>
  <c r="F4" i="11"/>
  <c r="F3" i="11"/>
  <c r="G3" i="11"/>
  <c r="G4" i="11"/>
  <c r="H3" i="11"/>
  <c r="E4" i="11"/>
  <c r="E3" i="11"/>
  <c r="B7" i="10"/>
  <c r="C7" i="10" s="1"/>
  <c r="B5" i="6"/>
  <c r="B6" i="6" s="1"/>
  <c r="F7" i="5"/>
  <c r="F6" i="5"/>
  <c r="F5" i="5"/>
  <c r="F4" i="5"/>
  <c r="B6" i="4"/>
  <c r="B34" i="17" l="1"/>
  <c r="D33" i="17"/>
  <c r="C33" i="17"/>
  <c r="E32" i="17"/>
  <c r="F32" i="17"/>
  <c r="G18" i="16"/>
  <c r="G19" i="16" s="1"/>
  <c r="G20" i="16" s="1"/>
  <c r="G21" i="16" s="1"/>
  <c r="G22" i="16" s="1"/>
  <c r="G23" i="16" s="1"/>
  <c r="G24" i="16" s="1"/>
  <c r="G25" i="16" s="1"/>
  <c r="G26" i="16" s="1"/>
  <c r="E10" i="16"/>
  <c r="E7" i="5"/>
  <c r="E6" i="5"/>
  <c r="E5" i="5"/>
  <c r="E4" i="5"/>
  <c r="C6" i="4"/>
  <c r="B5" i="3"/>
  <c r="C21" i="2"/>
  <c r="B21" i="2"/>
  <c r="C10" i="2"/>
  <c r="B10" i="2"/>
  <c r="C11" i="1"/>
  <c r="E33" i="17" l="1"/>
  <c r="F33" i="17"/>
  <c r="B35" i="17"/>
  <c r="D34" i="17"/>
  <c r="C34" i="17"/>
  <c r="E34" i="17" l="1"/>
  <c r="F34" i="17"/>
  <c r="D35" i="17"/>
  <c r="C35" i="17"/>
  <c r="B36" i="17"/>
  <c r="B37" i="17" l="1"/>
  <c r="D36" i="17"/>
  <c r="C36" i="17"/>
  <c r="E35" i="17"/>
  <c r="F35" i="17"/>
  <c r="E36" i="17" l="1"/>
  <c r="F36" i="17"/>
  <c r="D37" i="17"/>
  <c r="C37" i="17"/>
  <c r="E37" i="17" l="1"/>
  <c r="F37" i="17"/>
</calcChain>
</file>

<file path=xl/sharedStrings.xml><?xml version="1.0" encoding="utf-8"?>
<sst xmlns="http://schemas.openxmlformats.org/spreadsheetml/2006/main" count="273" uniqueCount="201">
  <si>
    <t>Обчислення майбутньої вартості вкладу</t>
  </si>
  <si>
    <t>Внесок</t>
  </si>
  <si>
    <t>пс</t>
  </si>
  <si>
    <t>плт</t>
  </si>
  <si>
    <t>Періодичний платіж</t>
  </si>
  <si>
    <t>Відсоткова ставка, річна</t>
  </si>
  <si>
    <t>Нарахування відсотків за рік</t>
  </si>
  <si>
    <t>Відсоткова ставка, за період</t>
  </si>
  <si>
    <t>Термін вкладу, років</t>
  </si>
  <si>
    <t>Загальна кількість періодів</t>
  </si>
  <si>
    <t>Обов'язковість платежів</t>
  </si>
  <si>
    <t>Майбутнє значення вкладу</t>
  </si>
  <si>
    <t>бс</t>
  </si>
  <si>
    <t>ставка</t>
  </si>
  <si>
    <t>кпер</t>
  </si>
  <si>
    <t>тип</t>
  </si>
  <si>
    <t>На банківський рахунок під 11,5%
річних внесли 37 000 грн. Визначити
розмір вкладу із закінченням 3 років,
якщо відсотки нараховуються кожні
півроку.</t>
  </si>
  <si>
    <t>Майбутня вартість облігацій</t>
  </si>
  <si>
    <t>Змінний відсоток</t>
  </si>
  <si>
    <t>Постійний відсоток</t>
  </si>
  <si>
    <t>Номінал</t>
  </si>
  <si>
    <t>Ставка</t>
  </si>
  <si>
    <t>Майбутня вартість</t>
  </si>
  <si>
    <t>Показник</t>
  </si>
  <si>
    <t>Значення</t>
  </si>
  <si>
    <t>Ставка, річна</t>
  </si>
  <si>
    <t>Термін, років</t>
  </si>
  <si>
    <t>Поточна вартість</t>
  </si>
  <si>
    <t>Фірмі потрібно 500 тис. грн
через три роки. Визначити,
яку суму необхідно внести
фірмі зараз в банк, щоб до
кінця третього року внесок
збільшився до 500 тис. грн.</t>
  </si>
  <si>
    <t>Параметри задачі</t>
  </si>
  <si>
    <t>Щорічна рента</t>
  </si>
  <si>
    <t>Внесок клієнта</t>
  </si>
  <si>
    <t>ПС</t>
  </si>
  <si>
    <t>Формула</t>
  </si>
  <si>
    <t>Клієнт укладає з банком договір про виплату йому
протягом 5 років щорічної ренти в розмірі 5 тис. грн в кінці
кожного року. Яку суму необхідно
внести клієнту на початку першого
року, щоб забезпечити цю ренту,
виходячи з річної відсоткової ставки 20%?</t>
  </si>
  <si>
    <t>Майбутня сума</t>
  </si>
  <si>
    <t>Відсотки</t>
  </si>
  <si>
    <t>Строк</t>
  </si>
  <si>
    <t>Кількість нарахувань відсотків</t>
  </si>
  <si>
    <t>Результат</t>
  </si>
  <si>
    <t>FV</t>
  </si>
  <si>
    <t>i</t>
  </si>
  <si>
    <t>n</t>
  </si>
  <si>
    <t>m</t>
  </si>
  <si>
    <t>формула</t>
  </si>
  <si>
    <t>функція</t>
  </si>
  <si>
    <t>Розмір позики</t>
  </si>
  <si>
    <t>Термін</t>
  </si>
  <si>
    <t>Щорічно повертаються гроші</t>
  </si>
  <si>
    <t>Річна облікова ставка</t>
  </si>
  <si>
    <t>Чистий поточний обсяг вкладу</t>
  </si>
  <si>
    <t>Висновок</t>
  </si>
  <si>
    <t>$B$2</t>
  </si>
  <si>
    <t>$B$3</t>
  </si>
  <si>
    <t>$B$5</t>
  </si>
  <si>
    <t>ПС1</t>
  </si>
  <si>
    <t>ПС2</t>
  </si>
  <si>
    <t>ПС3</t>
  </si>
  <si>
    <t>Scenario Summary</t>
  </si>
  <si>
    <t>Changing Cells:</t>
  </si>
  <si>
    <t>Current Values:</t>
  </si>
  <si>
    <t>Result Cells:</t>
  </si>
  <si>
    <t>$B$6</t>
  </si>
  <si>
    <t>Вигідно дати гроші
в борг</t>
  </si>
  <si>
    <t>Вигідно гроші вкласти
під відсоток</t>
  </si>
  <si>
    <t>Платежі (плт)</t>
  </si>
  <si>
    <t>Наведена вартість</t>
  </si>
  <si>
    <t>Тип</t>
  </si>
  <si>
    <t>Кількість періодів (Кпер)</t>
  </si>
  <si>
    <t>сума вкладу</t>
  </si>
  <si>
    <t>регулярний платіж</t>
  </si>
  <si>
    <t>відсотки нараховуються в кінці місяця</t>
  </si>
  <si>
    <t>Тепер сума</t>
  </si>
  <si>
    <t>Майбут сума</t>
  </si>
  <si>
    <t>% ставка</t>
  </si>
  <si>
    <t>PV</t>
  </si>
  <si>
    <t>I</t>
  </si>
  <si>
    <t>nl</t>
  </si>
  <si>
    <t>Кільк нарахув
% в рік</t>
  </si>
  <si>
    <t>Кількість періодів
нарахув %</t>
  </si>
  <si>
    <t>Період вкладу
в роках за функ</t>
  </si>
  <si>
    <t>За формулою період</t>
  </si>
  <si>
    <t>складні %</t>
  </si>
  <si>
    <t>прості %</t>
  </si>
  <si>
    <t>Розрахунок іпотечної позики</t>
  </si>
  <si>
    <t>Початкові дані</t>
  </si>
  <si>
    <t>Ціна</t>
  </si>
  <si>
    <t>Перший внесок</t>
  </si>
  <si>
    <t>Річна відсоткова ставка</t>
  </si>
  <si>
    <t>Щомісячні виплати</t>
  </si>
  <si>
    <t>Термін погашення позики</t>
  </si>
  <si>
    <t>Результати розрахунку</t>
  </si>
  <si>
    <t>Періодичні виплати</t>
  </si>
  <si>
    <t>Загальна сума виплат</t>
  </si>
  <si>
    <t>Загальна сума комісійних</t>
  </si>
  <si>
    <t>Щорічні виплати</t>
  </si>
  <si>
    <t>Параметри</t>
  </si>
  <si>
    <t>Кількість періодів</t>
  </si>
  <si>
    <t>Платіж щомісячний (ПЛТ)</t>
  </si>
  <si>
    <t>Річна ставка</t>
  </si>
  <si>
    <t>регулярні виплати</t>
  </si>
  <si>
    <t>отриманий кредит</t>
  </si>
  <si>
    <t>аргумент опущений</t>
  </si>
  <si>
    <t>відсотки нараховуються на початку місяця</t>
  </si>
  <si>
    <t>За формулою
простих %</t>
  </si>
  <si>
    <t>За формулою
складних %</t>
  </si>
  <si>
    <t>За функцією
Ставка за період нарахування, %</t>
  </si>
  <si>
    <t>Річна
ставка</t>
  </si>
  <si>
    <t>r</t>
  </si>
  <si>
    <t>RATE-функция</t>
  </si>
  <si>
    <t>teff</t>
  </si>
  <si>
    <t>Підприємець 1</t>
  </si>
  <si>
    <t>Підприємець 2</t>
  </si>
  <si>
    <t>складний відсоток</t>
  </si>
  <si>
    <t>простий відсоток</t>
  </si>
  <si>
    <t>t</t>
  </si>
  <si>
    <t>відсотки</t>
  </si>
  <si>
    <t>сума</t>
  </si>
  <si>
    <t>% прибуток</t>
  </si>
  <si>
    <t>Капітал</t>
  </si>
  <si>
    <t>Відсоток</t>
  </si>
  <si>
    <t>Сума</t>
  </si>
  <si>
    <t>Період</t>
  </si>
  <si>
    <t>Складний відсоток</t>
  </si>
  <si>
    <t>Простий відсоток</t>
  </si>
  <si>
    <t>Сума кредиту</t>
  </si>
  <si>
    <t>Сума щомісячних виплат</t>
  </si>
  <si>
    <t>Переплата</t>
  </si>
  <si>
    <t>Термін кредиту (міс)</t>
  </si>
  <si>
    <t>Виплата кредиту</t>
  </si>
  <si>
    <t>Сплата відсотків</t>
  </si>
  <si>
    <t>Загальна виплата</t>
  </si>
  <si>
    <t>Залишилося платити</t>
  </si>
  <si>
    <t>Данні по кредиту</t>
  </si>
  <si>
    <t>Відсоток по кредиту</t>
  </si>
  <si>
    <t>Розмір початкового внеску</t>
  </si>
  <si>
    <t>Термін кредиту, міс.</t>
  </si>
  <si>
    <t>Відсоток по відкриття рахунку</t>
  </si>
  <si>
    <t>Щомісячні платежі за обслуговуння рахунку</t>
  </si>
  <si>
    <t>Реальна вартість покупки</t>
  </si>
  <si>
    <t>Загальна сума переплати</t>
  </si>
  <si>
    <t>Умови різними сценаріями</t>
  </si>
  <si>
    <t>Банк А</t>
  </si>
  <si>
    <t>Банк Б</t>
  </si>
  <si>
    <t>Банк В</t>
  </si>
  <si>
    <t>Річний відсоток по кредиту</t>
  </si>
  <si>
    <t>Відсоток за відкриття рахунку</t>
  </si>
  <si>
    <t>Щомісячні платежі за обслуговування рахунку</t>
  </si>
  <si>
    <t>Вихідні дані</t>
  </si>
  <si>
    <t>Початкова вартість</t>
  </si>
  <si>
    <t>Ліквідаційна вартість</t>
  </si>
  <si>
    <t>Період в роках</t>
  </si>
  <si>
    <t>Використання функції АПЛ</t>
  </si>
  <si>
    <t>Рік</t>
  </si>
  <si>
    <t>Величина амортизація</t>
  </si>
  <si>
    <t>Залишкова вартість</t>
  </si>
  <si>
    <t>Використання функції АСЧ</t>
  </si>
  <si>
    <t>Використання функції ФУО</t>
  </si>
  <si>
    <t>Фіксована ставка</t>
  </si>
  <si>
    <t>фіксована ставка</t>
  </si>
  <si>
    <t>Показники</t>
  </si>
  <si>
    <t>Одиниця</t>
  </si>
  <si>
    <t>Значеня</t>
  </si>
  <si>
    <t>тис.грн</t>
  </si>
  <si>
    <t>Термін корисної служби</t>
  </si>
  <si>
    <t>років</t>
  </si>
  <si>
    <t>Амортизація (АПЛ)</t>
  </si>
  <si>
    <t>Амортизація (АСЧ-1)</t>
  </si>
  <si>
    <t>Амортизація (АСЧ-2)</t>
  </si>
  <si>
    <t>Амортизація (ФУО-1)</t>
  </si>
  <si>
    <t>Амортизація (ФУО-2)</t>
  </si>
  <si>
    <t>Амортизація (ДДОБ-1)</t>
  </si>
  <si>
    <t>Амортизація (ДДОБ-2)</t>
  </si>
  <si>
    <t>метод списання</t>
  </si>
  <si>
    <t>метод рівними частинами (АПЛ)</t>
  </si>
  <si>
    <t>Метод суми років (АСЧ)</t>
  </si>
  <si>
    <t>Метод подвійного списання (ДДОБ)</t>
  </si>
  <si>
    <t>Метод зменшеного залишку (ФУО)</t>
  </si>
  <si>
    <t>Разом</t>
  </si>
  <si>
    <t>Постановка задачі</t>
  </si>
  <si>
    <t>Вартість комп'ютера</t>
  </si>
  <si>
    <t>Термін експлуатації</t>
  </si>
  <si>
    <t>АПЛ</t>
  </si>
  <si>
    <t>Зниження вартості для кожного року</t>
  </si>
  <si>
    <t>АСЧ</t>
  </si>
  <si>
    <t>амотризація за перший рік</t>
  </si>
  <si>
    <t>амотризація за останній рік</t>
  </si>
  <si>
    <t>ФУО</t>
  </si>
  <si>
    <t>амотризація з кісованою % ставкою</t>
  </si>
  <si>
    <t>амотризація за 1 рік</t>
  </si>
  <si>
    <t>амотризація за 2 рік</t>
  </si>
  <si>
    <t>амотризація за 3 рік</t>
  </si>
  <si>
    <t>амотризація за 4 рік</t>
  </si>
  <si>
    <t>амотризація за 5 рік</t>
  </si>
  <si>
    <t>ДДОБ</t>
  </si>
  <si>
    <t>амортизація з вмкористнням методу дворазового обліку</t>
  </si>
  <si>
    <t>Термін корисної роботи</t>
  </si>
  <si>
    <t>Метод списання</t>
  </si>
  <si>
    <t>Метод рівномірного списання (АПЛ)</t>
  </si>
  <si>
    <t>Метод зменшуваного залишку (ФУО)</t>
  </si>
  <si>
    <t>всього: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</si>
</sst>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164" formatCode="&quot;$&quot;#,##0.00"/>
    <numFmt numFmtId="165" formatCode="0.0%"/>
    <numFmt numFmtId="166" formatCode="0.000%"/>
    <numFmt numFmtId="167" formatCode="0.000000%"/>
    <numFmt numFmtId="168" formatCode="#,##0.00\ &quot;₽&quot;;[Red]\-#,##0.00\ &quot;₽&quot;"/>
    <numFmt numFmtId="169" formatCode="#,##0.00\ [$₴-422]"/>
    <numFmt numFmtId="170" formatCode="#,##0.00\ [$₴-422];[Red]\-#,##0.00\ [$₴-422]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0" xfId="0" applyAlignment="1">
      <alignment vertical="center" wrapText="1"/>
    </xf>
    <xf numFmtId="8" fontId="0" fillId="0" borderId="1" xfId="0" applyNumberFormat="1" applyBorder="1"/>
    <xf numFmtId="9" fontId="0" fillId="0" borderId="1" xfId="0" applyNumberFormat="1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8" fontId="1" fillId="0" borderId="1" xfId="0" applyNumberFormat="1" applyFont="1" applyBorder="1"/>
    <xf numFmtId="9" fontId="0" fillId="0" borderId="0" xfId="0" applyNumberFormat="1"/>
    <xf numFmtId="8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0" xfId="0" applyFill="1" applyBorder="1" applyAlignment="1"/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0" fillId="0" borderId="6" xfId="0" applyFill="1" applyBorder="1" applyAlignment="1"/>
    <xf numFmtId="0" fontId="4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0" fontId="7" fillId="0" borderId="0" xfId="0" applyFont="1" applyFill="1" applyBorder="1" applyAlignment="1">
      <alignment vertical="top" wrapText="1"/>
    </xf>
    <xf numFmtId="8" fontId="0" fillId="0" borderId="0" xfId="0" applyNumberFormat="1" applyFill="1" applyBorder="1" applyAlignment="1"/>
    <xf numFmtId="0" fontId="1" fillId="0" borderId="5" xfId="0" applyFont="1" applyFill="1" applyBorder="1" applyAlignment="1">
      <alignment horizontal="center" vertical="center" wrapText="1"/>
    </xf>
    <xf numFmtId="3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1" xfId="0" applyBorder="1"/>
    <xf numFmtId="168" fontId="0" fillId="0" borderId="1" xfId="0" applyNumberFormat="1" applyBorder="1"/>
    <xf numFmtId="168" fontId="0" fillId="0" borderId="0" xfId="0" applyNumberFormat="1"/>
    <xf numFmtId="169" fontId="0" fillId="0" borderId="1" xfId="0" applyNumberFormat="1" applyBorder="1"/>
    <xf numFmtId="169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2" xfId="0" applyFill="1" applyBorder="1"/>
    <xf numFmtId="0" fontId="0" fillId="0" borderId="1" xfId="0" applyBorder="1" applyAlignment="1">
      <alignment wrapText="1"/>
    </xf>
    <xf numFmtId="170" fontId="0" fillId="0" borderId="1" xfId="0" applyNumberFormat="1" applyBorder="1"/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Складні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14'!$C$15:$C$26</c:f>
              <c:numCache>
                <c:formatCode>General</c:formatCode>
                <c:ptCount val="12"/>
                <c:pt idx="0">
                  <c:v>11299.999999999998</c:v>
                </c:pt>
                <c:pt idx="1">
                  <c:v>12769</c:v>
                </c:pt>
                <c:pt idx="2">
                  <c:v>14428.97</c:v>
                </c:pt>
                <c:pt idx="3">
                  <c:v>16304.74</c:v>
                </c:pt>
                <c:pt idx="4">
                  <c:v>18424.36</c:v>
                </c:pt>
                <c:pt idx="5">
                  <c:v>20819.53</c:v>
                </c:pt>
                <c:pt idx="6">
                  <c:v>23526.07</c:v>
                </c:pt>
                <c:pt idx="7">
                  <c:v>26584.46</c:v>
                </c:pt>
                <c:pt idx="8">
                  <c:v>30040.44</c:v>
                </c:pt>
                <c:pt idx="9">
                  <c:v>33945.699999999997</c:v>
                </c:pt>
                <c:pt idx="10">
                  <c:v>38358.639999999999</c:v>
                </c:pt>
                <c:pt idx="11">
                  <c:v>43345.26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F-42CC-9664-8C6C1EF2CA08}"/>
            </c:ext>
          </c:extLst>
        </c:ser>
        <c:ser>
          <c:idx val="1"/>
          <c:order val="1"/>
          <c:tx>
            <c:v>Прості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'Задача 14'!$G$15:$G$26</c:f>
              <c:numCache>
                <c:formatCode>General</c:formatCode>
                <c:ptCount val="12"/>
                <c:pt idx="0">
                  <c:v>11550</c:v>
                </c:pt>
                <c:pt idx="1">
                  <c:v>13100</c:v>
                </c:pt>
                <c:pt idx="2">
                  <c:v>14650</c:v>
                </c:pt>
                <c:pt idx="3">
                  <c:v>16200</c:v>
                </c:pt>
                <c:pt idx="4">
                  <c:v>17750</c:v>
                </c:pt>
                <c:pt idx="5">
                  <c:v>19300</c:v>
                </c:pt>
                <c:pt idx="6">
                  <c:v>20850</c:v>
                </c:pt>
                <c:pt idx="7">
                  <c:v>22400</c:v>
                </c:pt>
                <c:pt idx="8">
                  <c:v>23950</c:v>
                </c:pt>
                <c:pt idx="9">
                  <c:v>25500</c:v>
                </c:pt>
                <c:pt idx="10">
                  <c:v>27050</c:v>
                </c:pt>
                <c:pt idx="11">
                  <c:v>28600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F-42CC-9664-8C6C1EF2C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515472"/>
        <c:axId val="963512560"/>
      </c:lineChart>
      <c:catAx>
        <c:axId val="96351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12560"/>
        <c:crosses val="autoZero"/>
        <c:auto val="1"/>
        <c:lblAlgn val="ctr"/>
        <c:lblOffset val="100"/>
        <c:noMultiLvlLbl val="0"/>
      </c:catAx>
      <c:valAx>
        <c:axId val="9635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1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[1]Лист1!$D$7</c:f>
              <c:strCache>
                <c:ptCount val="1"/>
                <c:pt idx="0">
                  <c:v>Залишкова вартість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[1]Лист1!$B$8:$B$13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[1]Лист1!$D$8:$D$13</c:f>
              <c:numCache>
                <c:formatCode>General</c:formatCode>
                <c:ptCount val="6"/>
                <c:pt idx="0">
                  <c:v>10000</c:v>
                </c:pt>
                <c:pt idx="1">
                  <c:v>8400</c:v>
                </c:pt>
                <c:pt idx="2">
                  <c:v>6800</c:v>
                </c:pt>
                <c:pt idx="3">
                  <c:v>5200</c:v>
                </c:pt>
                <c:pt idx="4">
                  <c:v>3600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4-4DD7-A1D7-C97725D7B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226847"/>
        <c:axId val="389940927"/>
      </c:lineChart>
      <c:catAx>
        <c:axId val="38922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40927"/>
        <c:crosses val="autoZero"/>
        <c:auto val="1"/>
        <c:lblAlgn val="ctr"/>
        <c:lblOffset val="100"/>
        <c:noMultiLvlLbl val="0"/>
      </c:catAx>
      <c:valAx>
        <c:axId val="3899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2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[1]Лист1!$D$16</c:f>
              <c:strCache>
                <c:ptCount val="1"/>
                <c:pt idx="0">
                  <c:v>Залишкова вартість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[1]Лист1!$B$17:$B$22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[1]Лист1!$D$17:$D$22</c:f>
              <c:numCache>
                <c:formatCode>General</c:formatCode>
                <c:ptCount val="6"/>
                <c:pt idx="0">
                  <c:v>10000</c:v>
                </c:pt>
                <c:pt idx="1">
                  <c:v>7333.3333333333339</c:v>
                </c:pt>
                <c:pt idx="2">
                  <c:v>5200</c:v>
                </c:pt>
                <c:pt idx="3">
                  <c:v>3600</c:v>
                </c:pt>
                <c:pt idx="4">
                  <c:v>2533.333333333333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8-498C-97E6-E64C63E55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677967"/>
        <c:axId val="389960895"/>
      </c:lineChart>
      <c:catAx>
        <c:axId val="39467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60895"/>
        <c:crosses val="autoZero"/>
        <c:auto val="1"/>
        <c:lblAlgn val="ctr"/>
        <c:lblOffset val="100"/>
        <c:noMultiLvlLbl val="0"/>
      </c:catAx>
      <c:valAx>
        <c:axId val="3899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7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[1]Лист1!$D$24</c:f>
              <c:strCache>
                <c:ptCount val="1"/>
                <c:pt idx="0">
                  <c:v>Залишкова вартість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[1]Лист1!$B$25:$B$31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Фіксована ставка</c:v>
                </c:pt>
              </c:strCache>
            </c:strRef>
          </c:cat>
          <c:val>
            <c:numRef>
              <c:f>[1]Лист1!$D$25:$D$31</c:f>
              <c:numCache>
                <c:formatCode>General</c:formatCode>
                <c:ptCount val="7"/>
                <c:pt idx="0">
                  <c:v>10000</c:v>
                </c:pt>
                <c:pt idx="1">
                  <c:v>7250</c:v>
                </c:pt>
                <c:pt idx="2">
                  <c:v>5256.25</c:v>
                </c:pt>
                <c:pt idx="3">
                  <c:v>3810.78125</c:v>
                </c:pt>
                <c:pt idx="4">
                  <c:v>2762.81640625</c:v>
                </c:pt>
                <c:pt idx="5">
                  <c:v>2003.0418945312504</c:v>
                </c:pt>
                <c:pt idx="6">
                  <c:v>0.27522033632230447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B-4096-BF1A-513AAD519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229247"/>
        <c:axId val="389940511"/>
      </c:lineChart>
      <c:catAx>
        <c:axId val="38922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40511"/>
        <c:crosses val="autoZero"/>
        <c:auto val="1"/>
        <c:lblAlgn val="ctr"/>
        <c:lblOffset val="100"/>
        <c:noMultiLvlLbl val="0"/>
      </c:catAx>
      <c:valAx>
        <c:axId val="38994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2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[1]Лист1!$D$33</c:f>
              <c:strCache>
                <c:ptCount val="1"/>
                <c:pt idx="0">
                  <c:v>Залишкова вартість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[1]Лист1!$B$34:$B$40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[1]Лист1!$D$34:$D$40</c:f>
              <c:numCache>
                <c:formatCode>General</c:formatCode>
                <c:ptCount val="7"/>
                <c:pt idx="0">
                  <c:v>10000</c:v>
                </c:pt>
                <c:pt idx="1">
                  <c:v>8625</c:v>
                </c:pt>
                <c:pt idx="2">
                  <c:v>6253.125</c:v>
                </c:pt>
                <c:pt idx="3">
                  <c:v>4533.515625</c:v>
                </c:pt>
                <c:pt idx="4">
                  <c:v>3286.798828125</c:v>
                </c:pt>
                <c:pt idx="5">
                  <c:v>2382.9291503906252</c:v>
                </c:pt>
                <c:pt idx="6">
                  <c:v>2055.2763922119138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1-4EFA-8F0B-558C0D193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749919"/>
        <c:axId val="389968383"/>
      </c:lineChart>
      <c:catAx>
        <c:axId val="38574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68383"/>
        <c:crosses val="autoZero"/>
        <c:auto val="1"/>
        <c:lblAlgn val="ctr"/>
        <c:lblOffset val="100"/>
        <c:noMultiLvlLbl val="0"/>
      </c:catAx>
      <c:valAx>
        <c:axId val="3899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4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12</xdr:row>
      <xdr:rowOff>23812</xdr:rowOff>
    </xdr:from>
    <xdr:to>
      <xdr:col>15</xdr:col>
      <xdr:colOff>366712</xdr:colOff>
      <xdr:row>26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0</xdr:row>
      <xdr:rowOff>90487</xdr:rowOff>
    </xdr:from>
    <xdr:to>
      <xdr:col>12</xdr:col>
      <xdr:colOff>328612</xdr:colOff>
      <xdr:row>13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81E2970-C623-4D7E-80D0-41FC4085E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14</xdr:row>
      <xdr:rowOff>185737</xdr:rowOff>
    </xdr:from>
    <xdr:to>
      <xdr:col>12</xdr:col>
      <xdr:colOff>309562</xdr:colOff>
      <xdr:row>27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D990F36-F64E-4CF2-A2BF-277F96703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</xdr:colOff>
      <xdr:row>27</xdr:row>
      <xdr:rowOff>185737</xdr:rowOff>
    </xdr:from>
    <xdr:to>
      <xdr:col>12</xdr:col>
      <xdr:colOff>328612</xdr:colOff>
      <xdr:row>42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B726D01-8FBB-4239-833A-63B9B1EE4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23812</xdr:colOff>
      <xdr:row>43</xdr:row>
      <xdr:rowOff>185737</xdr:rowOff>
    </xdr:from>
    <xdr:to>
      <xdr:col>12</xdr:col>
      <xdr:colOff>328612</xdr:colOff>
      <xdr:row>58</xdr:row>
      <xdr:rowOff>71437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7DCF53C-C74A-444D-B0B5-24DDF1802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Telegram%20Desktop/&#1057;&#1058;&#1059;%20&#1092;&#1091;&#1083;&#1083;/&#1057;&#1058;&#1059;%20&#1092;&#1091;&#1083;&#1083;/&#1083;&#1072;&#1073;5/&#1083;&#1072;&#1073;5&#1079;&#1072;&#1076;&#1072;&#1095;&#1072;17%201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7">
          <cell r="D7" t="str">
            <v>Залишкова вартість</v>
          </cell>
        </row>
        <row r="8">
          <cell r="B8">
            <v>0</v>
          </cell>
          <cell r="D8">
            <v>10000</v>
          </cell>
        </row>
        <row r="9">
          <cell r="B9">
            <v>1</v>
          </cell>
          <cell r="D9">
            <v>8400</v>
          </cell>
        </row>
        <row r="10">
          <cell r="B10">
            <v>2</v>
          </cell>
          <cell r="D10">
            <v>6800</v>
          </cell>
        </row>
        <row r="11">
          <cell r="B11">
            <v>3</v>
          </cell>
          <cell r="D11">
            <v>5200</v>
          </cell>
        </row>
        <row r="12">
          <cell r="B12">
            <v>4</v>
          </cell>
          <cell r="D12">
            <v>3600</v>
          </cell>
        </row>
        <row r="13">
          <cell r="B13">
            <v>5</v>
          </cell>
          <cell r="D13">
            <v>2000</v>
          </cell>
        </row>
        <row r="16">
          <cell r="D16" t="str">
            <v>Залишкова вартість</v>
          </cell>
        </row>
        <row r="17">
          <cell r="B17">
            <v>0</v>
          </cell>
          <cell r="D17">
            <v>10000</v>
          </cell>
        </row>
        <row r="18">
          <cell r="B18">
            <v>1</v>
          </cell>
          <cell r="D18">
            <v>7333.3333333333339</v>
          </cell>
        </row>
        <row r="19">
          <cell r="B19">
            <v>2</v>
          </cell>
          <cell r="D19">
            <v>5200</v>
          </cell>
        </row>
        <row r="20">
          <cell r="B20">
            <v>3</v>
          </cell>
          <cell r="D20">
            <v>3600</v>
          </cell>
        </row>
        <row r="21">
          <cell r="B21">
            <v>4</v>
          </cell>
          <cell r="D21">
            <v>2533.333333333333</v>
          </cell>
        </row>
        <row r="22">
          <cell r="B22">
            <v>5</v>
          </cell>
          <cell r="D22">
            <v>2000</v>
          </cell>
        </row>
        <row r="24">
          <cell r="D24" t="str">
            <v>Залишкова вартість</v>
          </cell>
        </row>
        <row r="25">
          <cell r="B25">
            <v>0</v>
          </cell>
          <cell r="D25">
            <v>10000</v>
          </cell>
        </row>
        <row r="26">
          <cell r="B26">
            <v>1</v>
          </cell>
          <cell r="D26">
            <v>7250</v>
          </cell>
        </row>
        <row r="27">
          <cell r="B27">
            <v>2</v>
          </cell>
          <cell r="D27">
            <v>5256.25</v>
          </cell>
        </row>
        <row r="28">
          <cell r="B28">
            <v>3</v>
          </cell>
          <cell r="D28">
            <v>3810.78125</v>
          </cell>
        </row>
        <row r="29">
          <cell r="B29">
            <v>4</v>
          </cell>
          <cell r="D29">
            <v>2762.81640625</v>
          </cell>
        </row>
        <row r="30">
          <cell r="B30">
            <v>5</v>
          </cell>
          <cell r="D30">
            <v>2003.0418945312504</v>
          </cell>
        </row>
        <row r="31">
          <cell r="B31" t="str">
            <v>Фіксована ставка</v>
          </cell>
          <cell r="D31">
            <v>0.27522033632230447</v>
          </cell>
        </row>
        <row r="33">
          <cell r="D33" t="str">
            <v>Залишкова вартість</v>
          </cell>
        </row>
        <row r="34">
          <cell r="B34">
            <v>0</v>
          </cell>
          <cell r="D34">
            <v>10000</v>
          </cell>
        </row>
        <row r="35">
          <cell r="B35">
            <v>1</v>
          </cell>
          <cell r="D35">
            <v>8625</v>
          </cell>
        </row>
        <row r="36">
          <cell r="B36">
            <v>2</v>
          </cell>
          <cell r="D36">
            <v>6253.125</v>
          </cell>
        </row>
        <row r="37">
          <cell r="B37">
            <v>3</v>
          </cell>
          <cell r="D37">
            <v>4533.515625</v>
          </cell>
        </row>
        <row r="38">
          <cell r="B38">
            <v>4</v>
          </cell>
          <cell r="D38">
            <v>3286.798828125</v>
          </cell>
        </row>
        <row r="39">
          <cell r="B39">
            <v>5</v>
          </cell>
          <cell r="D39">
            <v>2382.9291503906252</v>
          </cell>
        </row>
        <row r="40">
          <cell r="B40">
            <v>6</v>
          </cell>
          <cell r="D40">
            <v>2055.2763922119138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80" zoomScaleNormal="80" workbookViewId="0">
      <selection activeCell="C12" sqref="C12"/>
    </sheetView>
  </sheetViews>
  <sheetFormatPr defaultRowHeight="15" x14ac:dyDescent="0.25"/>
  <cols>
    <col min="1" max="1" width="27.7109375" customWidth="1"/>
    <col min="3" max="3" width="11.5703125" customWidth="1"/>
  </cols>
  <sheetData>
    <row r="1" spans="1:11" x14ac:dyDescent="0.25">
      <c r="A1" t="s">
        <v>0</v>
      </c>
    </row>
    <row r="3" spans="1:11" ht="15.75" customHeight="1" x14ac:dyDescent="0.25">
      <c r="A3" s="1" t="s">
        <v>1</v>
      </c>
      <c r="B3" s="1" t="s">
        <v>2</v>
      </c>
      <c r="C3" s="1">
        <v>-37000</v>
      </c>
      <c r="E3" s="48" t="s">
        <v>16</v>
      </c>
      <c r="F3" s="48"/>
      <c r="G3" s="48"/>
      <c r="H3" s="48"/>
      <c r="I3" s="48"/>
      <c r="J3" s="3"/>
      <c r="K3" s="3"/>
    </row>
    <row r="4" spans="1:11" x14ac:dyDescent="0.25">
      <c r="A4" s="1" t="s">
        <v>4</v>
      </c>
      <c r="B4" s="1" t="s">
        <v>3</v>
      </c>
      <c r="C4" s="1">
        <v>0</v>
      </c>
      <c r="E4" s="48"/>
      <c r="F4" s="48"/>
      <c r="G4" s="48"/>
      <c r="H4" s="48"/>
      <c r="I4" s="48"/>
      <c r="J4" s="3"/>
      <c r="K4" s="3"/>
    </row>
    <row r="5" spans="1:11" x14ac:dyDescent="0.25">
      <c r="A5" s="1" t="s">
        <v>5</v>
      </c>
      <c r="B5" s="1"/>
      <c r="C5" s="2">
        <v>0.115</v>
      </c>
      <c r="E5" s="48"/>
      <c r="F5" s="48"/>
      <c r="G5" s="48"/>
      <c r="H5" s="48"/>
      <c r="I5" s="48"/>
      <c r="J5" s="3"/>
      <c r="K5" s="3"/>
    </row>
    <row r="6" spans="1:11" x14ac:dyDescent="0.25">
      <c r="A6" s="1" t="s">
        <v>6</v>
      </c>
      <c r="B6" s="1"/>
      <c r="C6" s="1">
        <v>2</v>
      </c>
      <c r="E6" s="48"/>
      <c r="F6" s="48"/>
      <c r="G6" s="48"/>
      <c r="H6" s="48"/>
      <c r="I6" s="48"/>
      <c r="J6" s="3"/>
      <c r="K6" s="3"/>
    </row>
    <row r="7" spans="1:11" x14ac:dyDescent="0.25">
      <c r="A7" s="1" t="s">
        <v>7</v>
      </c>
      <c r="B7" s="1" t="s">
        <v>13</v>
      </c>
      <c r="C7" s="2">
        <v>5.7500000000000002E-2</v>
      </c>
      <c r="E7" s="48"/>
      <c r="F7" s="48"/>
      <c r="G7" s="48"/>
      <c r="H7" s="48"/>
      <c r="I7" s="48"/>
      <c r="J7" s="3"/>
      <c r="K7" s="3"/>
    </row>
    <row r="8" spans="1:11" x14ac:dyDescent="0.25">
      <c r="A8" s="1" t="s">
        <v>8</v>
      </c>
      <c r="B8" s="1"/>
      <c r="C8" s="1">
        <v>3</v>
      </c>
      <c r="E8" s="48"/>
      <c r="F8" s="48"/>
      <c r="G8" s="48"/>
      <c r="H8" s="48"/>
      <c r="I8" s="48"/>
      <c r="J8" s="3"/>
      <c r="K8" s="3"/>
    </row>
    <row r="9" spans="1:11" x14ac:dyDescent="0.25">
      <c r="A9" s="1" t="s">
        <v>9</v>
      </c>
      <c r="B9" s="1" t="s">
        <v>14</v>
      </c>
      <c r="C9" s="1">
        <v>6</v>
      </c>
    </row>
    <row r="10" spans="1:11" x14ac:dyDescent="0.25">
      <c r="A10" s="1" t="s">
        <v>10</v>
      </c>
      <c r="B10" s="1" t="s">
        <v>15</v>
      </c>
      <c r="C10" s="1">
        <v>0</v>
      </c>
    </row>
    <row r="11" spans="1:11" x14ac:dyDescent="0.25">
      <c r="A11" s="1" t="s">
        <v>11</v>
      </c>
      <c r="B11" s="1" t="s">
        <v>12</v>
      </c>
      <c r="C11" s="4">
        <f>FV(C7,C9,C4,C3,C10)</f>
        <v>51746.857428072864</v>
      </c>
    </row>
  </sheetData>
  <mergeCells count="1">
    <mergeCell ref="E3:I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9" sqref="C9"/>
    </sheetView>
  </sheetViews>
  <sheetFormatPr defaultRowHeight="15" x14ac:dyDescent="0.25"/>
  <cols>
    <col min="1" max="1" width="27.42578125" customWidth="1"/>
    <col min="2" max="2" width="18.42578125" customWidth="1"/>
    <col min="4" max="4" width="16.7109375" customWidth="1"/>
  </cols>
  <sheetData>
    <row r="1" spans="1:5" x14ac:dyDescent="0.25">
      <c r="A1" t="s">
        <v>84</v>
      </c>
    </row>
    <row r="3" spans="1:5" x14ac:dyDescent="0.25">
      <c r="A3" s="49" t="s">
        <v>85</v>
      </c>
      <c r="B3" s="49"/>
    </row>
    <row r="4" spans="1:5" x14ac:dyDescent="0.25">
      <c r="A4" s="1" t="s">
        <v>86</v>
      </c>
      <c r="B4" s="1">
        <v>201900</v>
      </c>
    </row>
    <row r="5" spans="1:5" x14ac:dyDescent="0.25">
      <c r="A5" s="1" t="s">
        <v>87</v>
      </c>
      <c r="B5" s="1">
        <v>0.2</v>
      </c>
    </row>
    <row r="6" spans="1:5" x14ac:dyDescent="0.25">
      <c r="A6" s="1" t="s">
        <v>88</v>
      </c>
      <c r="B6" s="1">
        <v>0.08</v>
      </c>
    </row>
    <row r="7" spans="1:5" x14ac:dyDescent="0.25">
      <c r="A7" s="1" t="s">
        <v>46</v>
      </c>
      <c r="B7" s="1">
        <f>B4*(1-B5)</f>
        <v>161520</v>
      </c>
    </row>
    <row r="8" spans="1:5" x14ac:dyDescent="0.25">
      <c r="B8" t="s">
        <v>89</v>
      </c>
      <c r="D8" t="s">
        <v>95</v>
      </c>
    </row>
    <row r="9" spans="1:5" x14ac:dyDescent="0.25">
      <c r="A9" t="s">
        <v>90</v>
      </c>
      <c r="B9">
        <f>D9*12</f>
        <v>360</v>
      </c>
      <c r="C9" t="str">
        <f>IF(B2=1,"місяць",IF(AND(B2&gt;=2,B2&lt;=4),"місяці","місяців"))</f>
        <v>місяців</v>
      </c>
      <c r="D9">
        <v>30</v>
      </c>
      <c r="E9" t="str">
        <f>IF(B2=1,"рік",IF(AND(B2&gt;=2,B2&lt;=4),"роки","років"))</f>
        <v>років</v>
      </c>
    </row>
    <row r="10" spans="1:5" x14ac:dyDescent="0.25">
      <c r="A10" s="58" t="s">
        <v>91</v>
      </c>
      <c r="B10" s="58"/>
    </row>
    <row r="11" spans="1:5" x14ac:dyDescent="0.25">
      <c r="A11" s="1" t="s">
        <v>92</v>
      </c>
      <c r="B11" s="4">
        <f>PMT(B6/12,D9*12,-B7)</f>
        <v>1185.1765397299685</v>
      </c>
      <c r="D11" s="4">
        <f>PMT(B6,D9,-B7)</f>
        <v>14347.407040712222</v>
      </c>
    </row>
    <row r="12" spans="1:5" x14ac:dyDescent="0.25">
      <c r="A12" s="1" t="s">
        <v>93</v>
      </c>
      <c r="B12" s="4">
        <f>B9*B11</f>
        <v>426663.55430278863</v>
      </c>
      <c r="D12" s="4">
        <f>D9*D11</f>
        <v>430422.21122136666</v>
      </c>
    </row>
    <row r="13" spans="1:5" x14ac:dyDescent="0.25">
      <c r="A13" s="1" t="s">
        <v>94</v>
      </c>
      <c r="B13" s="4">
        <f>B12-B7</f>
        <v>265143.55430278863</v>
      </c>
      <c r="D13" s="4">
        <f>D12-B7</f>
        <v>268902.21122136666</v>
      </c>
    </row>
  </sheetData>
  <mergeCells count="2">
    <mergeCell ref="A3:B3"/>
    <mergeCell ref="A10:B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8" sqref="B8"/>
    </sheetView>
  </sheetViews>
  <sheetFormatPr defaultRowHeight="15" x14ac:dyDescent="0.25"/>
  <cols>
    <col min="1" max="1" width="26.42578125" customWidth="1"/>
  </cols>
  <sheetData>
    <row r="1" spans="1:3" x14ac:dyDescent="0.25">
      <c r="A1" s="7" t="s">
        <v>96</v>
      </c>
      <c r="B1" s="7" t="s">
        <v>24</v>
      </c>
    </row>
    <row r="2" spans="1:3" x14ac:dyDescent="0.25">
      <c r="A2" t="s">
        <v>97</v>
      </c>
      <c r="B2">
        <v>12</v>
      </c>
      <c r="C2" t="str">
        <f>IF(B2=1,"місяць",IF(AND(B2&gt;=2,B2&lt;=4),"місяці","місяців"))</f>
        <v>місяців</v>
      </c>
    </row>
    <row r="3" spans="1:3" x14ac:dyDescent="0.25">
      <c r="A3" t="s">
        <v>98</v>
      </c>
      <c r="B3">
        <v>-1700</v>
      </c>
      <c r="C3" t="s">
        <v>100</v>
      </c>
    </row>
    <row r="4" spans="1:3" x14ac:dyDescent="0.25">
      <c r="A4" t="s">
        <v>66</v>
      </c>
      <c r="B4">
        <v>20000</v>
      </c>
      <c r="C4" t="s">
        <v>101</v>
      </c>
    </row>
    <row r="5" spans="1:3" x14ac:dyDescent="0.25">
      <c r="A5" t="s">
        <v>22</v>
      </c>
      <c r="B5">
        <v>0</v>
      </c>
      <c r="C5" t="s">
        <v>102</v>
      </c>
    </row>
    <row r="6" spans="1:3" x14ac:dyDescent="0.25">
      <c r="A6" t="s">
        <v>67</v>
      </c>
      <c r="B6">
        <v>1</v>
      </c>
      <c r="C6" t="s">
        <v>103</v>
      </c>
    </row>
    <row r="8" spans="1:3" x14ac:dyDescent="0.25">
      <c r="A8" t="s">
        <v>21</v>
      </c>
      <c r="B8" s="38">
        <f>RATE(B2,B3,B4,B5,B6)</f>
        <v>3.6211724868786053E-3</v>
      </c>
    </row>
    <row r="9" spans="1:3" x14ac:dyDescent="0.25">
      <c r="A9" t="s">
        <v>99</v>
      </c>
      <c r="B9" s="38">
        <f>12*B8</f>
        <v>4.3454069842543262E-2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4" sqref="H4"/>
    </sheetView>
  </sheetViews>
  <sheetFormatPr defaultRowHeight="15" x14ac:dyDescent="0.25"/>
  <cols>
    <col min="3" max="3" width="6.42578125" customWidth="1"/>
    <col min="4" max="4" width="6.5703125" customWidth="1"/>
    <col min="5" max="6" width="13.5703125" customWidth="1"/>
    <col min="7" max="7" width="19.42578125" customWidth="1"/>
  </cols>
  <sheetData>
    <row r="1" spans="1:8" ht="52.5" customHeight="1" x14ac:dyDescent="0.25">
      <c r="A1" s="8" t="s">
        <v>75</v>
      </c>
      <c r="B1" s="8" t="s">
        <v>40</v>
      </c>
      <c r="C1" s="8" t="s">
        <v>42</v>
      </c>
      <c r="D1" s="8" t="s">
        <v>43</v>
      </c>
      <c r="E1" s="36" t="s">
        <v>104</v>
      </c>
      <c r="F1" s="36" t="s">
        <v>105</v>
      </c>
      <c r="G1" s="36" t="s">
        <v>106</v>
      </c>
      <c r="H1" s="36" t="s">
        <v>107</v>
      </c>
    </row>
    <row r="2" spans="1:8" x14ac:dyDescent="0.25">
      <c r="A2" s="1">
        <v>50</v>
      </c>
      <c r="B2" s="40">
        <v>55</v>
      </c>
      <c r="C2" s="42">
        <v>3</v>
      </c>
      <c r="D2" s="1">
        <v>4</v>
      </c>
      <c r="E2" s="56">
        <f>1/C2*((B2/A2)-1)</f>
        <v>3.3333333333333361E-2</v>
      </c>
      <c r="F2" s="1">
        <f>D2*((B2/A2)^(1/(C2*D2))-1)</f>
        <v>3.1896561715615057E-2</v>
      </c>
      <c r="G2" s="39">
        <f>RATE(C2*4,0,-A2,B2)/100</f>
        <v>7.9741404289148364E-5</v>
      </c>
      <c r="H2" s="1">
        <f>F2</f>
        <v>3.1896561715615057E-2</v>
      </c>
    </row>
    <row r="3" spans="1:8" x14ac:dyDescent="0.25">
      <c r="C3" s="43"/>
      <c r="D3" s="41">
        <v>12</v>
      </c>
      <c r="E3" s="57"/>
      <c r="F3" s="1">
        <f>D3*((B2/A2)^(1/(C2*D3))-1)</f>
        <v>3.1812152769753688E-2</v>
      </c>
      <c r="G3" s="39">
        <f>RATE(C2*12,0,-A2,B2)/100</f>
        <v>2.6510127485879599E-5</v>
      </c>
      <c r="H3" s="1">
        <f>F3</f>
        <v>3.1812152769753688E-2</v>
      </c>
    </row>
  </sheetData>
  <mergeCells count="1">
    <mergeCell ref="E2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defaultRowHeight="15" x14ac:dyDescent="0.25"/>
  <cols>
    <col min="4" max="4" width="16.5703125" customWidth="1"/>
  </cols>
  <sheetData>
    <row r="1" spans="1:4" x14ac:dyDescent="0.25">
      <c r="A1" s="8" t="s">
        <v>108</v>
      </c>
      <c r="B1" s="8" t="s">
        <v>43</v>
      </c>
      <c r="C1" s="17" t="s">
        <v>110</v>
      </c>
      <c r="D1" s="8" t="s">
        <v>109</v>
      </c>
    </row>
    <row r="2" spans="1:4" x14ac:dyDescent="0.25">
      <c r="A2" s="8">
        <v>0.75</v>
      </c>
      <c r="B2" s="8">
        <v>4</v>
      </c>
      <c r="C2" s="8">
        <f>((1+A2/B2)^B2)-1</f>
        <v>0.9885406494140625</v>
      </c>
      <c r="D2" s="8">
        <f>EFFECT(A2,B2)</f>
        <v>0.9885406494140625</v>
      </c>
    </row>
    <row r="3" spans="1:4" x14ac:dyDescent="0.25">
      <c r="A3" s="8">
        <v>0.8</v>
      </c>
      <c r="B3" s="8">
        <v>2</v>
      </c>
      <c r="C3" s="8">
        <f>((1+A3/B3)^B3)-1</f>
        <v>0.95999999999999974</v>
      </c>
      <c r="D3" s="8">
        <f>EFFECT(A3,B3)</f>
        <v>0.95999999999999974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opLeftCell="F5" workbookViewId="0">
      <selection activeCell="G15" activeCellId="1" sqref="C15:C26 G15:G26"/>
    </sheetView>
  </sheetViews>
  <sheetFormatPr defaultRowHeight="15" x14ac:dyDescent="0.25"/>
  <cols>
    <col min="3" max="3" width="18.85546875" customWidth="1"/>
    <col min="4" max="4" width="12.5703125" customWidth="1"/>
    <col min="5" max="5" width="19.28515625" customWidth="1"/>
  </cols>
  <sheetData>
    <row r="3" spans="1:8" x14ac:dyDescent="0.25">
      <c r="C3" s="7" t="s">
        <v>111</v>
      </c>
      <c r="E3" s="7" t="s">
        <v>112</v>
      </c>
    </row>
    <row r="4" spans="1:8" x14ac:dyDescent="0.25">
      <c r="C4" s="15" t="s">
        <v>113</v>
      </c>
      <c r="E4" s="15" t="s">
        <v>114</v>
      </c>
    </row>
    <row r="5" spans="1:8" x14ac:dyDescent="0.25">
      <c r="C5" s="6">
        <v>1000</v>
      </c>
      <c r="D5" s="6" t="s">
        <v>75</v>
      </c>
      <c r="E5" s="6">
        <v>10000</v>
      </c>
    </row>
    <row r="6" spans="1:8" x14ac:dyDescent="0.25">
      <c r="C6" s="6">
        <v>0.13</v>
      </c>
      <c r="D6" s="6" t="s">
        <v>41</v>
      </c>
      <c r="E6" s="6">
        <v>0.155</v>
      </c>
    </row>
    <row r="7" spans="1:8" x14ac:dyDescent="0.25">
      <c r="C7" s="6">
        <v>20</v>
      </c>
      <c r="D7" s="6" t="s">
        <v>115</v>
      </c>
      <c r="E7" s="6">
        <v>20</v>
      </c>
    </row>
    <row r="8" spans="1:8" x14ac:dyDescent="0.25">
      <c r="C8" s="6">
        <f>C5*(1+C6)^C7-C5</f>
        <v>10523.087764723348</v>
      </c>
      <c r="D8" s="6" t="s">
        <v>116</v>
      </c>
      <c r="E8" s="6">
        <f>E5*E6*E7</f>
        <v>31000</v>
      </c>
    </row>
    <row r="9" spans="1:8" x14ac:dyDescent="0.25">
      <c r="C9" s="6">
        <f>C5*(1+C6)^C7</f>
        <v>11523.087764723348</v>
      </c>
      <c r="D9" s="6" t="s">
        <v>117</v>
      </c>
      <c r="E9" s="6">
        <f>E8+E5</f>
        <v>41000</v>
      </c>
    </row>
    <row r="10" spans="1:8" x14ac:dyDescent="0.25">
      <c r="C10">
        <f>ROUND(C8/C5,2)</f>
        <v>10.52</v>
      </c>
      <c r="D10" s="6" t="s">
        <v>118</v>
      </c>
      <c r="E10">
        <f>ROUND(E8/E5,2)</f>
        <v>3.1</v>
      </c>
    </row>
    <row r="13" spans="1:8" x14ac:dyDescent="0.25">
      <c r="A13" s="59" t="s">
        <v>123</v>
      </c>
      <c r="B13" s="59"/>
      <c r="C13" s="59"/>
      <c r="D13" s="59"/>
      <c r="E13" s="60" t="s">
        <v>124</v>
      </c>
      <c r="F13" s="60"/>
      <c r="G13" s="60"/>
      <c r="H13" s="60"/>
    </row>
    <row r="14" spans="1:8" x14ac:dyDescent="0.25">
      <c r="A14" s="1" t="s">
        <v>119</v>
      </c>
      <c r="B14" s="1" t="s">
        <v>120</v>
      </c>
      <c r="C14" s="1" t="s">
        <v>121</v>
      </c>
      <c r="D14" s="1" t="s">
        <v>122</v>
      </c>
      <c r="E14" s="1" t="s">
        <v>119</v>
      </c>
      <c r="F14" s="1" t="s">
        <v>120</v>
      </c>
      <c r="G14" s="1" t="s">
        <v>121</v>
      </c>
      <c r="H14" s="1" t="s">
        <v>122</v>
      </c>
    </row>
    <row r="15" spans="1:8" x14ac:dyDescent="0.25">
      <c r="A15" s="1">
        <v>10000</v>
      </c>
      <c r="B15" s="1">
        <f>A15*C6</f>
        <v>1300</v>
      </c>
      <c r="C15" s="1">
        <f>A15*(1+C6)</f>
        <v>11299.999999999998</v>
      </c>
      <c r="D15" s="1">
        <v>1</v>
      </c>
      <c r="E15" s="1">
        <v>10000</v>
      </c>
      <c r="F15" s="1">
        <f>ROUND(E5*E6,2)</f>
        <v>1550</v>
      </c>
      <c r="G15" s="1">
        <f>E15+F15</f>
        <v>11550</v>
      </c>
      <c r="H15" s="1">
        <v>1</v>
      </c>
    </row>
    <row r="16" spans="1:8" x14ac:dyDescent="0.25">
      <c r="A16" s="1">
        <f>C15</f>
        <v>11299.999999999998</v>
      </c>
      <c r="B16" s="1">
        <f>ROUND(A16*C6,2)</f>
        <v>1469</v>
      </c>
      <c r="C16" s="1">
        <f>ROUND(A16*(1+C6),2)</f>
        <v>12769</v>
      </c>
      <c r="D16" s="1">
        <v>2</v>
      </c>
      <c r="E16" s="1">
        <v>10000</v>
      </c>
      <c r="F16" s="1">
        <f>ROUND(E5*E6,2)</f>
        <v>1550</v>
      </c>
      <c r="G16" s="1">
        <f>G15+F16</f>
        <v>13100</v>
      </c>
      <c r="H16" s="1">
        <v>2</v>
      </c>
    </row>
    <row r="17" spans="1:8" x14ac:dyDescent="0.25">
      <c r="A17" s="1">
        <f>C16</f>
        <v>12769</v>
      </c>
      <c r="B17" s="1">
        <f>ROUND(A17*C6,2)</f>
        <v>1659.97</v>
      </c>
      <c r="C17" s="1">
        <f>ROUND(A17*(1+C6),2)</f>
        <v>14428.97</v>
      </c>
      <c r="D17" s="1">
        <v>3</v>
      </c>
      <c r="E17" s="1">
        <v>10000</v>
      </c>
      <c r="F17" s="1">
        <f>ROUND(E5*E6,2)</f>
        <v>1550</v>
      </c>
      <c r="G17" s="1">
        <f t="shared" ref="G17:G26" si="0">G16+F17</f>
        <v>14650</v>
      </c>
      <c r="H17" s="1">
        <v>3</v>
      </c>
    </row>
    <row r="18" spans="1:8" x14ac:dyDescent="0.25">
      <c r="A18" s="1">
        <f>C17</f>
        <v>14428.97</v>
      </c>
      <c r="B18" s="1">
        <f>ROUND(A18*C6,2)</f>
        <v>1875.77</v>
      </c>
      <c r="C18" s="1">
        <f>ROUND(A18*(1+C6),2)</f>
        <v>16304.74</v>
      </c>
      <c r="D18" s="1">
        <v>4</v>
      </c>
      <c r="E18" s="1">
        <v>10000</v>
      </c>
      <c r="F18" s="1">
        <f>ROUND(E5*E6,2)</f>
        <v>1550</v>
      </c>
      <c r="G18" s="1">
        <f t="shared" si="0"/>
        <v>16200</v>
      </c>
      <c r="H18" s="1">
        <v>4</v>
      </c>
    </row>
    <row r="19" spans="1:8" x14ac:dyDescent="0.25">
      <c r="A19" s="1">
        <f t="shared" ref="A19:A26" si="1">C18</f>
        <v>16304.74</v>
      </c>
      <c r="B19" s="1">
        <f>ROUND(A19*C6,2)</f>
        <v>2119.62</v>
      </c>
      <c r="C19" s="1">
        <f>ROUND(A19*(1+C6),2)</f>
        <v>18424.36</v>
      </c>
      <c r="D19" s="1">
        <v>5</v>
      </c>
      <c r="E19" s="1">
        <v>10000</v>
      </c>
      <c r="F19" s="1">
        <f>ROUND(E5*E6,2)</f>
        <v>1550</v>
      </c>
      <c r="G19" s="1">
        <f t="shared" si="0"/>
        <v>17750</v>
      </c>
      <c r="H19" s="1">
        <v>5</v>
      </c>
    </row>
    <row r="20" spans="1:8" x14ac:dyDescent="0.25">
      <c r="A20" s="1">
        <f t="shared" si="1"/>
        <v>18424.36</v>
      </c>
      <c r="B20" s="1">
        <f>ROUND(A20*C6,2)</f>
        <v>2395.17</v>
      </c>
      <c r="C20" s="1">
        <f>ROUND(A20*(1+C6),2)</f>
        <v>20819.53</v>
      </c>
      <c r="D20" s="1">
        <v>6</v>
      </c>
      <c r="E20" s="1">
        <v>10000</v>
      </c>
      <c r="F20" s="1">
        <f>ROUND(E5*E6,2)</f>
        <v>1550</v>
      </c>
      <c r="G20" s="1">
        <f t="shared" si="0"/>
        <v>19300</v>
      </c>
      <c r="H20" s="1">
        <v>6</v>
      </c>
    </row>
    <row r="21" spans="1:8" x14ac:dyDescent="0.25">
      <c r="A21" s="1">
        <f t="shared" si="1"/>
        <v>20819.53</v>
      </c>
      <c r="B21" s="1">
        <f>ROUND(A21*C6,2)</f>
        <v>2706.54</v>
      </c>
      <c r="C21" s="1">
        <f>ROUND(A21*(1+C6),2)</f>
        <v>23526.07</v>
      </c>
      <c r="D21" s="1">
        <v>7</v>
      </c>
      <c r="E21" s="1">
        <v>10000</v>
      </c>
      <c r="F21" s="1">
        <f>ROUND(E5*E6,2)</f>
        <v>1550</v>
      </c>
      <c r="G21" s="1">
        <f t="shared" si="0"/>
        <v>20850</v>
      </c>
      <c r="H21" s="1">
        <v>7</v>
      </c>
    </row>
    <row r="22" spans="1:8" x14ac:dyDescent="0.25">
      <c r="A22" s="1">
        <f t="shared" si="1"/>
        <v>23526.07</v>
      </c>
      <c r="B22" s="1">
        <f>ROUND(A22*C6,2)</f>
        <v>3058.39</v>
      </c>
      <c r="C22" s="1">
        <f>ROUND(A22*(1+C6),2)</f>
        <v>26584.46</v>
      </c>
      <c r="D22" s="1">
        <v>8</v>
      </c>
      <c r="E22" s="1">
        <v>10000</v>
      </c>
      <c r="F22" s="1">
        <f>ROUND(E5*E6,2)</f>
        <v>1550</v>
      </c>
      <c r="G22" s="1">
        <f t="shared" si="0"/>
        <v>22400</v>
      </c>
      <c r="H22" s="1">
        <v>8</v>
      </c>
    </row>
    <row r="23" spans="1:8" x14ac:dyDescent="0.25">
      <c r="A23" s="1">
        <f t="shared" si="1"/>
        <v>26584.46</v>
      </c>
      <c r="B23" s="1">
        <f>ROUND(A23*C6,2)</f>
        <v>3455.98</v>
      </c>
      <c r="C23" s="1">
        <f>ROUND(A23*(1+C6),2)</f>
        <v>30040.44</v>
      </c>
      <c r="D23" s="1">
        <v>9</v>
      </c>
      <c r="E23" s="1">
        <v>10000</v>
      </c>
      <c r="F23" s="1">
        <f>ROUND(E5*E6,2)</f>
        <v>1550</v>
      </c>
      <c r="G23" s="1">
        <f t="shared" si="0"/>
        <v>23950</v>
      </c>
      <c r="H23" s="1">
        <v>9</v>
      </c>
    </row>
    <row r="24" spans="1:8" x14ac:dyDescent="0.25">
      <c r="A24" s="1">
        <f t="shared" si="1"/>
        <v>30040.44</v>
      </c>
      <c r="B24" s="1">
        <f>ROUND(A24*C6,2)</f>
        <v>3905.26</v>
      </c>
      <c r="C24" s="1">
        <f>ROUND(A24*(1+C6),2)</f>
        <v>33945.699999999997</v>
      </c>
      <c r="D24" s="1">
        <v>10</v>
      </c>
      <c r="E24" s="1">
        <v>10000</v>
      </c>
      <c r="F24" s="1">
        <f>ROUND(E5*E6,2)</f>
        <v>1550</v>
      </c>
      <c r="G24" s="1">
        <f t="shared" si="0"/>
        <v>25500</v>
      </c>
      <c r="H24" s="1">
        <v>10</v>
      </c>
    </row>
    <row r="25" spans="1:8" x14ac:dyDescent="0.25">
      <c r="A25" s="1">
        <f t="shared" si="1"/>
        <v>33945.699999999997</v>
      </c>
      <c r="B25" s="1">
        <f>ROUND(A25*C6,2)</f>
        <v>4412.9399999999996</v>
      </c>
      <c r="C25" s="1">
        <f>ROUND(A25*(1+C6),2)</f>
        <v>38358.639999999999</v>
      </c>
      <c r="D25" s="1">
        <v>11</v>
      </c>
      <c r="E25" s="1">
        <v>10000</v>
      </c>
      <c r="F25" s="1">
        <f>ROUND(E5*E6,2)</f>
        <v>1550</v>
      </c>
      <c r="G25" s="1">
        <f t="shared" si="0"/>
        <v>27050</v>
      </c>
      <c r="H25" s="1">
        <v>11</v>
      </c>
    </row>
    <row r="26" spans="1:8" x14ac:dyDescent="0.25">
      <c r="A26" s="1">
        <f t="shared" si="1"/>
        <v>38358.639999999999</v>
      </c>
      <c r="B26" s="1">
        <f>ROUND(A26*C6,2)</f>
        <v>4986.62</v>
      </c>
      <c r="C26" s="1">
        <f>ROUND(A26*(1+C6),2)</f>
        <v>43345.26</v>
      </c>
      <c r="D26" s="1">
        <v>12</v>
      </c>
      <c r="E26" s="1">
        <v>10000</v>
      </c>
      <c r="F26" s="1">
        <f>ROUND(E5*E6,2)</f>
        <v>1550</v>
      </c>
      <c r="G26" s="1">
        <f t="shared" si="0"/>
        <v>28600</v>
      </c>
      <c r="H26" s="1">
        <v>12</v>
      </c>
    </row>
  </sheetData>
  <mergeCells count="2">
    <mergeCell ref="A13:D13"/>
    <mergeCell ref="E13:H1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44"/>
  <sheetViews>
    <sheetView zoomScale="60" zoomScaleNormal="60" workbookViewId="0">
      <selection activeCell="L19" sqref="L19"/>
    </sheetView>
  </sheetViews>
  <sheetFormatPr defaultRowHeight="15" x14ac:dyDescent="0.25"/>
  <cols>
    <col min="3" max="3" width="13.42578125" customWidth="1"/>
    <col min="4" max="4" width="32.140625" customWidth="1"/>
    <col min="5" max="5" width="15.7109375" customWidth="1"/>
    <col min="6" max="6" width="15.85546875" customWidth="1"/>
  </cols>
  <sheetData>
    <row r="5" spans="2:6" x14ac:dyDescent="0.25">
      <c r="D5" s="1" t="s">
        <v>125</v>
      </c>
      <c r="E5" s="1">
        <v>1000000</v>
      </c>
    </row>
    <row r="6" spans="2:6" x14ac:dyDescent="0.25">
      <c r="D6" s="1" t="s">
        <v>99</v>
      </c>
      <c r="E6" s="1">
        <v>0.12</v>
      </c>
    </row>
    <row r="7" spans="2:6" x14ac:dyDescent="0.25">
      <c r="D7" s="1" t="s">
        <v>128</v>
      </c>
      <c r="E7" s="1">
        <v>24</v>
      </c>
    </row>
    <row r="9" spans="2:6" x14ac:dyDescent="0.25">
      <c r="D9" s="1" t="s">
        <v>126</v>
      </c>
      <c r="E9" s="44">
        <f>PMT(E6/12,E7,E5)</f>
        <v>-47073.472223264704</v>
      </c>
    </row>
    <row r="10" spans="2:6" x14ac:dyDescent="0.25">
      <c r="D10" s="1" t="s">
        <v>93</v>
      </c>
      <c r="E10" s="44">
        <f>E9*E7</f>
        <v>-1129763.333358353</v>
      </c>
    </row>
    <row r="11" spans="2:6" x14ac:dyDescent="0.25">
      <c r="D11" s="1" t="s">
        <v>127</v>
      </c>
      <c r="E11" s="44">
        <f>E10-E5</f>
        <v>-2129763.333358353</v>
      </c>
    </row>
    <row r="13" spans="2:6" x14ac:dyDescent="0.25">
      <c r="B13" s="1" t="s">
        <v>122</v>
      </c>
      <c r="C13" s="1" t="s">
        <v>129</v>
      </c>
      <c r="D13" s="1" t="s">
        <v>130</v>
      </c>
      <c r="E13" s="1" t="s">
        <v>131</v>
      </c>
      <c r="F13" s="1" t="s">
        <v>132</v>
      </c>
    </row>
    <row r="14" spans="2:6" x14ac:dyDescent="0.25">
      <c r="B14">
        <v>1</v>
      </c>
      <c r="C14" s="45">
        <f>PPMT($E$6/12,B14,$E$7,$E$5,0)</f>
        <v>-37073.472223264704</v>
      </c>
      <c r="D14">
        <f>(IPMT($E$6/12,B14,$E$7,$E$5,0))</f>
        <v>-10000.000000000002</v>
      </c>
      <c r="E14" s="45">
        <f>C14+D14</f>
        <v>-47073.472223264704</v>
      </c>
      <c r="F14" s="45">
        <f>$E$5+SUM($C$14,C14)</f>
        <v>925853.05555347062</v>
      </c>
    </row>
    <row r="15" spans="2:6" x14ac:dyDescent="0.25">
      <c r="B15">
        <f>IF(B14&gt;=$E$7,"",B14+1)</f>
        <v>2</v>
      </c>
      <c r="C15" s="45">
        <f t="shared" ref="C15:C37" si="0">PPMT($E$6/12,B15,$E$7,$E$5,0)</f>
        <v>-37444.206945497353</v>
      </c>
      <c r="D15">
        <f t="shared" ref="D15:D37" si="1">(IPMT($E$6/12,B15,$E$7,$E$5,0))</f>
        <v>-9629.2652777673538</v>
      </c>
      <c r="E15" s="45">
        <f t="shared" ref="E15:E37" si="2">C15+D15</f>
        <v>-47073.472223264704</v>
      </c>
      <c r="F15" s="45">
        <f>$E$5+SUM($C$14:C15)</f>
        <v>925482.32083123794</v>
      </c>
    </row>
    <row r="16" spans="2:6" x14ac:dyDescent="0.25">
      <c r="B16">
        <f t="shared" ref="B16:B30" si="3">IF(B15&gt;=$E$7,"",B15+1)</f>
        <v>3</v>
      </c>
      <c r="C16" s="45">
        <f t="shared" si="0"/>
        <v>-37818.649014952323</v>
      </c>
      <c r="D16">
        <f t="shared" si="1"/>
        <v>-9254.8232083123821</v>
      </c>
      <c r="E16" s="45">
        <f t="shared" si="2"/>
        <v>-47073.472223264704</v>
      </c>
      <c r="F16" s="45">
        <f>$E$5+SUM($C$14:C16)</f>
        <v>887663.67181628558</v>
      </c>
    </row>
    <row r="17" spans="2:6" x14ac:dyDescent="0.25">
      <c r="B17">
        <f t="shared" si="3"/>
        <v>4</v>
      </c>
      <c r="C17" s="45">
        <f t="shared" si="0"/>
        <v>-38196.835505101852</v>
      </c>
      <c r="D17">
        <f t="shared" si="1"/>
        <v>-8876.6367181628575</v>
      </c>
      <c r="E17" s="45">
        <f t="shared" si="2"/>
        <v>-47073.472223264711</v>
      </c>
      <c r="F17" s="45">
        <f>$E$5+SUM($C$14:C17)</f>
        <v>849466.83631118375</v>
      </c>
    </row>
    <row r="18" spans="2:6" x14ac:dyDescent="0.25">
      <c r="B18">
        <f t="shared" si="3"/>
        <v>5</v>
      </c>
      <c r="C18" s="45">
        <f t="shared" si="0"/>
        <v>-38578.803860152868</v>
      </c>
      <c r="D18">
        <f t="shared" si="1"/>
        <v>-8494.6683631118394</v>
      </c>
      <c r="E18" s="45">
        <f t="shared" si="2"/>
        <v>-47073.472223264704</v>
      </c>
      <c r="F18" s="45">
        <f>$E$5+SUM($C$14:C18)</f>
        <v>810888.03245103091</v>
      </c>
    </row>
    <row r="19" spans="2:6" x14ac:dyDescent="0.25">
      <c r="B19">
        <f t="shared" si="3"/>
        <v>6</v>
      </c>
      <c r="C19" s="45">
        <f t="shared" si="0"/>
        <v>-38964.591898754392</v>
      </c>
      <c r="D19">
        <f t="shared" si="1"/>
        <v>-8108.8803245103109</v>
      </c>
      <c r="E19" s="45">
        <f t="shared" si="2"/>
        <v>-47073.472223264704</v>
      </c>
      <c r="F19" s="45">
        <f>$E$5+SUM($C$14:C19)</f>
        <v>771923.44055227656</v>
      </c>
    </row>
    <row r="20" spans="2:6" x14ac:dyDescent="0.25">
      <c r="B20">
        <f t="shared" si="3"/>
        <v>7</v>
      </c>
      <c r="C20" s="45">
        <f t="shared" si="0"/>
        <v>-39354.237817741938</v>
      </c>
      <c r="D20">
        <f t="shared" si="1"/>
        <v>-7719.2344055227659</v>
      </c>
      <c r="E20" s="45">
        <f t="shared" si="2"/>
        <v>-47073.472223264704</v>
      </c>
      <c r="F20" s="45">
        <f>$E$5+SUM($C$14:C20)</f>
        <v>732569.20273453463</v>
      </c>
    </row>
    <row r="21" spans="2:6" x14ac:dyDescent="0.25">
      <c r="B21">
        <f t="shared" si="3"/>
        <v>8</v>
      </c>
      <c r="C21" s="45">
        <f t="shared" si="0"/>
        <v>-39747.78019591936</v>
      </c>
      <c r="D21">
        <f t="shared" si="1"/>
        <v>-7325.6920273453461</v>
      </c>
      <c r="E21" s="45">
        <f t="shared" si="2"/>
        <v>-47073.472223264704</v>
      </c>
      <c r="F21" s="45">
        <f>$E$5+SUM($C$14:C21)</f>
        <v>692821.42253861518</v>
      </c>
    </row>
    <row r="22" spans="2:6" x14ac:dyDescent="0.25">
      <c r="B22">
        <f t="shared" si="3"/>
        <v>9</v>
      </c>
      <c r="C22" s="45">
        <f t="shared" si="0"/>
        <v>-40145.257997878551</v>
      </c>
      <c r="D22">
        <f t="shared" si="1"/>
        <v>-6928.214225386153</v>
      </c>
      <c r="E22" s="45">
        <f t="shared" si="2"/>
        <v>-47073.472223264704</v>
      </c>
      <c r="F22" s="45">
        <f>$E$5+SUM($C$14:C22)</f>
        <v>652676.1645407367</v>
      </c>
    </row>
    <row r="23" spans="2:6" x14ac:dyDescent="0.25">
      <c r="B23">
        <f t="shared" si="3"/>
        <v>10</v>
      </c>
      <c r="C23" s="45">
        <f t="shared" si="0"/>
        <v>-40546.710577857339</v>
      </c>
      <c r="D23">
        <f t="shared" si="1"/>
        <v>-6526.7616454073659</v>
      </c>
      <c r="E23" s="45">
        <f t="shared" si="2"/>
        <v>-47073.472223264704</v>
      </c>
      <c r="F23" s="45">
        <f>$E$5+SUM($C$14:C23)</f>
        <v>612129.45396287926</v>
      </c>
    </row>
    <row r="24" spans="2:6" x14ac:dyDescent="0.25">
      <c r="B24">
        <f t="shared" si="3"/>
        <v>11</v>
      </c>
      <c r="C24" s="45">
        <f t="shared" si="0"/>
        <v>-40952.177683635913</v>
      </c>
      <c r="D24">
        <f t="shared" si="1"/>
        <v>-6121.2945396287942</v>
      </c>
      <c r="E24" s="45">
        <f t="shared" si="2"/>
        <v>-47073.472223264704</v>
      </c>
      <c r="F24" s="45">
        <f>$E$5+SUM($C$14:C24)</f>
        <v>571177.27627924341</v>
      </c>
    </row>
    <row r="25" spans="2:6" x14ac:dyDescent="0.25">
      <c r="B25">
        <f t="shared" si="3"/>
        <v>12</v>
      </c>
      <c r="C25" s="45">
        <f t="shared" si="0"/>
        <v>-41361.699460472271</v>
      </c>
      <c r="D25">
        <f t="shared" si="1"/>
        <v>-5711.7727627924342</v>
      </c>
      <c r="E25" s="45">
        <f t="shared" si="2"/>
        <v>-47073.472223264704</v>
      </c>
      <c r="F25" s="45">
        <f>$E$5+SUM($C$14:C25)</f>
        <v>529815.57681877119</v>
      </c>
    </row>
    <row r="26" spans="2:6" x14ac:dyDescent="0.25">
      <c r="B26">
        <f t="shared" si="3"/>
        <v>13</v>
      </c>
      <c r="C26" s="45">
        <f t="shared" si="0"/>
        <v>-41775.316455076994</v>
      </c>
      <c r="D26">
        <f t="shared" si="1"/>
        <v>-5298.1557681877121</v>
      </c>
      <c r="E26" s="45">
        <f t="shared" si="2"/>
        <v>-47073.472223264704</v>
      </c>
      <c r="F26" s="45">
        <f>$E$5+SUM($C$14:C26)</f>
        <v>488040.26036369416</v>
      </c>
    </row>
    <row r="27" spans="2:6" x14ac:dyDescent="0.25">
      <c r="B27">
        <f t="shared" si="3"/>
        <v>14</v>
      </c>
      <c r="C27" s="45">
        <f t="shared" si="0"/>
        <v>-42193.069619627764</v>
      </c>
      <c r="D27">
        <f t="shared" si="1"/>
        <v>-4880.4026036369414</v>
      </c>
      <c r="E27" s="45">
        <f t="shared" si="2"/>
        <v>-47073.472223264704</v>
      </c>
      <c r="F27" s="45">
        <f>$E$5+SUM($C$14:C27)</f>
        <v>445847.19074406638</v>
      </c>
    </row>
    <row r="28" spans="2:6" x14ac:dyDescent="0.25">
      <c r="B28">
        <f t="shared" si="3"/>
        <v>15</v>
      </c>
      <c r="C28" s="45">
        <f t="shared" si="0"/>
        <v>-42615.000315824043</v>
      </c>
      <c r="D28">
        <f t="shared" si="1"/>
        <v>-4458.471907440663</v>
      </c>
      <c r="E28" s="45">
        <f t="shared" si="2"/>
        <v>-47073.472223264704</v>
      </c>
      <c r="F28" s="45">
        <f>$E$5+SUM($C$14:C28)</f>
        <v>403232.19042824232</v>
      </c>
    </row>
    <row r="29" spans="2:6" x14ac:dyDescent="0.25">
      <c r="B29">
        <f t="shared" si="3"/>
        <v>16</v>
      </c>
      <c r="C29" s="45">
        <f t="shared" si="0"/>
        <v>-43041.150318982283</v>
      </c>
      <c r="D29">
        <f t="shared" si="1"/>
        <v>-4032.3219042824235</v>
      </c>
      <c r="E29" s="45">
        <f t="shared" si="2"/>
        <v>-47073.472223264704</v>
      </c>
      <c r="F29" s="45">
        <f>$E$5+SUM($C$14:C29)</f>
        <v>360191.04010926001</v>
      </c>
    </row>
    <row r="30" spans="2:6" x14ac:dyDescent="0.25">
      <c r="B30">
        <f t="shared" si="3"/>
        <v>17</v>
      </c>
      <c r="C30" s="45">
        <f t="shared" si="0"/>
        <v>-43471.561822172109</v>
      </c>
      <c r="D30">
        <f t="shared" si="1"/>
        <v>-3601.9104010926003</v>
      </c>
      <c r="E30" s="45">
        <f t="shared" si="2"/>
        <v>-47073.472223264711</v>
      </c>
      <c r="F30" s="45">
        <f>$E$5+SUM($C$14:C30)</f>
        <v>316719.47828708787</v>
      </c>
    </row>
    <row r="31" spans="2:6" x14ac:dyDescent="0.25">
      <c r="B31">
        <f>IF(B30&gt;=$E$7,"",B30+1)</f>
        <v>18</v>
      </c>
      <c r="C31" s="45">
        <f t="shared" si="0"/>
        <v>-43906.277440393831</v>
      </c>
      <c r="D31">
        <f t="shared" si="1"/>
        <v>-3167.194782870879</v>
      </c>
      <c r="E31" s="45">
        <f t="shared" si="2"/>
        <v>-47073.472223264711</v>
      </c>
      <c r="F31" s="45">
        <f>$E$5+SUM($C$14:C31)</f>
        <v>272813.20084669406</v>
      </c>
    </row>
    <row r="32" spans="2:6" x14ac:dyDescent="0.25">
      <c r="B32">
        <f t="shared" ref="B32:B36" si="4">IF(B31&gt;=$E$7,"",B31+1)</f>
        <v>19</v>
      </c>
      <c r="C32" s="45">
        <f t="shared" si="0"/>
        <v>-44345.340214797761</v>
      </c>
      <c r="D32">
        <f t="shared" si="1"/>
        <v>-2728.1320084669405</v>
      </c>
      <c r="E32" s="45">
        <f t="shared" si="2"/>
        <v>-47073.472223264704</v>
      </c>
      <c r="F32" s="45">
        <f>$E$5+SUM($C$14:C32)</f>
        <v>228467.8606318963</v>
      </c>
    </row>
    <row r="33" spans="2:6" x14ac:dyDescent="0.25">
      <c r="B33">
        <f t="shared" si="4"/>
        <v>20</v>
      </c>
      <c r="C33" s="45">
        <f t="shared" si="0"/>
        <v>-44788.793616945746</v>
      </c>
      <c r="D33">
        <f t="shared" si="1"/>
        <v>-2284.6786063189629</v>
      </c>
      <c r="E33" s="45">
        <f t="shared" si="2"/>
        <v>-47073.472223264711</v>
      </c>
      <c r="F33" s="45">
        <f>$E$5+SUM($C$14:C33)</f>
        <v>183679.06701495056</v>
      </c>
    </row>
    <row r="34" spans="2:6" x14ac:dyDescent="0.25">
      <c r="B34">
        <f t="shared" si="4"/>
        <v>21</v>
      </c>
      <c r="C34" s="45">
        <f t="shared" si="0"/>
        <v>-45236.681553115202</v>
      </c>
      <c r="D34">
        <f t="shared" si="1"/>
        <v>-1836.7906701495053</v>
      </c>
      <c r="E34" s="45">
        <f t="shared" si="2"/>
        <v>-47073.472223264711</v>
      </c>
      <c r="F34" s="45">
        <f>$E$5+SUM($C$14:C34)</f>
        <v>138442.38546183531</v>
      </c>
    </row>
    <row r="35" spans="2:6" x14ac:dyDescent="0.25">
      <c r="B35">
        <f t="shared" si="4"/>
        <v>22</v>
      </c>
      <c r="C35" s="45">
        <f t="shared" si="0"/>
        <v>-45689.048368646356</v>
      </c>
      <c r="D35">
        <f t="shared" si="1"/>
        <v>-1384.4238546183533</v>
      </c>
      <c r="E35" s="45">
        <f t="shared" si="2"/>
        <v>-47073.472223264711</v>
      </c>
      <c r="F35" s="45">
        <f>$E$5+SUM($C$14:C35)</f>
        <v>92753.337093188893</v>
      </c>
    </row>
    <row r="36" spans="2:6" x14ac:dyDescent="0.25">
      <c r="B36">
        <f t="shared" si="4"/>
        <v>23</v>
      </c>
      <c r="C36" s="45">
        <f t="shared" si="0"/>
        <v>-46145.938852332816</v>
      </c>
      <c r="D36">
        <f t="shared" si="1"/>
        <v>-927.53337093188986</v>
      </c>
      <c r="E36" s="45">
        <f t="shared" si="2"/>
        <v>-47073.472223264704</v>
      </c>
      <c r="F36" s="45">
        <f>$E$5+SUM($C$14:C36)</f>
        <v>46607.398240856128</v>
      </c>
    </row>
    <row r="37" spans="2:6" x14ac:dyDescent="0.25">
      <c r="B37">
        <f>IF(B36&gt;=$E$7,"",B36+1)</f>
        <v>24</v>
      </c>
      <c r="C37" s="45">
        <f t="shared" si="0"/>
        <v>-46607.39824085615</v>
      </c>
      <c r="D37">
        <f t="shared" si="1"/>
        <v>-466.07398240856151</v>
      </c>
      <c r="E37" s="45">
        <f t="shared" si="2"/>
        <v>-47073.472223264711</v>
      </c>
      <c r="F37" s="45">
        <f>$E$5+SUM($C$14:C37)</f>
        <v>0</v>
      </c>
    </row>
    <row r="38" spans="2:6" x14ac:dyDescent="0.25">
      <c r="C38" s="45"/>
      <c r="E38" s="45"/>
      <c r="F38" s="45"/>
    </row>
    <row r="39" spans="2:6" x14ac:dyDescent="0.25">
      <c r="C39" s="45"/>
      <c r="E39" s="45"/>
      <c r="F39" s="45"/>
    </row>
    <row r="40" spans="2:6" x14ac:dyDescent="0.25">
      <c r="C40" s="45"/>
      <c r="E40" s="45"/>
      <c r="F40" s="45"/>
    </row>
    <row r="41" spans="2:6" x14ac:dyDescent="0.25">
      <c r="C41" s="45"/>
      <c r="E41" s="45"/>
      <c r="F41" s="45"/>
    </row>
    <row r="42" spans="2:6" x14ac:dyDescent="0.25">
      <c r="C42" s="45"/>
      <c r="E42" s="45"/>
      <c r="F42" s="45"/>
    </row>
    <row r="43" spans="2:6" x14ac:dyDescent="0.25">
      <c r="C43" s="45"/>
      <c r="E43" s="45"/>
      <c r="F43" s="45"/>
    </row>
    <row r="44" spans="2:6" x14ac:dyDescent="0.25">
      <c r="C44" s="45"/>
      <c r="E44" s="45"/>
      <c r="F44" s="4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1" sqref="D1"/>
    </sheetView>
  </sheetViews>
  <sheetFormatPr defaultRowHeight="15" x14ac:dyDescent="0.25"/>
  <cols>
    <col min="1" max="1" width="45" customWidth="1"/>
    <col min="2" max="2" width="16.28515625" customWidth="1"/>
    <col min="3" max="3" width="14.42578125" customWidth="1"/>
  </cols>
  <sheetData>
    <row r="1" spans="1:4" x14ac:dyDescent="0.25">
      <c r="A1" t="s">
        <v>133</v>
      </c>
    </row>
    <row r="2" spans="1:4" x14ac:dyDescent="0.25">
      <c r="A2" s="1" t="s">
        <v>125</v>
      </c>
      <c r="B2" s="46">
        <v>500000</v>
      </c>
    </row>
    <row r="3" spans="1:4" x14ac:dyDescent="0.25">
      <c r="A3" s="1" t="s">
        <v>134</v>
      </c>
      <c r="B3" s="2">
        <v>0.15</v>
      </c>
    </row>
    <row r="4" spans="1:4" x14ac:dyDescent="0.25">
      <c r="A4" s="1" t="s">
        <v>135</v>
      </c>
      <c r="B4" s="46">
        <v>20000</v>
      </c>
    </row>
    <row r="5" spans="1:4" x14ac:dyDescent="0.25">
      <c r="A5" s="1" t="s">
        <v>136</v>
      </c>
      <c r="B5" s="1">
        <v>24</v>
      </c>
    </row>
    <row r="6" spans="1:4" x14ac:dyDescent="0.25">
      <c r="A6" s="1" t="s">
        <v>137</v>
      </c>
      <c r="B6" s="2">
        <v>5.0000000000000001E-3</v>
      </c>
    </row>
    <row r="7" spans="1:4" x14ac:dyDescent="0.25">
      <c r="A7" s="1" t="s">
        <v>138</v>
      </c>
      <c r="B7" s="46">
        <v>500</v>
      </c>
    </row>
    <row r="10" spans="1:4" x14ac:dyDescent="0.25">
      <c r="A10" t="s">
        <v>126</v>
      </c>
      <c r="B10" s="45">
        <f>PMT(B3/12,B5,B2-B4,0,0)</f>
        <v>-23273.591062536489</v>
      </c>
    </row>
    <row r="11" spans="1:4" x14ac:dyDescent="0.25">
      <c r="A11" t="s">
        <v>139</v>
      </c>
      <c r="B11" s="45">
        <f>(B10*B5)-B4-(B2*B6)-(B7*B5)</f>
        <v>-593066.1855008757</v>
      </c>
    </row>
    <row r="12" spans="1:4" x14ac:dyDescent="0.25">
      <c r="A12" t="s">
        <v>140</v>
      </c>
      <c r="B12" s="45">
        <f>B11+B2</f>
        <v>-93066.185500875697</v>
      </c>
    </row>
    <row r="14" spans="1:4" x14ac:dyDescent="0.25">
      <c r="A14" s="54" t="s">
        <v>141</v>
      </c>
      <c r="B14" s="54"/>
      <c r="C14" s="54"/>
      <c r="D14" s="54"/>
    </row>
    <row r="15" spans="1:4" x14ac:dyDescent="0.25">
      <c r="B15" t="s">
        <v>142</v>
      </c>
      <c r="C15" t="s">
        <v>143</v>
      </c>
      <c r="D15" t="s">
        <v>144</v>
      </c>
    </row>
    <row r="16" spans="1:4" x14ac:dyDescent="0.25">
      <c r="A16" t="s">
        <v>145</v>
      </c>
      <c r="B16" s="13">
        <v>0.09</v>
      </c>
      <c r="C16" s="13">
        <v>0.12</v>
      </c>
      <c r="D16" s="13">
        <v>0.13</v>
      </c>
    </row>
    <row r="17" spans="1:4" x14ac:dyDescent="0.25">
      <c r="A17" t="s">
        <v>135</v>
      </c>
      <c r="B17" s="47">
        <v>75000</v>
      </c>
      <c r="C17" s="47">
        <v>32000</v>
      </c>
      <c r="D17" s="47">
        <v>0</v>
      </c>
    </row>
    <row r="18" spans="1:4" x14ac:dyDescent="0.25">
      <c r="A18" t="s">
        <v>136</v>
      </c>
      <c r="B18">
        <v>24</v>
      </c>
      <c r="C18">
        <v>36</v>
      </c>
      <c r="D18">
        <v>48</v>
      </c>
    </row>
    <row r="19" spans="1:4" x14ac:dyDescent="0.25">
      <c r="A19" t="s">
        <v>146</v>
      </c>
      <c r="B19" s="13">
        <v>0.02</v>
      </c>
      <c r="C19" s="13">
        <v>0.01</v>
      </c>
      <c r="D19" s="13">
        <v>0</v>
      </c>
    </row>
    <row r="20" spans="1:4" x14ac:dyDescent="0.25">
      <c r="A20" t="s">
        <v>147</v>
      </c>
      <c r="B20" s="47">
        <v>500</v>
      </c>
      <c r="C20" s="47">
        <v>0</v>
      </c>
      <c r="D20" s="47">
        <v>700</v>
      </c>
    </row>
  </sheetData>
  <mergeCells count="1">
    <mergeCell ref="A14:D1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31" workbookViewId="0">
      <selection activeCell="O39" sqref="O39"/>
    </sheetView>
  </sheetViews>
  <sheetFormatPr defaultRowHeight="15" x14ac:dyDescent="0.25"/>
  <cols>
    <col min="3" max="3" width="12.42578125" customWidth="1"/>
    <col min="4" max="4" width="12.85546875" customWidth="1"/>
  </cols>
  <sheetData>
    <row r="1" spans="1:4" x14ac:dyDescent="0.25">
      <c r="A1" s="54" t="s">
        <v>148</v>
      </c>
      <c r="B1" s="54"/>
      <c r="C1" s="54"/>
      <c r="D1" s="54"/>
    </row>
    <row r="3" spans="1:4" x14ac:dyDescent="0.25">
      <c r="A3" s="49" t="s">
        <v>149</v>
      </c>
      <c r="B3" s="49"/>
      <c r="C3" s="49"/>
      <c r="D3" s="1">
        <v>10000</v>
      </c>
    </row>
    <row r="4" spans="1:4" x14ac:dyDescent="0.25">
      <c r="A4" s="49" t="s">
        <v>150</v>
      </c>
      <c r="B4" s="49"/>
      <c r="C4" s="49"/>
      <c r="D4" s="1">
        <v>2000</v>
      </c>
    </row>
    <row r="5" spans="1:4" x14ac:dyDescent="0.25">
      <c r="A5" s="49" t="s">
        <v>151</v>
      </c>
      <c r="B5" s="49"/>
      <c r="C5" s="49"/>
      <c r="D5" s="1">
        <v>5</v>
      </c>
    </row>
    <row r="6" spans="1:4" x14ac:dyDescent="0.25">
      <c r="A6" s="62" t="s">
        <v>152</v>
      </c>
      <c r="B6" s="62"/>
      <c r="C6" s="62"/>
      <c r="D6" s="62"/>
    </row>
    <row r="7" spans="1:4" ht="30" x14ac:dyDescent="0.25">
      <c r="A7" s="54"/>
      <c r="B7" s="35" t="s">
        <v>153</v>
      </c>
      <c r="C7" s="35" t="s">
        <v>154</v>
      </c>
      <c r="D7" s="35" t="s">
        <v>155</v>
      </c>
    </row>
    <row r="8" spans="1:4" x14ac:dyDescent="0.25">
      <c r="A8" s="54"/>
      <c r="B8" s="1">
        <v>0</v>
      </c>
      <c r="C8" s="1"/>
      <c r="D8" s="1">
        <v>10000</v>
      </c>
    </row>
    <row r="9" spans="1:4" x14ac:dyDescent="0.25">
      <c r="A9" s="54"/>
      <c r="B9" s="1">
        <f>B8+1</f>
        <v>1</v>
      </c>
      <c r="C9" s="44">
        <f>SLN($D$3,$D$4,$D$5)</f>
        <v>1600</v>
      </c>
      <c r="D9" s="44">
        <f>$D$3-SUM($C$9:C9)</f>
        <v>8400</v>
      </c>
    </row>
    <row r="10" spans="1:4" x14ac:dyDescent="0.25">
      <c r="A10" s="54"/>
      <c r="B10" s="1">
        <f t="shared" ref="B10:B13" si="0">B9+1</f>
        <v>2</v>
      </c>
      <c r="C10" s="44">
        <f t="shared" ref="C10:C13" si="1">SLN($D$3,$D$4,$D$5)</f>
        <v>1600</v>
      </c>
      <c r="D10" s="44">
        <f>$D$3-SUM($C$9:C10)</f>
        <v>6800</v>
      </c>
    </row>
    <row r="11" spans="1:4" x14ac:dyDescent="0.25">
      <c r="A11" s="54"/>
      <c r="B11" s="1">
        <f t="shared" si="0"/>
        <v>3</v>
      </c>
      <c r="C11" s="44">
        <f t="shared" si="1"/>
        <v>1600</v>
      </c>
      <c r="D11" s="44">
        <f>$D$3-SUM($C$9:C11)</f>
        <v>5200</v>
      </c>
    </row>
    <row r="12" spans="1:4" x14ac:dyDescent="0.25">
      <c r="A12" s="54"/>
      <c r="B12" s="1">
        <f t="shared" si="0"/>
        <v>4</v>
      </c>
      <c r="C12" s="44">
        <f t="shared" si="1"/>
        <v>1600</v>
      </c>
      <c r="D12" s="44">
        <f>$D$3-SUM($C$9:C12)</f>
        <v>3600</v>
      </c>
    </row>
    <row r="13" spans="1:4" x14ac:dyDescent="0.25">
      <c r="A13" s="54"/>
      <c r="B13" s="1">
        <f t="shared" si="0"/>
        <v>5</v>
      </c>
      <c r="C13" s="44">
        <f t="shared" si="1"/>
        <v>1600</v>
      </c>
      <c r="D13" s="44">
        <f>$D$3-SUM($C$9:C13)</f>
        <v>2000</v>
      </c>
    </row>
    <row r="15" spans="1:4" x14ac:dyDescent="0.25">
      <c r="A15" s="61" t="s">
        <v>156</v>
      </c>
      <c r="B15" s="61"/>
      <c r="C15" s="61"/>
      <c r="D15" s="61"/>
    </row>
    <row r="16" spans="1:4" ht="30" x14ac:dyDescent="0.25">
      <c r="B16" s="35" t="s">
        <v>153</v>
      </c>
      <c r="C16" s="35" t="s">
        <v>154</v>
      </c>
      <c r="D16" s="35" t="s">
        <v>155</v>
      </c>
    </row>
    <row r="17" spans="2:4" x14ac:dyDescent="0.25">
      <c r="B17" s="1">
        <v>0</v>
      </c>
      <c r="C17" s="1"/>
      <c r="D17" s="1">
        <v>10000</v>
      </c>
    </row>
    <row r="18" spans="2:4" x14ac:dyDescent="0.25">
      <c r="B18" s="1">
        <f>B17+1</f>
        <v>1</v>
      </c>
      <c r="C18" s="44">
        <f>SYD($D$3,$D$4,$D$5,B18)</f>
        <v>2666.6666666666665</v>
      </c>
      <c r="D18" s="44">
        <f>$D$3-SUM($C$17:C18)</f>
        <v>7333.3333333333339</v>
      </c>
    </row>
    <row r="19" spans="2:4" x14ac:dyDescent="0.25">
      <c r="B19" s="1">
        <f t="shared" ref="B19:B22" si="2">B18+1</f>
        <v>2</v>
      </c>
      <c r="C19" s="44">
        <f t="shared" ref="C19:C22" si="3">SYD($D$3,$D$4,$D$5,B19)</f>
        <v>2133.3333333333335</v>
      </c>
      <c r="D19" s="44">
        <f>$D$3-SUM($C$17:C19)</f>
        <v>5200</v>
      </c>
    </row>
    <row r="20" spans="2:4" x14ac:dyDescent="0.25">
      <c r="B20" s="1">
        <f t="shared" si="2"/>
        <v>3</v>
      </c>
      <c r="C20" s="44">
        <f t="shared" si="3"/>
        <v>1600</v>
      </c>
      <c r="D20" s="44">
        <f>$D$3-SUM($C$17:C20)</f>
        <v>3600</v>
      </c>
    </row>
    <row r="21" spans="2:4" x14ac:dyDescent="0.25">
      <c r="B21" s="1">
        <f t="shared" si="2"/>
        <v>4</v>
      </c>
      <c r="C21" s="44">
        <f t="shared" si="3"/>
        <v>1066.6666666666667</v>
      </c>
      <c r="D21" s="44">
        <f>$D$3-SUM($C$17:C21)</f>
        <v>2533.333333333333</v>
      </c>
    </row>
    <row r="22" spans="2:4" x14ac:dyDescent="0.25">
      <c r="B22" s="1">
        <f t="shared" si="2"/>
        <v>5</v>
      </c>
      <c r="C22" s="44">
        <f t="shared" si="3"/>
        <v>533.33333333333337</v>
      </c>
      <c r="D22" s="44">
        <f>$D$3-SUM($C$17:C22)</f>
        <v>2000</v>
      </c>
    </row>
    <row r="23" spans="2:4" x14ac:dyDescent="0.25">
      <c r="B23" s="62" t="s">
        <v>157</v>
      </c>
      <c r="C23" s="62"/>
      <c r="D23" s="62"/>
    </row>
    <row r="24" spans="2:4" ht="30" x14ac:dyDescent="0.25">
      <c r="B24" s="35" t="s">
        <v>153</v>
      </c>
      <c r="C24" s="35" t="s">
        <v>154</v>
      </c>
      <c r="D24" s="35" t="s">
        <v>155</v>
      </c>
    </row>
    <row r="25" spans="2:4" x14ac:dyDescent="0.25">
      <c r="B25" s="1">
        <v>0</v>
      </c>
      <c r="C25" s="1"/>
      <c r="D25" s="1">
        <v>10000</v>
      </c>
    </row>
    <row r="26" spans="2:4" x14ac:dyDescent="0.25">
      <c r="B26" s="1">
        <f>B25+1</f>
        <v>1</v>
      </c>
      <c r="C26" s="44">
        <f>DB($D$3,$D$4,$D$5,B26)</f>
        <v>2750</v>
      </c>
      <c r="D26" s="44">
        <f>$D$3-SUM($C$25:C26)</f>
        <v>7250</v>
      </c>
    </row>
    <row r="27" spans="2:4" x14ac:dyDescent="0.25">
      <c r="B27" s="1">
        <f t="shared" ref="B27:B30" si="4">B26+1</f>
        <v>2</v>
      </c>
      <c r="C27" s="44">
        <f t="shared" ref="C27:C30" si="5">DB($D$3,$D$4,$D$5,B27)</f>
        <v>1993.7500000000002</v>
      </c>
      <c r="D27" s="44">
        <f>$D$3-SUM($C$25:C27)</f>
        <v>5256.25</v>
      </c>
    </row>
    <row r="28" spans="2:4" x14ac:dyDescent="0.25">
      <c r="B28" s="1">
        <f t="shared" si="4"/>
        <v>3</v>
      </c>
      <c r="C28" s="44">
        <f t="shared" si="5"/>
        <v>1445.4687500000002</v>
      </c>
      <c r="D28" s="44">
        <f>$D$3-SUM($C$25:C28)</f>
        <v>3810.78125</v>
      </c>
    </row>
    <row r="29" spans="2:4" x14ac:dyDescent="0.25">
      <c r="B29" s="1">
        <f t="shared" si="4"/>
        <v>4</v>
      </c>
      <c r="C29" s="44">
        <f t="shared" si="5"/>
        <v>1047.96484375</v>
      </c>
      <c r="D29" s="44">
        <f>$D$3-SUM($C$25:C29)</f>
        <v>2762.81640625</v>
      </c>
    </row>
    <row r="30" spans="2:4" x14ac:dyDescent="0.25">
      <c r="B30" s="1">
        <f t="shared" si="4"/>
        <v>5</v>
      </c>
      <c r="C30" s="44">
        <f t="shared" si="5"/>
        <v>759.77451171875009</v>
      </c>
      <c r="D30" s="44">
        <f>$D$3-SUM($C$25:C30)</f>
        <v>2003.0418945312504</v>
      </c>
    </row>
    <row r="31" spans="2:4" x14ac:dyDescent="0.25">
      <c r="B31" s="63" t="s">
        <v>158</v>
      </c>
      <c r="C31" s="64"/>
      <c r="D31" s="1">
        <f>1-((D4/D3)^(1/D5))</f>
        <v>0.27522033632230447</v>
      </c>
    </row>
    <row r="33" spans="2:4" ht="30" x14ac:dyDescent="0.25">
      <c r="B33" s="35" t="s">
        <v>153</v>
      </c>
      <c r="C33" s="35" t="s">
        <v>154</v>
      </c>
      <c r="D33" s="35" t="s">
        <v>155</v>
      </c>
    </row>
    <row r="34" spans="2:4" x14ac:dyDescent="0.25">
      <c r="B34" s="1">
        <v>0</v>
      </c>
      <c r="C34" s="1"/>
      <c r="D34" s="1">
        <v>10000</v>
      </c>
    </row>
    <row r="35" spans="2:4" x14ac:dyDescent="0.25">
      <c r="B35" s="1">
        <f>B34+1</f>
        <v>1</v>
      </c>
      <c r="C35" s="44">
        <f>DB($D$3,$D$4,$D$5,B35,6)</f>
        <v>1375</v>
      </c>
      <c r="D35" s="1">
        <f>$D$3-SUM($C$34:C35)</f>
        <v>8625</v>
      </c>
    </row>
    <row r="36" spans="2:4" x14ac:dyDescent="0.25">
      <c r="B36" s="1">
        <f t="shared" ref="B36:B39" si="6">B35+1</f>
        <v>2</v>
      </c>
      <c r="C36" s="44">
        <f t="shared" ref="C36:C40" si="7">DB($D$3,$D$4,$D$5,B36,6)</f>
        <v>2371.875</v>
      </c>
      <c r="D36" s="1">
        <f>$D$3-SUM($C$34:C36)</f>
        <v>6253.125</v>
      </c>
    </row>
    <row r="37" spans="2:4" x14ac:dyDescent="0.25">
      <c r="B37" s="1">
        <f t="shared" si="6"/>
        <v>3</v>
      </c>
      <c r="C37" s="44">
        <f t="shared" si="7"/>
        <v>1719.6093750000002</v>
      </c>
      <c r="D37" s="1">
        <f>$D$3-SUM($C$34:C37)</f>
        <v>4533.515625</v>
      </c>
    </row>
    <row r="38" spans="2:4" x14ac:dyDescent="0.25">
      <c r="B38" s="1">
        <f t="shared" si="6"/>
        <v>4</v>
      </c>
      <c r="C38" s="44">
        <f t="shared" si="7"/>
        <v>1246.716796875</v>
      </c>
      <c r="D38" s="1">
        <f>$D$3-SUM($C$34:C38)</f>
        <v>3286.798828125</v>
      </c>
    </row>
    <row r="39" spans="2:4" x14ac:dyDescent="0.25">
      <c r="B39" s="1">
        <f t="shared" si="6"/>
        <v>5</v>
      </c>
      <c r="C39" s="44">
        <f t="shared" si="7"/>
        <v>903.86967773437505</v>
      </c>
      <c r="D39" s="1">
        <f>$D$3-SUM($C$34:C39)</f>
        <v>2382.9291503906252</v>
      </c>
    </row>
    <row r="40" spans="2:4" x14ac:dyDescent="0.25">
      <c r="B40" s="1">
        <v>6</v>
      </c>
      <c r="C40" s="44">
        <f t="shared" si="7"/>
        <v>327.652758178711</v>
      </c>
      <c r="D40" s="1">
        <f>$D$3-SUM($C$34:C40)</f>
        <v>2055.2763922119138</v>
      </c>
    </row>
    <row r="41" spans="2:4" x14ac:dyDescent="0.25">
      <c r="B41" s="62" t="s">
        <v>159</v>
      </c>
      <c r="C41" s="62"/>
      <c r="D41">
        <v>0.28000000000000003</v>
      </c>
    </row>
  </sheetData>
  <mergeCells count="10">
    <mergeCell ref="A15:D15"/>
    <mergeCell ref="B23:D23"/>
    <mergeCell ref="B31:C31"/>
    <mergeCell ref="B41:C41"/>
    <mergeCell ref="A1:D1"/>
    <mergeCell ref="A3:C3"/>
    <mergeCell ref="A4:C4"/>
    <mergeCell ref="A5:C5"/>
    <mergeCell ref="A6:D6"/>
    <mergeCell ref="A7:A1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14" workbookViewId="0">
      <selection activeCell="K15" sqref="K15"/>
    </sheetView>
  </sheetViews>
  <sheetFormatPr defaultRowHeight="15" x14ac:dyDescent="0.25"/>
  <cols>
    <col min="1" max="1" width="23.5703125" customWidth="1"/>
    <col min="3" max="3" width="14.140625" customWidth="1"/>
    <col min="4" max="4" width="15.85546875" customWidth="1"/>
    <col min="5" max="5" width="13.140625" customWidth="1"/>
    <col min="6" max="6" width="22" customWidth="1"/>
  </cols>
  <sheetData>
    <row r="1" spans="1:6" x14ac:dyDescent="0.25">
      <c r="A1" s="65" t="s">
        <v>160</v>
      </c>
      <c r="B1" s="65" t="s">
        <v>161</v>
      </c>
      <c r="C1" s="55" t="s">
        <v>162</v>
      </c>
    </row>
    <row r="2" spans="1:6" x14ac:dyDescent="0.25">
      <c r="A2" s="65"/>
      <c r="B2" s="65"/>
      <c r="C2" s="55"/>
    </row>
    <row r="3" spans="1:6" x14ac:dyDescent="0.25">
      <c r="A3" s="1" t="s">
        <v>149</v>
      </c>
      <c r="B3" s="1" t="s">
        <v>163</v>
      </c>
      <c r="C3" s="1">
        <v>10000</v>
      </c>
    </row>
    <row r="4" spans="1:6" x14ac:dyDescent="0.25">
      <c r="A4" s="1" t="s">
        <v>155</v>
      </c>
      <c r="B4" s="1" t="s">
        <v>163</v>
      </c>
      <c r="C4" s="1">
        <v>1000</v>
      </c>
    </row>
    <row r="5" spans="1:6" x14ac:dyDescent="0.25">
      <c r="A5" s="1" t="s">
        <v>164</v>
      </c>
      <c r="B5" s="1" t="s">
        <v>165</v>
      </c>
      <c r="C5" s="1">
        <v>6</v>
      </c>
    </row>
    <row r="6" spans="1:6" x14ac:dyDescent="0.25">
      <c r="A6" s="66" t="s">
        <v>166</v>
      </c>
      <c r="B6" s="1" t="s">
        <v>163</v>
      </c>
      <c r="C6" s="45">
        <f>SLN(C3,C4,C5)</f>
        <v>1500</v>
      </c>
    </row>
    <row r="7" spans="1:6" x14ac:dyDescent="0.25">
      <c r="A7" s="66" t="s">
        <v>167</v>
      </c>
      <c r="B7" s="1" t="s">
        <v>163</v>
      </c>
      <c r="C7" s="45">
        <f>SYD(C3,C4,C5,1)</f>
        <v>2571.4285714285716</v>
      </c>
    </row>
    <row r="8" spans="1:6" x14ac:dyDescent="0.25">
      <c r="A8" s="66" t="s">
        <v>168</v>
      </c>
      <c r="B8" s="1" t="s">
        <v>163</v>
      </c>
      <c r="C8" s="45">
        <f>SYD(C3,C4,C5,2)</f>
        <v>2142.8571428571427</v>
      </c>
    </row>
    <row r="9" spans="1:6" x14ac:dyDescent="0.25">
      <c r="A9" s="66" t="s">
        <v>169</v>
      </c>
      <c r="B9" s="1" t="s">
        <v>163</v>
      </c>
      <c r="C9" s="45">
        <f>DB(C3,C4,C5,1)</f>
        <v>3190</v>
      </c>
    </row>
    <row r="10" spans="1:6" x14ac:dyDescent="0.25">
      <c r="A10" s="66" t="s">
        <v>170</v>
      </c>
      <c r="B10" s="1" t="s">
        <v>163</v>
      </c>
      <c r="C10" s="45">
        <f>DB(C3,C4,C5,2)</f>
        <v>2172.39</v>
      </c>
    </row>
    <row r="11" spans="1:6" x14ac:dyDescent="0.25">
      <c r="A11" s="66" t="s">
        <v>171</v>
      </c>
      <c r="B11" s="1" t="s">
        <v>163</v>
      </c>
      <c r="C11" s="45">
        <f>DDB(C3,C4,C5,1)</f>
        <v>3333.333333333333</v>
      </c>
    </row>
    <row r="12" spans="1:6" x14ac:dyDescent="0.25">
      <c r="A12" s="66" t="s">
        <v>172</v>
      </c>
      <c r="B12" s="1" t="s">
        <v>163</v>
      </c>
      <c r="C12" s="45">
        <f>DDB(C3,C4,C5,2)</f>
        <v>2222.2222222222222</v>
      </c>
    </row>
    <row r="14" spans="1:6" x14ac:dyDescent="0.25">
      <c r="B14" s="49" t="s">
        <v>122</v>
      </c>
      <c r="C14" s="49" t="s">
        <v>173</v>
      </c>
      <c r="D14" s="49"/>
      <c r="E14" s="49"/>
      <c r="F14" s="49"/>
    </row>
    <row r="15" spans="1:6" ht="90" x14ac:dyDescent="0.25">
      <c r="B15" s="49"/>
      <c r="C15" s="67" t="s">
        <v>174</v>
      </c>
      <c r="D15" s="67" t="s">
        <v>175</v>
      </c>
      <c r="E15" s="67" t="s">
        <v>176</v>
      </c>
      <c r="F15" s="67" t="s">
        <v>177</v>
      </c>
    </row>
    <row r="16" spans="1:6" x14ac:dyDescent="0.25">
      <c r="B16" s="1">
        <v>1</v>
      </c>
      <c r="C16" s="44">
        <f>SLN($C$3,$C$4,$C$5)</f>
        <v>1500</v>
      </c>
      <c r="D16" s="44">
        <f>SYD($C$3,$C$4,$C$5,B16)</f>
        <v>2571.4285714285716</v>
      </c>
      <c r="E16" s="44">
        <f>DDB($C$3,$C$4,$C$5,B16)</f>
        <v>3333.333333333333</v>
      </c>
      <c r="F16" s="44">
        <f>DB($C$3,$C$4,$C$5,B16)</f>
        <v>3190</v>
      </c>
    </row>
    <row r="17" spans="2:6" x14ac:dyDescent="0.25">
      <c r="B17" s="1">
        <f>B16+1</f>
        <v>2</v>
      </c>
      <c r="C17" s="44">
        <f t="shared" ref="C17:C21" si="0">SLN($C$3,$C$4,$C$5)</f>
        <v>1500</v>
      </c>
      <c r="D17" s="44">
        <f t="shared" ref="D17:D21" si="1">SYD($C$3,$C$4,$C$5,B17)</f>
        <v>2142.8571428571427</v>
      </c>
      <c r="E17" s="44">
        <f t="shared" ref="E17:E21" si="2">DDB($C$3,$C$4,$C$5,B17)</f>
        <v>2222.2222222222222</v>
      </c>
      <c r="F17" s="44">
        <f t="shared" ref="F17:F21" si="3">DB($C$3,$C$4,$C$5,B17)</f>
        <v>2172.39</v>
      </c>
    </row>
    <row r="18" spans="2:6" x14ac:dyDescent="0.25">
      <c r="B18" s="1">
        <f t="shared" ref="B18:B21" si="4">B17+1</f>
        <v>3</v>
      </c>
      <c r="C18" s="44">
        <f t="shared" si="0"/>
        <v>1500</v>
      </c>
      <c r="D18" s="44">
        <f t="shared" si="1"/>
        <v>1714.2857142857142</v>
      </c>
      <c r="E18" s="44">
        <f t="shared" si="2"/>
        <v>1481.4814814814818</v>
      </c>
      <c r="F18" s="44">
        <f t="shared" si="3"/>
        <v>1479.3975900000003</v>
      </c>
    </row>
    <row r="19" spans="2:6" x14ac:dyDescent="0.25">
      <c r="B19" s="1">
        <f t="shared" si="4"/>
        <v>4</v>
      </c>
      <c r="C19" s="44">
        <f t="shared" si="0"/>
        <v>1500</v>
      </c>
      <c r="D19" s="44">
        <f t="shared" si="1"/>
        <v>1285.7142857142858</v>
      </c>
      <c r="E19" s="44">
        <f t="shared" si="2"/>
        <v>987.65432098765461</v>
      </c>
      <c r="F19" s="44">
        <f t="shared" si="3"/>
        <v>1007.46975879</v>
      </c>
    </row>
    <row r="20" spans="2:6" x14ac:dyDescent="0.25">
      <c r="B20" s="1">
        <f t="shared" si="4"/>
        <v>5</v>
      </c>
      <c r="C20" s="44">
        <f t="shared" si="0"/>
        <v>1500</v>
      </c>
      <c r="D20" s="44">
        <f t="shared" si="1"/>
        <v>857.14285714285711</v>
      </c>
      <c r="E20" s="44">
        <f t="shared" si="2"/>
        <v>658.43621399176982</v>
      </c>
      <c r="F20" s="44">
        <f t="shared" si="3"/>
        <v>686.08690573599006</v>
      </c>
    </row>
    <row r="21" spans="2:6" x14ac:dyDescent="0.25">
      <c r="B21" s="1">
        <f t="shared" si="4"/>
        <v>6</v>
      </c>
      <c r="C21" s="44">
        <f t="shared" si="0"/>
        <v>1500</v>
      </c>
      <c r="D21" s="44">
        <f t="shared" si="1"/>
        <v>428.57142857142856</v>
      </c>
      <c r="E21" s="44">
        <f t="shared" si="2"/>
        <v>316.87242798353986</v>
      </c>
      <c r="F21" s="44">
        <f t="shared" si="3"/>
        <v>467.2251828062092</v>
      </c>
    </row>
    <row r="22" spans="2:6" x14ac:dyDescent="0.25">
      <c r="B22" s="1" t="s">
        <v>178</v>
      </c>
      <c r="C22" s="44">
        <f>SUM(C16:C21)</f>
        <v>9000</v>
      </c>
      <c r="D22" s="44">
        <f>SUM(D16:D21)</f>
        <v>9000</v>
      </c>
      <c r="E22" s="44">
        <f>SUM(E16:E21)</f>
        <v>9000.0000000000018</v>
      </c>
      <c r="F22" s="44">
        <f>SUM(F16:F21)</f>
        <v>9002.5694373321985</v>
      </c>
    </row>
  </sheetData>
  <mergeCells count="3">
    <mergeCell ref="C1:C2"/>
    <mergeCell ref="B14:B15"/>
    <mergeCell ref="C14:F1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25"/>
    </sheetView>
  </sheetViews>
  <sheetFormatPr defaultRowHeight="15" x14ac:dyDescent="0.25"/>
  <cols>
    <col min="1" max="1" width="15.42578125" customWidth="1"/>
    <col min="2" max="2" width="17.5703125" customWidth="1"/>
  </cols>
  <sheetData>
    <row r="1" spans="1:2" x14ac:dyDescent="0.25">
      <c r="A1" s="49" t="s">
        <v>179</v>
      </c>
      <c r="B1" s="49"/>
    </row>
    <row r="2" spans="1:2" x14ac:dyDescent="0.25">
      <c r="A2" s="1" t="s">
        <v>180</v>
      </c>
      <c r="B2" s="1">
        <v>6000</v>
      </c>
    </row>
    <row r="3" spans="1:2" x14ac:dyDescent="0.25">
      <c r="A3" s="1" t="s">
        <v>181</v>
      </c>
      <c r="B3" s="1">
        <v>5</v>
      </c>
    </row>
    <row r="4" spans="1:2" x14ac:dyDescent="0.25">
      <c r="A4" s="1" t="s">
        <v>155</v>
      </c>
      <c r="B4" s="1">
        <v>1000</v>
      </c>
    </row>
    <row r="5" spans="1:2" x14ac:dyDescent="0.25">
      <c r="A5" s="49" t="s">
        <v>182</v>
      </c>
      <c r="B5" s="49"/>
    </row>
    <row r="6" spans="1:2" ht="90" x14ac:dyDescent="0.25">
      <c r="A6" s="67" t="s">
        <v>183</v>
      </c>
      <c r="B6" s="68">
        <f>SLN(B2,B4,B3)</f>
        <v>1000</v>
      </c>
    </row>
    <row r="7" spans="1:2" x14ac:dyDescent="0.25">
      <c r="A7" s="62" t="s">
        <v>184</v>
      </c>
      <c r="B7" s="62"/>
    </row>
    <row r="8" spans="1:2" ht="60" x14ac:dyDescent="0.25">
      <c r="A8" s="67" t="s">
        <v>185</v>
      </c>
      <c r="B8" s="68">
        <f>SYD(B2,B4,B3,1)</f>
        <v>1666.6666666666667</v>
      </c>
    </row>
    <row r="9" spans="1:2" ht="60" x14ac:dyDescent="0.25">
      <c r="A9" s="67" t="s">
        <v>186</v>
      </c>
      <c r="B9" s="68">
        <f>SYD(B2,B4,B3,5)</f>
        <v>333.33333333333331</v>
      </c>
    </row>
    <row r="10" spans="1:2" x14ac:dyDescent="0.25">
      <c r="A10" s="49" t="s">
        <v>187</v>
      </c>
      <c r="B10" s="49"/>
    </row>
    <row r="11" spans="1:2" x14ac:dyDescent="0.25">
      <c r="A11" s="49" t="s">
        <v>188</v>
      </c>
      <c r="B11" s="49"/>
    </row>
    <row r="12" spans="1:2" x14ac:dyDescent="0.25">
      <c r="A12" s="1" t="s">
        <v>189</v>
      </c>
      <c r="B12" s="68">
        <f>DB(B2,B4,B3,1)</f>
        <v>1806</v>
      </c>
    </row>
    <row r="13" spans="1:2" x14ac:dyDescent="0.25">
      <c r="A13" s="1" t="s">
        <v>190</v>
      </c>
      <c r="B13" s="68">
        <f>DB(B2,B4,B3,2)</f>
        <v>1262.394</v>
      </c>
    </row>
    <row r="14" spans="1:2" x14ac:dyDescent="0.25">
      <c r="A14" s="1" t="s">
        <v>191</v>
      </c>
      <c r="B14" s="68">
        <f>DB(B2,B4,B3,3)</f>
        <v>882.4134059999999</v>
      </c>
    </row>
    <row r="15" spans="1:2" x14ac:dyDescent="0.25">
      <c r="A15" s="1" t="s">
        <v>192</v>
      </c>
      <c r="B15" s="68">
        <f>DB(B2,B4,B3,4)</f>
        <v>616.80697079399999</v>
      </c>
    </row>
    <row r="16" spans="1:2" x14ac:dyDescent="0.25">
      <c r="A16" s="1" t="s">
        <v>193</v>
      </c>
      <c r="B16" s="68">
        <f>DB(B2,B4,B3,5)</f>
        <v>431.14807258500605</v>
      </c>
    </row>
    <row r="17" spans="1:2" x14ac:dyDescent="0.25">
      <c r="A17" s="69" t="s">
        <v>194</v>
      </c>
      <c r="B17" s="69"/>
    </row>
    <row r="18" spans="1:2" x14ac:dyDescent="0.25">
      <c r="A18" s="69" t="s">
        <v>195</v>
      </c>
      <c r="B18" s="69"/>
    </row>
    <row r="19" spans="1:2" x14ac:dyDescent="0.25">
      <c r="A19" s="1" t="s">
        <v>189</v>
      </c>
      <c r="B19" s="68">
        <f>DDB(B2,B4,B3,1)</f>
        <v>2400</v>
      </c>
    </row>
    <row r="20" spans="1:2" x14ac:dyDescent="0.25">
      <c r="A20" s="1" t="s">
        <v>190</v>
      </c>
      <c r="B20" s="68">
        <f>DDB(B2,B4,B3,2)</f>
        <v>1440</v>
      </c>
    </row>
    <row r="21" spans="1:2" x14ac:dyDescent="0.25">
      <c r="A21" s="1" t="s">
        <v>191</v>
      </c>
      <c r="B21" s="68">
        <f>DDB(B2,B4,B3,3)</f>
        <v>864</v>
      </c>
    </row>
    <row r="22" spans="1:2" x14ac:dyDescent="0.25">
      <c r="A22" s="1" t="s">
        <v>192</v>
      </c>
      <c r="B22" s="68">
        <f>DDB(B2,B4,B3,4)</f>
        <v>296</v>
      </c>
    </row>
    <row r="23" spans="1:2" x14ac:dyDescent="0.25">
      <c r="A23" s="1" t="s">
        <v>193</v>
      </c>
      <c r="B23" s="68">
        <f>DDB(B2,B4,B3,5)</f>
        <v>0</v>
      </c>
    </row>
  </sheetData>
  <mergeCells count="7">
    <mergeCell ref="A18:B18"/>
    <mergeCell ref="A1:B1"/>
    <mergeCell ref="A5:B5"/>
    <mergeCell ref="A7:B7"/>
    <mergeCell ref="A10:B10"/>
    <mergeCell ref="A11:B11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1" sqref="B11"/>
    </sheetView>
  </sheetViews>
  <sheetFormatPr defaultRowHeight="15" x14ac:dyDescent="0.25"/>
  <cols>
    <col min="1" max="1" width="18.42578125" customWidth="1"/>
    <col min="2" max="3" width="18.28515625" customWidth="1"/>
  </cols>
  <sheetData>
    <row r="1" spans="1:3" x14ac:dyDescent="0.25">
      <c r="A1" s="49" t="s">
        <v>17</v>
      </c>
      <c r="B1" s="49"/>
      <c r="C1" s="49"/>
    </row>
    <row r="2" spans="1:3" x14ac:dyDescent="0.25">
      <c r="A2" s="1"/>
      <c r="B2" s="1" t="s">
        <v>18</v>
      </c>
      <c r="C2" s="1" t="s">
        <v>19</v>
      </c>
    </row>
    <row r="3" spans="1:3" x14ac:dyDescent="0.25">
      <c r="A3" s="1" t="s">
        <v>20</v>
      </c>
      <c r="B3" s="49">
        <v>50000</v>
      </c>
      <c r="C3" s="49"/>
    </row>
    <row r="4" spans="1:3" x14ac:dyDescent="0.25">
      <c r="A4" s="50" t="s">
        <v>21</v>
      </c>
      <c r="B4" s="5">
        <v>0.1</v>
      </c>
      <c r="C4" s="5">
        <v>0.2</v>
      </c>
    </row>
    <row r="5" spans="1:3" x14ac:dyDescent="0.25">
      <c r="A5" s="50"/>
      <c r="B5" s="5">
        <v>0.2</v>
      </c>
      <c r="C5" s="5">
        <v>0.2</v>
      </c>
    </row>
    <row r="6" spans="1:3" x14ac:dyDescent="0.25">
      <c r="A6" s="50"/>
      <c r="B6" s="5">
        <v>0.2</v>
      </c>
      <c r="C6" s="5">
        <v>0.2</v>
      </c>
    </row>
    <row r="7" spans="1:3" x14ac:dyDescent="0.25">
      <c r="A7" s="50"/>
      <c r="B7" s="5">
        <v>0.25</v>
      </c>
      <c r="C7" s="5">
        <v>0.2</v>
      </c>
    </row>
    <row r="8" spans="1:3" x14ac:dyDescent="0.25">
      <c r="A8" s="50"/>
      <c r="B8" s="5">
        <v>0.25</v>
      </c>
      <c r="C8" s="5">
        <v>0.2</v>
      </c>
    </row>
    <row r="9" spans="1:3" x14ac:dyDescent="0.25">
      <c r="A9" s="50"/>
      <c r="B9" s="5">
        <v>0.25</v>
      </c>
      <c r="C9" s="5">
        <v>0.2</v>
      </c>
    </row>
    <row r="10" spans="1:3" x14ac:dyDescent="0.25">
      <c r="A10" s="1" t="s">
        <v>22</v>
      </c>
      <c r="B10" s="1">
        <f>FVSCHEDULE(B3,B4:B9)</f>
        <v>154687.5</v>
      </c>
      <c r="C10" s="1">
        <f>FVSCHEDULE(B3,C4:C9)</f>
        <v>149299.19999999998</v>
      </c>
    </row>
    <row r="12" spans="1:3" x14ac:dyDescent="0.25">
      <c r="A12" s="49" t="s">
        <v>17</v>
      </c>
      <c r="B12" s="49"/>
      <c r="C12" s="49"/>
    </row>
    <row r="13" spans="1:3" x14ac:dyDescent="0.25">
      <c r="A13" s="1"/>
      <c r="B13" s="1" t="s">
        <v>18</v>
      </c>
      <c r="C13" s="1" t="s">
        <v>19</v>
      </c>
    </row>
    <row r="14" spans="1:3" x14ac:dyDescent="0.25">
      <c r="A14" s="1" t="s">
        <v>20</v>
      </c>
      <c r="B14" s="49">
        <v>49999.67676767677</v>
      </c>
      <c r="C14" s="49"/>
    </row>
    <row r="15" spans="1:3" x14ac:dyDescent="0.25">
      <c r="A15" s="50" t="s">
        <v>21</v>
      </c>
      <c r="B15" s="5">
        <v>0.1</v>
      </c>
      <c r="C15" s="5">
        <v>0.2</v>
      </c>
    </row>
    <row r="16" spans="1:3" x14ac:dyDescent="0.25">
      <c r="A16" s="50"/>
      <c r="B16" s="5">
        <v>0.2</v>
      </c>
      <c r="C16" s="5">
        <v>0.2</v>
      </c>
    </row>
    <row r="17" spans="1:3" x14ac:dyDescent="0.25">
      <c r="A17" s="50"/>
      <c r="B17" s="5">
        <v>0.2</v>
      </c>
      <c r="C17" s="5">
        <v>0.2</v>
      </c>
    </row>
    <row r="18" spans="1:3" x14ac:dyDescent="0.25">
      <c r="A18" s="50"/>
      <c r="B18" s="5">
        <v>0.25</v>
      </c>
      <c r="C18" s="5">
        <v>0.2</v>
      </c>
    </row>
    <row r="19" spans="1:3" x14ac:dyDescent="0.25">
      <c r="A19" s="50"/>
      <c r="B19" s="5">
        <v>0.25</v>
      </c>
      <c r="C19" s="5">
        <v>0.2</v>
      </c>
    </row>
    <row r="20" spans="1:3" x14ac:dyDescent="0.25">
      <c r="A20" s="50"/>
      <c r="B20" s="5">
        <v>0.25</v>
      </c>
      <c r="C20" s="5">
        <v>0.2</v>
      </c>
    </row>
    <row r="21" spans="1:3" x14ac:dyDescent="0.25">
      <c r="A21" s="1" t="s">
        <v>22</v>
      </c>
      <c r="B21" s="1">
        <f>FVSCHEDULE(B14,B15:B20)</f>
        <v>154686.5</v>
      </c>
      <c r="C21" s="1">
        <f>FVSCHEDULE(B14,C15:C20)</f>
        <v>149298.23483345454</v>
      </c>
    </row>
  </sheetData>
  <mergeCells count="6">
    <mergeCell ref="A15:A20"/>
    <mergeCell ref="A1:C1"/>
    <mergeCell ref="B3:C3"/>
    <mergeCell ref="A4:A9"/>
    <mergeCell ref="A12:C12"/>
    <mergeCell ref="B14:C1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tabSelected="1" workbookViewId="0">
      <selection sqref="A1:E13"/>
    </sheetView>
  </sheetViews>
  <sheetFormatPr defaultRowHeight="15" x14ac:dyDescent="0.25"/>
  <cols>
    <col min="2" max="2" width="16.28515625" customWidth="1"/>
    <col min="3" max="3" width="23.140625" customWidth="1"/>
    <col min="4" max="4" width="14.5703125" customWidth="1"/>
    <col min="5" max="5" width="16.28515625" customWidth="1"/>
  </cols>
  <sheetData>
    <row r="2" spans="1:5" x14ac:dyDescent="0.25">
      <c r="C2" s="1" t="s">
        <v>149</v>
      </c>
      <c r="D2" s="1">
        <v>15000</v>
      </c>
    </row>
    <row r="3" spans="1:5" x14ac:dyDescent="0.25">
      <c r="C3" s="1" t="s">
        <v>155</v>
      </c>
      <c r="D3" s="1">
        <v>1800</v>
      </c>
    </row>
    <row r="4" spans="1:5" x14ac:dyDescent="0.25">
      <c r="C4" s="1" t="s">
        <v>196</v>
      </c>
      <c r="D4" s="1">
        <v>5</v>
      </c>
    </row>
    <row r="6" spans="1:5" x14ac:dyDescent="0.25">
      <c r="A6" s="55" t="s">
        <v>122</v>
      </c>
      <c r="B6" s="55" t="s">
        <v>197</v>
      </c>
      <c r="C6" s="55"/>
      <c r="D6" s="55"/>
      <c r="E6" s="55"/>
    </row>
    <row r="7" spans="1:5" ht="90" x14ac:dyDescent="0.25">
      <c r="A7" s="55"/>
      <c r="B7" s="35" t="s">
        <v>198</v>
      </c>
      <c r="C7" s="35" t="s">
        <v>175</v>
      </c>
      <c r="D7" s="35" t="s">
        <v>176</v>
      </c>
      <c r="E7" s="35" t="s">
        <v>199</v>
      </c>
    </row>
    <row r="8" spans="1:5" x14ac:dyDescent="0.25">
      <c r="A8" s="1">
        <v>1</v>
      </c>
      <c r="B8" s="44">
        <f>SLN($D$2,$D$3,$D$4)</f>
        <v>2640</v>
      </c>
      <c r="C8" s="44">
        <f>SYD($D$2,$D$3,$D$4,A8)</f>
        <v>4400</v>
      </c>
      <c r="D8" s="44">
        <f>DDB($D$2,$D$3,$D$4,A8)</f>
        <v>6000</v>
      </c>
      <c r="E8" s="44">
        <f>DB($D$2,$D$3,$D$4,A8)</f>
        <v>5190</v>
      </c>
    </row>
    <row r="9" spans="1:5" x14ac:dyDescent="0.25">
      <c r="A9" s="1">
        <v>2</v>
      </c>
      <c r="B9" s="44">
        <f t="shared" ref="B9:B12" si="0">SLN($D$2,$D$3,$D$4)</f>
        <v>2640</v>
      </c>
      <c r="C9" s="44">
        <f t="shared" ref="C9:C12" si="1">SYD($D$2,$D$3,$D$4,A9)</f>
        <v>3520</v>
      </c>
      <c r="D9" s="44">
        <f t="shared" ref="D9:D12" si="2">DDB($D$2,$D$3,$D$4,A9)</f>
        <v>3600</v>
      </c>
      <c r="E9" s="44">
        <f t="shared" ref="E9:E12" si="3">DB($D$2,$D$3,$D$4,A9)</f>
        <v>3394.2599999999998</v>
      </c>
    </row>
    <row r="10" spans="1:5" x14ac:dyDescent="0.25">
      <c r="A10" s="1">
        <v>3</v>
      </c>
      <c r="B10" s="44">
        <f t="shared" si="0"/>
        <v>2640</v>
      </c>
      <c r="C10" s="44">
        <f t="shared" si="1"/>
        <v>2640</v>
      </c>
      <c r="D10" s="44">
        <f t="shared" si="2"/>
        <v>2160</v>
      </c>
      <c r="E10" s="44">
        <f t="shared" si="3"/>
        <v>2219.8460399999999</v>
      </c>
    </row>
    <row r="11" spans="1:5" x14ac:dyDescent="0.25">
      <c r="A11" s="1">
        <v>4</v>
      </c>
      <c r="B11" s="44">
        <f t="shared" si="0"/>
        <v>2640</v>
      </c>
      <c r="C11" s="44">
        <f t="shared" si="1"/>
        <v>1760</v>
      </c>
      <c r="D11" s="44">
        <f t="shared" si="2"/>
        <v>1296</v>
      </c>
      <c r="E11" s="44">
        <f t="shared" si="3"/>
        <v>1451.7793101599998</v>
      </c>
    </row>
    <row r="12" spans="1:5" x14ac:dyDescent="0.25">
      <c r="A12" s="1">
        <v>5</v>
      </c>
      <c r="B12" s="44">
        <f t="shared" si="0"/>
        <v>2640</v>
      </c>
      <c r="C12" s="44">
        <f t="shared" si="1"/>
        <v>880</v>
      </c>
      <c r="D12" s="44">
        <f t="shared" si="2"/>
        <v>144</v>
      </c>
      <c r="E12" s="44">
        <f t="shared" si="3"/>
        <v>949.46366884463976</v>
      </c>
    </row>
    <row r="13" spans="1:5" x14ac:dyDescent="0.25">
      <c r="A13" s="1" t="s">
        <v>200</v>
      </c>
      <c r="B13" s="44">
        <f>SUM(B8:B12)</f>
        <v>13200</v>
      </c>
      <c r="C13" s="44">
        <f>SUM(C8:C12)</f>
        <v>13200</v>
      </c>
      <c r="D13" s="44">
        <f>SUM(D8:D12)</f>
        <v>13200</v>
      </c>
      <c r="E13" s="44">
        <f>SUM(E8:E12)</f>
        <v>13205.34901900464</v>
      </c>
    </row>
  </sheetData>
  <mergeCells count="2">
    <mergeCell ref="A6:A7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6" sqref="B6"/>
    </sheetView>
  </sheetViews>
  <sheetFormatPr defaultRowHeight="15" x14ac:dyDescent="0.25"/>
  <cols>
    <col min="1" max="1" width="18" customWidth="1"/>
    <col min="2" max="2" width="18.42578125" customWidth="1"/>
  </cols>
  <sheetData>
    <row r="1" spans="1:6" x14ac:dyDescent="0.25">
      <c r="A1" s="11" t="s">
        <v>23</v>
      </c>
      <c r="B1" s="11" t="s">
        <v>24</v>
      </c>
    </row>
    <row r="2" spans="1:6" x14ac:dyDescent="0.25">
      <c r="A2" s="10" t="s">
        <v>22</v>
      </c>
      <c r="B2" s="10">
        <v>500000</v>
      </c>
      <c r="D2" s="51" t="s">
        <v>28</v>
      </c>
      <c r="E2" s="52"/>
      <c r="F2" s="52"/>
    </row>
    <row r="3" spans="1:6" x14ac:dyDescent="0.25">
      <c r="A3" s="1" t="s">
        <v>25</v>
      </c>
      <c r="B3" s="5">
        <v>0.12</v>
      </c>
      <c r="D3" s="52"/>
      <c r="E3" s="52"/>
      <c r="F3" s="52"/>
    </row>
    <row r="4" spans="1:6" x14ac:dyDescent="0.25">
      <c r="A4" s="1" t="s">
        <v>26</v>
      </c>
      <c r="B4" s="1">
        <v>3</v>
      </c>
      <c r="D4" s="52"/>
      <c r="E4" s="52"/>
      <c r="F4" s="52"/>
    </row>
    <row r="5" spans="1:6" x14ac:dyDescent="0.25">
      <c r="A5" s="9" t="s">
        <v>27</v>
      </c>
      <c r="B5" s="12">
        <f>PV(B3,B4,,B2)</f>
        <v>-355890.12390670541</v>
      </c>
      <c r="D5" s="52"/>
      <c r="E5" s="52"/>
      <c r="F5" s="52"/>
    </row>
    <row r="6" spans="1:6" x14ac:dyDescent="0.25">
      <c r="D6" s="52"/>
      <c r="E6" s="52"/>
      <c r="F6" s="52"/>
    </row>
    <row r="7" spans="1:6" x14ac:dyDescent="0.25">
      <c r="D7" s="52"/>
      <c r="E7" s="52"/>
      <c r="F7" s="52"/>
    </row>
    <row r="8" spans="1:6" x14ac:dyDescent="0.25">
      <c r="D8" s="52"/>
      <c r="E8" s="52"/>
      <c r="F8" s="52"/>
    </row>
  </sheetData>
  <mergeCells count="1">
    <mergeCell ref="D2:F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B7" sqref="B7"/>
    </sheetView>
  </sheetViews>
  <sheetFormatPr defaultRowHeight="15" x14ac:dyDescent="0.25"/>
  <cols>
    <col min="1" max="1" width="18.42578125" customWidth="1"/>
    <col min="2" max="2" width="11.5703125" bestFit="1" customWidth="1"/>
  </cols>
  <sheetData>
    <row r="2" spans="1:8" x14ac:dyDescent="0.25">
      <c r="A2" s="16" t="s">
        <v>29</v>
      </c>
      <c r="B2" s="16" t="s">
        <v>24</v>
      </c>
    </row>
    <row r="3" spans="1:8" ht="15" customHeight="1" x14ac:dyDescent="0.25">
      <c r="A3" s="1" t="s">
        <v>30</v>
      </c>
      <c r="B3" s="1">
        <v>5000</v>
      </c>
      <c r="E3" s="53" t="s">
        <v>34</v>
      </c>
      <c r="F3" s="53"/>
      <c r="G3" s="53"/>
      <c r="H3" s="53"/>
    </row>
    <row r="4" spans="1:8" x14ac:dyDescent="0.25">
      <c r="A4" s="1" t="s">
        <v>25</v>
      </c>
      <c r="B4" s="5">
        <v>0.2</v>
      </c>
      <c r="E4" s="53"/>
      <c r="F4" s="53"/>
      <c r="G4" s="53"/>
      <c r="H4" s="53"/>
    </row>
    <row r="5" spans="1:8" x14ac:dyDescent="0.25">
      <c r="A5" s="1" t="s">
        <v>26</v>
      </c>
      <c r="B5" s="1">
        <v>5</v>
      </c>
      <c r="E5" s="53"/>
      <c r="F5" s="53"/>
      <c r="G5" s="53"/>
      <c r="H5" s="53"/>
    </row>
    <row r="6" spans="1:8" x14ac:dyDescent="0.25">
      <c r="A6" s="9" t="s">
        <v>31</v>
      </c>
      <c r="B6" s="12">
        <f>PV(B4,B5,B3,,)</f>
        <v>-14953.060699588477</v>
      </c>
      <c r="C6" s="9">
        <f>(B3/(1+B4))+(B3/(1+B4)^2)+(B3/(1+B4)^3)+(B3/(1+B4)^4)+(B3/(1+B4)^5)</f>
        <v>14953.060699588477</v>
      </c>
      <c r="E6" s="53"/>
      <c r="F6" s="53"/>
      <c r="G6" s="53"/>
      <c r="H6" s="53"/>
    </row>
    <row r="7" spans="1:8" x14ac:dyDescent="0.25">
      <c r="B7" t="s">
        <v>32</v>
      </c>
      <c r="C7" t="s">
        <v>33</v>
      </c>
      <c r="E7" s="53"/>
      <c r="F7" s="53"/>
      <c r="G7" s="53"/>
      <c r="H7" s="53"/>
    </row>
    <row r="8" spans="1:8" x14ac:dyDescent="0.25">
      <c r="E8" s="53"/>
      <c r="F8" s="53"/>
      <c r="G8" s="53"/>
      <c r="H8" s="53"/>
    </row>
    <row r="9" spans="1:8" x14ac:dyDescent="0.25">
      <c r="E9" s="53"/>
      <c r="F9" s="53"/>
      <c r="G9" s="53"/>
      <c r="H9" s="53"/>
    </row>
    <row r="10" spans="1:8" x14ac:dyDescent="0.25">
      <c r="E10" s="53"/>
      <c r="F10" s="53"/>
      <c r="G10" s="53"/>
      <c r="H10" s="53"/>
    </row>
    <row r="11" spans="1:8" x14ac:dyDescent="0.25">
      <c r="E11" s="53"/>
      <c r="F11" s="53"/>
      <c r="G11" s="53"/>
      <c r="H11" s="53"/>
    </row>
  </sheetData>
  <mergeCells count="1">
    <mergeCell ref="E3:H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F8" sqref="F8"/>
    </sheetView>
  </sheetViews>
  <sheetFormatPr defaultRowHeight="15" x14ac:dyDescent="0.25"/>
  <cols>
    <col min="1" max="1" width="14.85546875" customWidth="1"/>
    <col min="4" max="4" width="28" customWidth="1"/>
    <col min="5" max="5" width="12.85546875" customWidth="1"/>
    <col min="6" max="6" width="15.5703125" customWidth="1"/>
  </cols>
  <sheetData>
    <row r="2" spans="1:6" x14ac:dyDescent="0.25">
      <c r="A2" t="s">
        <v>35</v>
      </c>
      <c r="B2" t="s">
        <v>36</v>
      </c>
      <c r="C2" t="s">
        <v>37</v>
      </c>
      <c r="D2" t="s">
        <v>38</v>
      </c>
      <c r="E2" s="54" t="s">
        <v>39</v>
      </c>
      <c r="F2" s="54"/>
    </row>
    <row r="3" spans="1:6" x14ac:dyDescent="0.25">
      <c r="A3" s="8" t="s">
        <v>40</v>
      </c>
      <c r="B3" s="17" t="s">
        <v>41</v>
      </c>
      <c r="C3" s="8" t="s">
        <v>42</v>
      </c>
      <c r="D3" s="8" t="s">
        <v>43</v>
      </c>
      <c r="E3" s="8" t="s">
        <v>44</v>
      </c>
      <c r="F3" s="8" t="s">
        <v>45</v>
      </c>
    </row>
    <row r="4" spans="1:6" x14ac:dyDescent="0.25">
      <c r="A4" s="8">
        <v>4000000</v>
      </c>
      <c r="B4" s="18">
        <v>0.08</v>
      </c>
      <c r="C4" s="8">
        <v>3</v>
      </c>
      <c r="D4" s="8">
        <v>1</v>
      </c>
      <c r="E4" s="19">
        <f>A4/((1+(B4/D4))^(D4*C4))</f>
        <v>3175328.9640806783</v>
      </c>
      <c r="F4" s="19">
        <f>PV(B4/D4,C4*D4,,A4,)</f>
        <v>-3175328.9640806783</v>
      </c>
    </row>
    <row r="5" spans="1:6" x14ac:dyDescent="0.25">
      <c r="A5" s="8"/>
      <c r="B5" s="8">
        <v>0.12</v>
      </c>
      <c r="C5" s="8">
        <v>3</v>
      </c>
      <c r="D5" s="8">
        <v>1</v>
      </c>
      <c r="E5" s="19">
        <f>A4/((1+(B5/D5))^(D5*C5))</f>
        <v>2847120.9912536433</v>
      </c>
      <c r="F5" s="19">
        <f>PV(B5/D5,C5*D5,,A4,)</f>
        <v>-2847120.9912536433</v>
      </c>
    </row>
    <row r="6" spans="1:6" x14ac:dyDescent="0.25">
      <c r="A6" s="8"/>
      <c r="B6" s="8">
        <v>0.08</v>
      </c>
      <c r="C6" s="8">
        <v>3</v>
      </c>
      <c r="D6" s="8">
        <v>2</v>
      </c>
      <c r="E6" s="19">
        <f>A4/((1+(B6/D6))^(D6*C6))</f>
        <v>3161258.102920583</v>
      </c>
      <c r="F6" s="19">
        <f>PV(B6/D6,C6*D6,,A4,)</f>
        <v>-3161258.102920583</v>
      </c>
    </row>
    <row r="7" spans="1:6" x14ac:dyDescent="0.25">
      <c r="A7" s="8"/>
      <c r="B7" s="8">
        <v>0.12</v>
      </c>
      <c r="C7" s="8">
        <v>3</v>
      </c>
      <c r="D7" s="8">
        <v>2</v>
      </c>
      <c r="E7" s="19">
        <f>A4/((1+(B7/D7))^(D7*C7))</f>
        <v>2819842.161758705</v>
      </c>
      <c r="F7" s="19">
        <f>PV(B7/D7,C7*D7,,A4,)</f>
        <v>-2819842.161758705</v>
      </c>
    </row>
  </sheetData>
  <mergeCells count="1">
    <mergeCell ref="E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RowHeight="15" x14ac:dyDescent="0.25"/>
  <cols>
    <col min="1" max="1" width="29.140625" customWidth="1"/>
    <col min="2" max="2" width="10.85546875" bestFit="1" customWidth="1"/>
  </cols>
  <sheetData>
    <row r="1" spans="1:3" x14ac:dyDescent="0.25">
      <c r="A1" t="s">
        <v>46</v>
      </c>
      <c r="B1" s="20">
        <v>10000</v>
      </c>
    </row>
    <row r="2" spans="1:3" x14ac:dyDescent="0.25">
      <c r="A2" t="s">
        <v>47</v>
      </c>
      <c r="B2">
        <v>12</v>
      </c>
      <c r="C2" t="str">
        <f>IF(B2=1,"рік",IF(AND(B2&gt;=2,B2&lt;=4),"роки","років"))</f>
        <v>років</v>
      </c>
    </row>
    <row r="3" spans="1:3" x14ac:dyDescent="0.25">
      <c r="A3" t="s">
        <v>48</v>
      </c>
      <c r="B3">
        <v>1500</v>
      </c>
    </row>
    <row r="4" spans="1:3" x14ac:dyDescent="0.25">
      <c r="A4" t="s">
        <v>49</v>
      </c>
      <c r="B4" s="13">
        <v>7.0000000000000007E-2</v>
      </c>
    </row>
    <row r="5" spans="1:3" x14ac:dyDescent="0.25">
      <c r="A5" t="s">
        <v>50</v>
      </c>
      <c r="B5" s="14">
        <f>PV(B4,B2,-B3)</f>
        <v>11914.029444841386</v>
      </c>
    </row>
    <row r="6" spans="1:3" x14ac:dyDescent="0.25">
      <c r="A6" t="s">
        <v>51</v>
      </c>
      <c r="B6" t="str">
        <f>IF(B1&lt;B5,"Вигідно дати гроші в борг",IF(B5=B1,"Варіанти рівні","Вигідно гроші вкласти під відсоток"))</f>
        <v>Вигідно дати гроші в борг</v>
      </c>
    </row>
  </sheetData>
  <scenarios current="1" show="1" sqref="B5 B6">
    <scenario name="ПС1" locked="1" count="2" user="Author">
      <inputCells r="B2" val="6"/>
      <inputCells r="B3" val="2000"/>
    </scenario>
    <scenario name="ПС2" locked="1" count="2" user="Author">
      <inputCells r="B2" val="12"/>
      <inputCells r="B3" val="1500"/>
    </scenario>
    <scenario name="ПС3" locked="1" count="2" user="Author">
      <inputCells r="B2" val="7"/>
      <inputCells r="B3" val="1500"/>
    </scenario>
  </scenario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0"/>
  <sheetViews>
    <sheetView showGridLines="0" workbookViewId="0">
      <selection activeCell="E15" sqref="E15"/>
    </sheetView>
  </sheetViews>
  <sheetFormatPr defaultRowHeight="15" outlineLevelRow="1" outlineLevelCol="1" x14ac:dyDescent="0.25"/>
  <cols>
    <col min="3" max="3" width="5.140625" customWidth="1"/>
    <col min="4" max="4" width="21.140625" customWidth="1" outlineLevel="1"/>
    <col min="5" max="5" width="23" customWidth="1" outlineLevel="1"/>
    <col min="6" max="6" width="22.28515625" customWidth="1" outlineLevel="1"/>
    <col min="7" max="7" width="21.28515625" customWidth="1" outlineLevel="1"/>
  </cols>
  <sheetData>
    <row r="1" spans="2:7" ht="15.75" thickBot="1" x14ac:dyDescent="0.3"/>
    <row r="2" spans="2:7" ht="15.75" x14ac:dyDescent="0.25">
      <c r="B2" s="23" t="s">
        <v>58</v>
      </c>
      <c r="C2" s="23"/>
      <c r="D2" s="28"/>
      <c r="E2" s="28"/>
      <c r="F2" s="28"/>
      <c r="G2" s="28"/>
    </row>
    <row r="3" spans="2:7" ht="15.75" collapsed="1" x14ac:dyDescent="0.25">
      <c r="B3" s="22"/>
      <c r="C3" s="22"/>
      <c r="D3" s="29" t="s">
        <v>60</v>
      </c>
      <c r="E3" s="29" t="s">
        <v>55</v>
      </c>
      <c r="F3" s="29" t="s">
        <v>56</v>
      </c>
      <c r="G3" s="29" t="s">
        <v>57</v>
      </c>
    </row>
    <row r="4" spans="2:7" hidden="1" outlineLevel="1" x14ac:dyDescent="0.25">
      <c r="B4" s="25"/>
      <c r="C4" s="25"/>
      <c r="D4" s="21"/>
      <c r="E4" s="31"/>
      <c r="F4" s="31"/>
      <c r="G4" s="31"/>
    </row>
    <row r="5" spans="2:7" x14ac:dyDescent="0.25">
      <c r="B5" s="26" t="s">
        <v>59</v>
      </c>
      <c r="C5" s="26"/>
      <c r="D5" s="24"/>
      <c r="E5" s="24"/>
      <c r="F5" s="24"/>
      <c r="G5" s="24"/>
    </row>
    <row r="6" spans="2:7" outlineLevel="1" x14ac:dyDescent="0.25">
      <c r="B6" s="25"/>
      <c r="C6" s="25" t="s">
        <v>52</v>
      </c>
      <c r="D6" s="21">
        <v>12</v>
      </c>
      <c r="E6" s="30">
        <v>6</v>
      </c>
      <c r="F6" s="30">
        <v>12</v>
      </c>
      <c r="G6" s="30">
        <v>7</v>
      </c>
    </row>
    <row r="7" spans="2:7" outlineLevel="1" x14ac:dyDescent="0.25">
      <c r="B7" s="25"/>
      <c r="C7" s="25" t="s">
        <v>53</v>
      </c>
      <c r="D7" s="21">
        <v>1500</v>
      </c>
      <c r="E7" s="30">
        <v>2000</v>
      </c>
      <c r="F7" s="30">
        <v>1500</v>
      </c>
      <c r="G7" s="30">
        <v>1500</v>
      </c>
    </row>
    <row r="8" spans="2:7" x14ac:dyDescent="0.25">
      <c r="B8" s="26" t="s">
        <v>61</v>
      </c>
      <c r="C8" s="26"/>
      <c r="D8" s="24"/>
      <c r="E8" s="24"/>
      <c r="F8" s="24"/>
      <c r="G8" s="24"/>
    </row>
    <row r="9" spans="2:7" outlineLevel="1" x14ac:dyDescent="0.25">
      <c r="B9" s="25"/>
      <c r="C9" s="25" t="s">
        <v>54</v>
      </c>
      <c r="D9" s="32">
        <v>11914.029444841401</v>
      </c>
      <c r="E9" s="32">
        <v>9533.0793195282095</v>
      </c>
      <c r="F9" s="32">
        <v>11914.029444841401</v>
      </c>
      <c r="G9" s="32">
        <v>8083.9341024730502</v>
      </c>
    </row>
    <row r="10" spans="2:7" ht="37.5" customHeight="1" outlineLevel="1" thickBot="1" x14ac:dyDescent="0.3">
      <c r="B10" s="27"/>
      <c r="C10" s="27" t="s">
        <v>62</v>
      </c>
      <c r="D10" s="33" t="s">
        <v>63</v>
      </c>
      <c r="E10" s="33" t="s">
        <v>64</v>
      </c>
      <c r="F10" s="33" t="s">
        <v>63</v>
      </c>
      <c r="G10" s="33" t="s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2" sqref="B12"/>
    </sheetView>
  </sheetViews>
  <sheetFormatPr defaultRowHeight="15" x14ac:dyDescent="0.25"/>
  <cols>
    <col min="1" max="1" width="27.42578125" customWidth="1"/>
  </cols>
  <sheetData>
    <row r="1" spans="1:3" x14ac:dyDescent="0.25">
      <c r="A1" t="s">
        <v>21</v>
      </c>
      <c r="B1" s="13">
        <v>0.08</v>
      </c>
    </row>
    <row r="2" spans="1:3" x14ac:dyDescent="0.25">
      <c r="A2" t="s">
        <v>65</v>
      </c>
      <c r="B2">
        <v>0</v>
      </c>
      <c r="C2" t="s">
        <v>70</v>
      </c>
    </row>
    <row r="3" spans="1:3" x14ac:dyDescent="0.25">
      <c r="A3" t="s">
        <v>66</v>
      </c>
      <c r="B3">
        <v>-200000</v>
      </c>
      <c r="C3" t="s">
        <v>69</v>
      </c>
    </row>
    <row r="4" spans="1:3" x14ac:dyDescent="0.25">
      <c r="A4" t="s">
        <v>22</v>
      </c>
      <c r="B4">
        <v>800000</v>
      </c>
    </row>
    <row r="5" spans="1:3" x14ac:dyDescent="0.25">
      <c r="A5" t="s">
        <v>67</v>
      </c>
      <c r="B5">
        <v>0</v>
      </c>
      <c r="C5" t="s">
        <v>71</v>
      </c>
    </row>
    <row r="7" spans="1:3" x14ac:dyDescent="0.25">
      <c r="A7" t="s">
        <v>68</v>
      </c>
      <c r="B7" s="34">
        <f>(NPER(B1,B2,B4,B3,B5))*-1</f>
        <v>18.012936684001176</v>
      </c>
      <c r="C7" t="str">
        <f>IF(B7=1,"рік",IF(AND(B7&gt;=2,B7&lt;=4),"роки","років"))</f>
        <v>років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B1" zoomScale="90" zoomScaleNormal="90" workbookViewId="0">
      <selection activeCell="F5" sqref="F5"/>
    </sheetView>
  </sheetViews>
  <sheetFormatPr defaultRowHeight="15" x14ac:dyDescent="0.25"/>
  <cols>
    <col min="1" max="1" width="11.5703125" customWidth="1"/>
    <col min="2" max="2" width="13.5703125" customWidth="1"/>
    <col min="4" max="4" width="15.28515625" customWidth="1"/>
    <col min="5" max="5" width="13.85546875" customWidth="1"/>
    <col min="6" max="6" width="15.140625" customWidth="1"/>
    <col min="7" max="7" width="11.85546875" customWidth="1"/>
    <col min="8" max="8" width="11.5703125" customWidth="1"/>
  </cols>
  <sheetData>
    <row r="1" spans="1:8" ht="45.75" customHeight="1" x14ac:dyDescent="0.25">
      <c r="A1" s="8" t="s">
        <v>72</v>
      </c>
      <c r="B1" s="8" t="s">
        <v>73</v>
      </c>
      <c r="C1" s="8" t="s">
        <v>74</v>
      </c>
      <c r="D1" s="36" t="s">
        <v>78</v>
      </c>
      <c r="E1" s="36" t="s">
        <v>79</v>
      </c>
      <c r="F1" s="36" t="s">
        <v>80</v>
      </c>
      <c r="G1" s="55" t="s">
        <v>81</v>
      </c>
      <c r="H1" s="55"/>
    </row>
    <row r="2" spans="1:8" x14ac:dyDescent="0.25">
      <c r="A2" s="8" t="s">
        <v>75</v>
      </c>
      <c r="B2" s="8" t="s">
        <v>40</v>
      </c>
      <c r="C2" s="8" t="s">
        <v>76</v>
      </c>
      <c r="D2" s="8" t="s">
        <v>43</v>
      </c>
      <c r="E2" s="8" t="s">
        <v>77</v>
      </c>
      <c r="F2" s="8" t="s">
        <v>42</v>
      </c>
      <c r="G2" s="8" t="s">
        <v>82</v>
      </c>
      <c r="H2" s="8" t="s">
        <v>83</v>
      </c>
    </row>
    <row r="3" spans="1:8" x14ac:dyDescent="0.25">
      <c r="A3" s="1">
        <v>100000</v>
      </c>
      <c r="B3" s="1">
        <v>120000</v>
      </c>
      <c r="C3" s="37">
        <v>9.5000000000000001E-2</v>
      </c>
      <c r="D3" s="1">
        <v>4</v>
      </c>
      <c r="E3" s="1">
        <f>NPER(C3/D3,0,-A3,B3)</f>
        <v>7.767501283461419</v>
      </c>
      <c r="F3" s="1">
        <f>G3</f>
        <v>1.9418753208653547</v>
      </c>
      <c r="G3" s="1">
        <f>(LN(B3/A3))/(D3*LN(1+(C3/D3)))</f>
        <v>1.9418753208653547</v>
      </c>
      <c r="H3" s="56">
        <f>((B3/A3)-1)/C3</f>
        <v>2.1052631578947363</v>
      </c>
    </row>
    <row r="4" spans="1:8" x14ac:dyDescent="0.25">
      <c r="D4" s="1">
        <v>2</v>
      </c>
      <c r="E4" s="1">
        <f>NPER(C3/D4,0,-A3,B3)</f>
        <v>3.9288042942744084</v>
      </c>
      <c r="F4" s="1">
        <f>G4</f>
        <v>1.9644021471372042</v>
      </c>
      <c r="G4" s="1">
        <f>(LN(B3/A3))/(D4*LN(1+(C3/D4)))</f>
        <v>1.9644021471372042</v>
      </c>
      <c r="H4" s="57"/>
    </row>
  </sheetData>
  <mergeCells count="2">
    <mergeCell ref="G1:H1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Задача 1</vt:lpstr>
      <vt:lpstr>Задача 2,3</vt:lpstr>
      <vt:lpstr>Задача 4</vt:lpstr>
      <vt:lpstr>Задача 5</vt:lpstr>
      <vt:lpstr>Задача 6</vt:lpstr>
      <vt:lpstr>Задача 7</vt:lpstr>
      <vt:lpstr>Scenario Summary 7</vt:lpstr>
      <vt:lpstr>Задача 8</vt:lpstr>
      <vt:lpstr>Задача 9</vt:lpstr>
      <vt:lpstr>Задача 10</vt:lpstr>
      <vt:lpstr>Задача 11</vt:lpstr>
      <vt:lpstr>Задача 12</vt:lpstr>
      <vt:lpstr>Задача 13</vt:lpstr>
      <vt:lpstr>Задача 14</vt:lpstr>
      <vt:lpstr>Задача 15</vt:lpstr>
      <vt:lpstr>Задача 16</vt:lpstr>
      <vt:lpstr>Задача 17</vt:lpstr>
      <vt:lpstr>Задача 18</vt:lpstr>
      <vt:lpstr>Задача 19</vt:lpstr>
      <vt:lpstr>Задача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2019-12-12T19:06:35Z</dcterms:modified>
</cp:coreProperties>
</file>