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07"/>
  <workbookPr date1904="1" defaultThemeVersion="124226"/>
  <mc:AlternateContent xmlns:mc="http://schemas.openxmlformats.org/markup-compatibility/2006">
    <mc:Choice Requires="x15">
      <x15ac:absPath xmlns:x15ac="http://schemas.microsoft.com/office/spreadsheetml/2010/11/ac" url="/Users/chg/Desktop/"/>
    </mc:Choice>
  </mc:AlternateContent>
  <xr:revisionPtr revIDLastSave="0" documentId="8_{0003671D-E395-A047-8B5B-52397A8FB3B2}" xr6:coauthVersionLast="40" xr6:coauthVersionMax="40" xr10:uidLastSave="{00000000-0000-0000-0000-000000000000}"/>
  <bookViews>
    <workbookView xWindow="0" yWindow="0" windowWidth="33600" windowHeight="21000" tabRatio="753" activeTab="4"/>
  </bookViews>
  <sheets>
    <sheet name="Capa EN" sheetId="13" r:id="rId1"/>
    <sheet name="Indice_index" sheetId="4" r:id="rId2"/>
    <sheet name="Evolução" sheetId="1" r:id="rId3"/>
    <sheet name="Estado - Receita" sheetId="14" r:id="rId4"/>
    <sheet name="Estado - Funcional" sheetId="2" r:id="rId5"/>
    <sheet name="Estado - orgânica" sheetId="3" r:id="rId6"/>
    <sheet name="SFA - Funcional" sheetId="8" r:id="rId7"/>
    <sheet name="SFA - orgânica" sheetId="5" r:id="rId8"/>
    <sheet name="MetaInfo Metadata" sheetId="11" r:id="rId9"/>
  </sheets>
  <definedNames>
    <definedName name="_xlnm.Print_Area" localSheetId="0">'Capa EN'!$A$1:$L$54</definedName>
    <definedName name="_xlnm.Print_Area" localSheetId="4">'Estado - Funcional'!$B$2:$Y$28</definedName>
    <definedName name="_xlnm.Print_Area" localSheetId="5">'Estado - orgânica'!$B$2:$BG$43</definedName>
    <definedName name="_xlnm.Print_Area" localSheetId="3">'Estado - Receita'!$A$1:$T$41</definedName>
    <definedName name="_xlnm.Print_Area" localSheetId="2">Evolução!$B$2:$K$717</definedName>
    <definedName name="_xlnm.Print_Area" localSheetId="1">Indice_index!$B$4:$G$14,Indice_index!$B$17:$G$29</definedName>
    <definedName name="_xlnm.Print_Area" localSheetId="8">'MetaInfo Metadata'!$A$1:$D$254</definedName>
    <definedName name="_xlnm.Print_Area" localSheetId="6">'SFA - Funcional'!$B$2:$Y$15</definedName>
    <definedName name="_xlnm.Print_Area" localSheetId="7">'SFA - orgânica'!$B$2:$BG$45</definedName>
    <definedName name="_xlnm.Print_Titles" localSheetId="5">'Estado - orgânica'!$C:$C</definedName>
    <definedName name="_xlnm.Print_Titles" localSheetId="8">'MetaInfo Metadata'!$1:$5</definedName>
    <definedName name="_xlnm.Print_Titles" localSheetId="7">'SFA - orgânica'!$C:$C,'SFA - orgânica'!$2:$7</definedName>
    <definedName name="Z_0011D0C0_6BC7_4DE9_8F83_86F2D0A38DF4_.wvu.Cols" localSheetId="2" hidden="1">Evolução!$E:$E,Evolução!$G:$G</definedName>
    <definedName name="Z_0011D0C0_6BC7_4DE9_8F83_86F2D0A38DF4_.wvu.Cols" localSheetId="1" hidden="1">Indice_index!$X:$Z</definedName>
    <definedName name="Z_0011D0C0_6BC7_4DE9_8F83_86F2D0A38DF4_.wvu.PrintArea" localSheetId="5" hidden="1">'Estado - orgânica'!$B$2:$BG$43</definedName>
    <definedName name="Z_0011D0C0_6BC7_4DE9_8F83_86F2D0A38DF4_.wvu.PrintArea" localSheetId="2" hidden="1">Evolução!$B$2:$L$657</definedName>
    <definedName name="Z_0011D0C0_6BC7_4DE9_8F83_86F2D0A38DF4_.wvu.PrintArea" localSheetId="1" hidden="1">Indice_index!$B$3:$C$11</definedName>
    <definedName name="Z_0011D0C0_6BC7_4DE9_8F83_86F2D0A38DF4_.wvu.PrintArea" localSheetId="7" hidden="1">'SFA - orgânica'!$B$2:$BG$45</definedName>
    <definedName name="Z_0011D0C0_6BC7_4DE9_8F83_86F2D0A38DF4_.wvu.PrintTitles" localSheetId="5" hidden="1">'Estado - orgânica'!$C:$C</definedName>
    <definedName name="Z_0011D0C0_6BC7_4DE9_8F83_86F2D0A38DF4_.wvu.PrintTitles" localSheetId="2" hidden="1">Evolução!$2:$2</definedName>
    <definedName name="Z_0011D0C0_6BC7_4DE9_8F83_86F2D0A38DF4_.wvu.PrintTitles" localSheetId="7" hidden="1">'SFA - orgânica'!$C:$C</definedName>
    <definedName name="Z_0C0AE94C_28F1_4FD2_A8FE_F417DD17C0C4_.wvu.Cols" localSheetId="5" hidden="1">'Estado - orgânica'!$W:$AN</definedName>
    <definedName name="Z_0C0AE94C_28F1_4FD2_A8FE_F417DD17C0C4_.wvu.Cols" localSheetId="2" hidden="1">Evolução!$E:$E,Evolução!$G:$G</definedName>
    <definedName name="Z_0C0AE94C_28F1_4FD2_A8FE_F417DD17C0C4_.wvu.Cols" localSheetId="1" hidden="1">Indice_index!$X:$Z</definedName>
    <definedName name="Z_0C0AE94C_28F1_4FD2_A8FE_F417DD17C0C4_.wvu.Cols" localSheetId="7" hidden="1">'SFA - orgânica'!$W:$AN</definedName>
    <definedName name="Z_0C0AE94C_28F1_4FD2_A8FE_F417DD17C0C4_.wvu.PrintArea" localSheetId="5" hidden="1">'Estado - orgânica'!$B$2:$BG$43</definedName>
    <definedName name="Z_0C0AE94C_28F1_4FD2_A8FE_F417DD17C0C4_.wvu.PrintArea" localSheetId="2" hidden="1">Evolução!$B$2:$L$657</definedName>
    <definedName name="Z_0C0AE94C_28F1_4FD2_A8FE_F417DD17C0C4_.wvu.PrintArea" localSheetId="1" hidden="1">Indice_index!$B$3:$C$11,Indice_index!#REF!</definedName>
    <definedName name="Z_0C0AE94C_28F1_4FD2_A8FE_F417DD17C0C4_.wvu.PrintArea" localSheetId="7" hidden="1">'SFA - orgânica'!$B$2:$BG$45</definedName>
    <definedName name="Z_0C0AE94C_28F1_4FD2_A8FE_F417DD17C0C4_.wvu.PrintTitles" localSheetId="5" hidden="1">'Estado - orgânica'!$C:$C</definedName>
    <definedName name="Z_0C0AE94C_28F1_4FD2_A8FE_F417DD17C0C4_.wvu.PrintTitles" localSheetId="2" hidden="1">Evolução!$2:$2</definedName>
    <definedName name="Z_0C0AE94C_28F1_4FD2_A8FE_F417DD17C0C4_.wvu.PrintTitles" localSheetId="7" hidden="1">'SFA - orgânica'!$C:$C</definedName>
    <definedName name="Z_0C0AE94C_28F1_4FD2_A8FE_F417DD17C0C4_.wvu.Rows" localSheetId="1" hidden="1">Indice_index!#REF!</definedName>
    <definedName name="Z_2EA2D52B_13B2_48C6_A647_E974628AB287_.wvu.Cols" localSheetId="1" hidden="1">Indice_index!$X:$Z</definedName>
    <definedName name="Z_2EA2D52B_13B2_48C6_A647_E974628AB287_.wvu.PrintArea" localSheetId="5" hidden="1">'Estado - orgânica'!$B$2:$BG$43</definedName>
    <definedName name="Z_2EA2D52B_13B2_48C6_A647_E974628AB287_.wvu.PrintArea" localSheetId="2" hidden="1">Evolução!$B$2:$L$657</definedName>
    <definedName name="Z_2EA2D52B_13B2_48C6_A647_E974628AB287_.wvu.PrintArea" localSheetId="1" hidden="1">Indice_index!$B$3:$C$11</definedName>
    <definedName name="Z_2EA2D52B_13B2_48C6_A647_E974628AB287_.wvu.PrintArea" localSheetId="7" hidden="1">'SFA - orgânica'!$B$2:$BG$45</definedName>
    <definedName name="Z_2EA2D52B_13B2_48C6_A647_E974628AB287_.wvu.PrintTitles" localSheetId="5" hidden="1">'Estado - orgânica'!$C:$C</definedName>
    <definedName name="Z_2EA2D52B_13B2_48C6_A647_E974628AB287_.wvu.PrintTitles" localSheetId="2" hidden="1">Evolução!$2:$2</definedName>
    <definedName name="Z_2EA2D52B_13B2_48C6_A647_E974628AB287_.wvu.PrintTitles" localSheetId="7" hidden="1">'SFA - orgânica'!$C:$C</definedName>
    <definedName name="Z_397AD331_8EE9_49A3_85C5_CAAF9519E963_.wvu.Cols" localSheetId="5" hidden="1">'Estado - orgânica'!$V:$AQ</definedName>
    <definedName name="Z_397AD331_8EE9_49A3_85C5_CAAF9519E963_.wvu.Cols" localSheetId="2" hidden="1">Evolução!$E:$E,Evolução!$G:$G</definedName>
    <definedName name="Z_397AD331_8EE9_49A3_85C5_CAAF9519E963_.wvu.Cols" localSheetId="1" hidden="1">Indice_index!$X:$Z</definedName>
    <definedName name="Z_397AD331_8EE9_49A3_85C5_CAAF9519E963_.wvu.Cols" localSheetId="7" hidden="1">'SFA - orgânica'!$V:$AQ</definedName>
    <definedName name="Z_397AD331_8EE9_49A3_85C5_CAAF9519E963_.wvu.PrintArea" localSheetId="5" hidden="1">'Estado - orgânica'!$B$2:$BG$43</definedName>
    <definedName name="Z_397AD331_8EE9_49A3_85C5_CAAF9519E963_.wvu.PrintArea" localSheetId="2" hidden="1">Evolução!$B$2:$L$657</definedName>
    <definedName name="Z_397AD331_8EE9_49A3_85C5_CAAF9519E963_.wvu.PrintArea" localSheetId="1" hidden="1">Indice_index!$B$3:$C$11</definedName>
    <definedName name="Z_397AD331_8EE9_49A3_85C5_CAAF9519E963_.wvu.PrintArea" localSheetId="7" hidden="1">'SFA - orgânica'!$B$2:$BG$45</definedName>
    <definedName name="Z_397AD331_8EE9_49A3_85C5_CAAF9519E963_.wvu.PrintTitles" localSheetId="5" hidden="1">'Estado - orgânica'!$C:$C</definedName>
    <definedName name="Z_397AD331_8EE9_49A3_85C5_CAAF9519E963_.wvu.PrintTitles" localSheetId="2" hidden="1">Evolução!$2:$2</definedName>
    <definedName name="Z_397AD331_8EE9_49A3_85C5_CAAF9519E963_.wvu.PrintTitles" localSheetId="7" hidden="1">'SFA - orgânica'!$C:$C</definedName>
    <definedName name="Z_3CBF401B_BA90_4504_A812_4461208B2AAF_.wvu.Cols" localSheetId="5" hidden="1">'Estado - orgânica'!$V:$AQ</definedName>
    <definedName name="Z_3CBF401B_BA90_4504_A812_4461208B2AAF_.wvu.Cols" localSheetId="2" hidden="1">Evolução!$E:$E,Evolução!$G:$G</definedName>
    <definedName name="Z_3CBF401B_BA90_4504_A812_4461208B2AAF_.wvu.Cols" localSheetId="1" hidden="1">Indice_index!$X:$Z</definedName>
    <definedName name="Z_3CBF401B_BA90_4504_A812_4461208B2AAF_.wvu.Cols" localSheetId="7" hidden="1">'SFA - orgânica'!$V:$AQ</definedName>
    <definedName name="Z_3CBF401B_BA90_4504_A812_4461208B2AAF_.wvu.PrintArea" localSheetId="5" hidden="1">'Estado - orgânica'!$B$2:$BG$43</definedName>
    <definedName name="Z_3CBF401B_BA90_4504_A812_4461208B2AAF_.wvu.PrintArea" localSheetId="2" hidden="1">Evolução!$B$2:$L$657</definedName>
    <definedName name="Z_3CBF401B_BA90_4504_A812_4461208B2AAF_.wvu.PrintArea" localSheetId="1" hidden="1">Indice_index!$B$3:$C$11,Indice_index!#REF!</definedName>
    <definedName name="Z_3CBF401B_BA90_4504_A812_4461208B2AAF_.wvu.PrintArea" localSheetId="7" hidden="1">'SFA - orgânica'!$B$2:$BG$45</definedName>
    <definedName name="Z_3CBF401B_BA90_4504_A812_4461208B2AAF_.wvu.PrintTitles" localSheetId="5" hidden="1">'Estado - orgânica'!$C:$C</definedName>
    <definedName name="Z_3CBF401B_BA90_4504_A812_4461208B2AAF_.wvu.PrintTitles" localSheetId="2" hidden="1">Evolução!$2:$2</definedName>
    <definedName name="Z_3CBF401B_BA90_4504_A812_4461208B2AAF_.wvu.PrintTitles" localSheetId="7" hidden="1">'SFA - orgânica'!$C:$C</definedName>
    <definedName name="Z_409D0809_DA86_4C14_803D_2162A19A44FF_.wvu.Cols" localSheetId="2" hidden="1">Evolução!$E:$E,Evolução!$G:$G</definedName>
    <definedName name="Z_409D0809_DA86_4C14_803D_2162A19A44FF_.wvu.Cols" localSheetId="1" hidden="1">Indice_index!$X:$Z</definedName>
    <definedName name="Z_409D0809_DA86_4C14_803D_2162A19A44FF_.wvu.PrintArea" localSheetId="5" hidden="1">'Estado - orgânica'!$B$2:$BG$43</definedName>
    <definedName name="Z_409D0809_DA86_4C14_803D_2162A19A44FF_.wvu.PrintArea" localSheetId="2" hidden="1">Evolução!$B$2:$L$657</definedName>
    <definedName name="Z_409D0809_DA86_4C14_803D_2162A19A44FF_.wvu.PrintArea" localSheetId="1" hidden="1">Indice_index!$B$3:$C$11</definedName>
    <definedName name="Z_409D0809_DA86_4C14_803D_2162A19A44FF_.wvu.PrintArea" localSheetId="7" hidden="1">'SFA - orgânica'!$B$2:$BG$45</definedName>
    <definedName name="Z_409D0809_DA86_4C14_803D_2162A19A44FF_.wvu.PrintTitles" localSheetId="5" hidden="1">'Estado - orgânica'!$C:$C</definedName>
    <definedName name="Z_409D0809_DA86_4C14_803D_2162A19A44FF_.wvu.PrintTitles" localSheetId="2" hidden="1">Evolução!$2:$2</definedName>
    <definedName name="Z_409D0809_DA86_4C14_803D_2162A19A44FF_.wvu.PrintTitles" localSheetId="7" hidden="1">'SFA - orgânica'!$C:$C</definedName>
    <definedName name="Z_43AB44CB_B133_4B3C_9B24_AA3B4A5A58A7_.wvu.Cols" localSheetId="2" hidden="1">Evolução!$E:$E,Evolução!$G:$G</definedName>
    <definedName name="Z_43AB44CB_B133_4B3C_9B24_AA3B4A5A58A7_.wvu.Cols" localSheetId="1" hidden="1">Indice_index!$X:$Z</definedName>
    <definedName name="Z_43AB44CB_B133_4B3C_9B24_AA3B4A5A58A7_.wvu.PrintArea" localSheetId="5" hidden="1">'Estado - orgânica'!$B$2:$BG$43</definedName>
    <definedName name="Z_43AB44CB_B133_4B3C_9B24_AA3B4A5A58A7_.wvu.PrintArea" localSheetId="2" hidden="1">Evolução!$B$2:$L$657</definedName>
    <definedName name="Z_43AB44CB_B133_4B3C_9B24_AA3B4A5A58A7_.wvu.PrintArea" localSheetId="1" hidden="1">Indice_index!$B$3:$C$11</definedName>
    <definedName name="Z_43AB44CB_B133_4B3C_9B24_AA3B4A5A58A7_.wvu.PrintArea" localSheetId="7" hidden="1">'SFA - orgânica'!$B$2:$BG$45</definedName>
    <definedName name="Z_43AB44CB_B133_4B3C_9B24_AA3B4A5A58A7_.wvu.PrintTitles" localSheetId="5" hidden="1">'Estado - orgânica'!$C:$C</definedName>
    <definedName name="Z_43AB44CB_B133_4B3C_9B24_AA3B4A5A58A7_.wvu.PrintTitles" localSheetId="2" hidden="1">Evolução!$2:$2</definedName>
    <definedName name="Z_43AB44CB_B133_4B3C_9B24_AA3B4A5A58A7_.wvu.PrintTitles" localSheetId="7" hidden="1">'SFA - orgânica'!$C:$C</definedName>
    <definedName name="Z_536C31F2_3B98_44EC_AFD0_C5BCDB62B873_.wvu.Cols" localSheetId="2" hidden="1">Evolução!$E:$E,Evolução!$G:$G</definedName>
    <definedName name="Z_536C31F2_3B98_44EC_AFD0_C5BCDB62B873_.wvu.Cols" localSheetId="1" hidden="1">Indice_index!$X:$Z</definedName>
    <definedName name="Z_536C31F2_3B98_44EC_AFD0_C5BCDB62B873_.wvu.PrintArea" localSheetId="5" hidden="1">'Estado - orgânica'!$B$2:$BG$43</definedName>
    <definedName name="Z_536C31F2_3B98_44EC_AFD0_C5BCDB62B873_.wvu.PrintArea" localSheetId="2" hidden="1">Evolução!$B$2:$L$657</definedName>
    <definedName name="Z_536C31F2_3B98_44EC_AFD0_C5BCDB62B873_.wvu.PrintArea" localSheetId="1" hidden="1">Indice_index!$B$3:$C$11</definedName>
    <definedName name="Z_536C31F2_3B98_44EC_AFD0_C5BCDB62B873_.wvu.PrintArea" localSheetId="7" hidden="1">'SFA - orgânica'!$B$2:$BG$45</definedName>
    <definedName name="Z_536C31F2_3B98_44EC_AFD0_C5BCDB62B873_.wvu.PrintTitles" localSheetId="5" hidden="1">'Estado - orgânica'!$C:$C</definedName>
    <definedName name="Z_536C31F2_3B98_44EC_AFD0_C5BCDB62B873_.wvu.PrintTitles" localSheetId="2" hidden="1">Evolução!$2:$2</definedName>
    <definedName name="Z_536C31F2_3B98_44EC_AFD0_C5BCDB62B873_.wvu.PrintTitles" localSheetId="7" hidden="1">'SFA - orgânica'!$C:$C</definedName>
    <definedName name="Z_60062E94_E9B0_4825_A812_182FE1DB6021_.wvu.Cols" localSheetId="5" hidden="1">'Estado - orgânica'!$V:$AQ</definedName>
    <definedName name="Z_60062E94_E9B0_4825_A812_182FE1DB6021_.wvu.Cols" localSheetId="2" hidden="1">Evolução!$E:$E,Evolução!$G:$G</definedName>
    <definedName name="Z_60062E94_E9B0_4825_A812_182FE1DB6021_.wvu.Cols" localSheetId="1" hidden="1">Indice_index!$X:$Z</definedName>
    <definedName name="Z_60062E94_E9B0_4825_A812_182FE1DB6021_.wvu.Cols" localSheetId="7" hidden="1">'SFA - orgânica'!$V:$AQ</definedName>
    <definedName name="Z_60062E94_E9B0_4825_A812_182FE1DB6021_.wvu.PrintArea" localSheetId="5" hidden="1">'Estado - orgânica'!$B$2:$BG$43</definedName>
    <definedName name="Z_60062E94_E9B0_4825_A812_182FE1DB6021_.wvu.PrintArea" localSheetId="2" hidden="1">Evolução!$B$2:$L$657</definedName>
    <definedName name="Z_60062E94_E9B0_4825_A812_182FE1DB6021_.wvu.PrintArea" localSheetId="1" hidden="1">Indice_index!$B$3:$C$11</definedName>
    <definedName name="Z_60062E94_E9B0_4825_A812_182FE1DB6021_.wvu.PrintArea" localSheetId="7" hidden="1">'SFA - orgânica'!$B$2:$BG$45</definedName>
    <definedName name="Z_60062E94_E9B0_4825_A812_182FE1DB6021_.wvu.PrintTitles" localSheetId="5" hidden="1">'Estado - orgânica'!$C:$C</definedName>
    <definedName name="Z_60062E94_E9B0_4825_A812_182FE1DB6021_.wvu.PrintTitles" localSheetId="2" hidden="1">Evolução!$2:$2</definedName>
    <definedName name="Z_60062E94_E9B0_4825_A812_182FE1DB6021_.wvu.PrintTitles" localSheetId="7" hidden="1">'SFA - orgânica'!$C:$C</definedName>
    <definedName name="Z_7C9CF15C_1C68_49F7_9700_3FAC67AFF208_.wvu.Cols" localSheetId="5" hidden="1">'Estado - orgânica'!$V:$AQ</definedName>
    <definedName name="Z_7C9CF15C_1C68_49F7_9700_3FAC67AFF208_.wvu.Cols" localSheetId="2" hidden="1">Evolução!$E:$E,Evolução!$G:$G</definedName>
    <definedName name="Z_7C9CF15C_1C68_49F7_9700_3FAC67AFF208_.wvu.Cols" localSheetId="1" hidden="1">Indice_index!$X:$Z</definedName>
    <definedName name="Z_7C9CF15C_1C68_49F7_9700_3FAC67AFF208_.wvu.Cols" localSheetId="7" hidden="1">'SFA - orgânica'!$V:$AQ</definedName>
    <definedName name="Z_7C9CF15C_1C68_49F7_9700_3FAC67AFF208_.wvu.PrintArea" localSheetId="5" hidden="1">'Estado - orgânica'!$B$2:$BG$43</definedName>
    <definedName name="Z_7C9CF15C_1C68_49F7_9700_3FAC67AFF208_.wvu.PrintArea" localSheetId="2" hidden="1">Evolução!$B$2:$L$657</definedName>
    <definedName name="Z_7C9CF15C_1C68_49F7_9700_3FAC67AFF208_.wvu.PrintArea" localSheetId="1" hidden="1">Indice_index!$B$3:$C$11</definedName>
    <definedName name="Z_7C9CF15C_1C68_49F7_9700_3FAC67AFF208_.wvu.PrintArea" localSheetId="7" hidden="1">'SFA - orgânica'!$B$2:$BG$45</definedName>
    <definedName name="Z_7C9CF15C_1C68_49F7_9700_3FAC67AFF208_.wvu.PrintTitles" localSheetId="5" hidden="1">'Estado - orgânica'!$C:$C</definedName>
    <definedName name="Z_7C9CF15C_1C68_49F7_9700_3FAC67AFF208_.wvu.PrintTitles" localSheetId="2" hidden="1">Evolução!$2:$2</definedName>
    <definedName name="Z_7C9CF15C_1C68_49F7_9700_3FAC67AFF208_.wvu.PrintTitles" localSheetId="7" hidden="1">'SFA - orgânica'!$C:$C</definedName>
    <definedName name="Z_9177A1FF_E4C8_4A1B_B90F_C92196CC7C57_.wvu.Cols" localSheetId="2" hidden="1">Evolução!$E:$E,Evolução!$G:$G</definedName>
    <definedName name="Z_9177A1FF_E4C8_4A1B_B90F_C92196CC7C57_.wvu.Cols" localSheetId="1" hidden="1">Indice_index!$X:$Z</definedName>
    <definedName name="Z_9177A1FF_E4C8_4A1B_B90F_C92196CC7C57_.wvu.PrintArea" localSheetId="5" hidden="1">'Estado - orgânica'!$B$2:$BG$43</definedName>
    <definedName name="Z_9177A1FF_E4C8_4A1B_B90F_C92196CC7C57_.wvu.PrintArea" localSheetId="2" hidden="1">Evolução!$B$2:$L$657</definedName>
    <definedName name="Z_9177A1FF_E4C8_4A1B_B90F_C92196CC7C57_.wvu.PrintArea" localSheetId="1" hidden="1">Indice_index!$B$3:$C$11</definedName>
    <definedName name="Z_9177A1FF_E4C8_4A1B_B90F_C92196CC7C57_.wvu.PrintArea" localSheetId="7" hidden="1">'SFA - orgânica'!$B$2:$BG$45</definedName>
    <definedName name="Z_9177A1FF_E4C8_4A1B_B90F_C92196CC7C57_.wvu.PrintTitles" localSheetId="5" hidden="1">'Estado - orgânica'!$C:$C</definedName>
    <definedName name="Z_9177A1FF_E4C8_4A1B_B90F_C92196CC7C57_.wvu.PrintTitles" localSheetId="2" hidden="1">Evolução!$2:$2</definedName>
    <definedName name="Z_9177A1FF_E4C8_4A1B_B90F_C92196CC7C57_.wvu.PrintTitles" localSheetId="7" hidden="1">'SFA - orgânica'!$C:$C</definedName>
    <definedName name="Z_995CCCB8_BF97_4653_A7C0_86012B807DB5_.wvu.Cols" localSheetId="5" hidden="1">'Estado - orgânica'!$V:$AQ</definedName>
    <definedName name="Z_995CCCB8_BF97_4653_A7C0_86012B807DB5_.wvu.Cols" localSheetId="2" hidden="1">Evolução!$E:$E,Evolução!$G:$G</definedName>
    <definedName name="Z_995CCCB8_BF97_4653_A7C0_86012B807DB5_.wvu.Cols" localSheetId="1" hidden="1">Indice_index!$X:$Z</definedName>
    <definedName name="Z_995CCCB8_BF97_4653_A7C0_86012B807DB5_.wvu.Cols" localSheetId="7" hidden="1">'SFA - orgânica'!$V:$AQ</definedName>
    <definedName name="Z_995CCCB8_BF97_4653_A7C0_86012B807DB5_.wvu.PrintArea" localSheetId="5" hidden="1">'Estado - orgânica'!$B$2:$BG$43</definedName>
    <definedName name="Z_995CCCB8_BF97_4653_A7C0_86012B807DB5_.wvu.PrintArea" localSheetId="2" hidden="1">Evolução!$B$2:$L$657</definedName>
    <definedName name="Z_995CCCB8_BF97_4653_A7C0_86012B807DB5_.wvu.PrintArea" localSheetId="1" hidden="1">Indice_index!$B$3:$C$11</definedName>
    <definedName name="Z_995CCCB8_BF97_4653_A7C0_86012B807DB5_.wvu.PrintArea" localSheetId="7" hidden="1">'SFA - orgânica'!$B$2:$BG$45</definedName>
    <definedName name="Z_995CCCB8_BF97_4653_A7C0_86012B807DB5_.wvu.PrintTitles" localSheetId="5" hidden="1">'Estado - orgânica'!$C:$C</definedName>
    <definedName name="Z_995CCCB8_BF97_4653_A7C0_86012B807DB5_.wvu.PrintTitles" localSheetId="2" hidden="1">Evolução!$2:$2</definedName>
    <definedName name="Z_995CCCB8_BF97_4653_A7C0_86012B807DB5_.wvu.PrintTitles" localSheetId="7" hidden="1">'SFA - orgânica'!$C:$C</definedName>
    <definedName name="Z_9C8E7FE3_A7A1_4D36_A156_3751861446D4_.wvu.Cols" localSheetId="5" hidden="1">'Estado - orgânica'!$V:$AQ</definedName>
    <definedName name="Z_9C8E7FE3_A7A1_4D36_A156_3751861446D4_.wvu.Cols" localSheetId="2" hidden="1">Evolução!$E:$E,Evolução!$G:$G</definedName>
    <definedName name="Z_9C8E7FE3_A7A1_4D36_A156_3751861446D4_.wvu.Cols" localSheetId="1" hidden="1">Indice_index!$X:$Z</definedName>
    <definedName name="Z_9C8E7FE3_A7A1_4D36_A156_3751861446D4_.wvu.Cols" localSheetId="7" hidden="1">'SFA - orgânica'!$V:$AQ</definedName>
    <definedName name="Z_9C8E7FE3_A7A1_4D36_A156_3751861446D4_.wvu.PrintArea" localSheetId="5" hidden="1">'Estado - orgânica'!$B$2:$BG$43</definedName>
    <definedName name="Z_9C8E7FE3_A7A1_4D36_A156_3751861446D4_.wvu.PrintArea" localSheetId="2" hidden="1">Evolução!$B$2:$L$657</definedName>
    <definedName name="Z_9C8E7FE3_A7A1_4D36_A156_3751861446D4_.wvu.PrintArea" localSheetId="1" hidden="1">Indice_index!$B$3:$C$11</definedName>
    <definedName name="Z_9C8E7FE3_A7A1_4D36_A156_3751861446D4_.wvu.PrintArea" localSheetId="7" hidden="1">'SFA - orgânica'!$B$2:$BG$45</definedName>
    <definedName name="Z_9C8E7FE3_A7A1_4D36_A156_3751861446D4_.wvu.PrintTitles" localSheetId="5" hidden="1">'Estado - orgânica'!$C:$C</definedName>
    <definedName name="Z_9C8E7FE3_A7A1_4D36_A156_3751861446D4_.wvu.PrintTitles" localSheetId="2" hidden="1">Evolução!$2:$2</definedName>
    <definedName name="Z_9C8E7FE3_A7A1_4D36_A156_3751861446D4_.wvu.PrintTitles" localSheetId="7" hidden="1">'SFA - orgânica'!$C:$C</definedName>
    <definedName name="Z_B22C7842_6BF9_4A1C_B06C_2AD9B9A784D4_.wvu.Cols" localSheetId="5" hidden="1">'Estado - orgânica'!$V:$AQ</definedName>
    <definedName name="Z_B22C7842_6BF9_4A1C_B06C_2AD9B9A784D4_.wvu.Cols" localSheetId="2" hidden="1">Evolução!$E:$E,Evolução!$G:$G</definedName>
    <definedName name="Z_B22C7842_6BF9_4A1C_B06C_2AD9B9A784D4_.wvu.Cols" localSheetId="1" hidden="1">Indice_index!$X:$Z</definedName>
    <definedName name="Z_B22C7842_6BF9_4A1C_B06C_2AD9B9A784D4_.wvu.Cols" localSheetId="7" hidden="1">'SFA - orgânica'!$V:$AQ</definedName>
    <definedName name="Z_B22C7842_6BF9_4A1C_B06C_2AD9B9A784D4_.wvu.PrintArea" localSheetId="5" hidden="1">'Estado - orgânica'!$B$2:$BG$43</definedName>
    <definedName name="Z_B22C7842_6BF9_4A1C_B06C_2AD9B9A784D4_.wvu.PrintArea" localSheetId="2" hidden="1">Evolução!$B$2:$L$657</definedName>
    <definedName name="Z_B22C7842_6BF9_4A1C_B06C_2AD9B9A784D4_.wvu.PrintArea" localSheetId="1" hidden="1">Indice_index!$B$3:$C$11</definedName>
    <definedName name="Z_B22C7842_6BF9_4A1C_B06C_2AD9B9A784D4_.wvu.PrintArea" localSheetId="7" hidden="1">'SFA - orgânica'!$B$2:$BG$45</definedName>
    <definedName name="Z_B22C7842_6BF9_4A1C_B06C_2AD9B9A784D4_.wvu.PrintTitles" localSheetId="5" hidden="1">'Estado - orgânica'!$C:$C</definedName>
    <definedName name="Z_B22C7842_6BF9_4A1C_B06C_2AD9B9A784D4_.wvu.PrintTitles" localSheetId="2" hidden="1">Evolução!$2:$2</definedName>
    <definedName name="Z_B22C7842_6BF9_4A1C_B06C_2AD9B9A784D4_.wvu.PrintTitles" localSheetId="7" hidden="1">'SFA - orgânica'!$C:$C</definedName>
    <definedName name="Z_C2013F6E_CF9D_4172_87F3_B954A090B414_.wvu.PrintArea" localSheetId="5" hidden="1">'Estado - orgânica'!$D$2:$U$43</definedName>
    <definedName name="Z_C2013F6E_CF9D_4172_87F3_B954A090B414_.wvu.PrintArea" localSheetId="7" hidden="1">'SFA - orgânica'!$D$2:$U$45</definedName>
    <definedName name="Z_C403553D_352C_44B6_83D8_441F3A96C5BE_.wvu.Cols" localSheetId="5" hidden="1">'Estado - orgânica'!$W:$AN</definedName>
    <definedName name="Z_C403553D_352C_44B6_83D8_441F3A96C5BE_.wvu.Cols" localSheetId="2" hidden="1">Evolução!$E:$E,Evolução!$G:$G</definedName>
    <definedName name="Z_C403553D_352C_44B6_83D8_441F3A96C5BE_.wvu.Cols" localSheetId="1" hidden="1">Indice_index!$X:$Z</definedName>
    <definedName name="Z_C403553D_352C_44B6_83D8_441F3A96C5BE_.wvu.Cols" localSheetId="7" hidden="1">'SFA - orgânica'!$W:$AN</definedName>
    <definedName name="Z_C403553D_352C_44B6_83D8_441F3A96C5BE_.wvu.PrintArea" localSheetId="5" hidden="1">'Estado - orgânica'!$B$2:$BG$43</definedName>
    <definedName name="Z_C403553D_352C_44B6_83D8_441F3A96C5BE_.wvu.PrintArea" localSheetId="2" hidden="1">Evolução!$B$2:$L$657</definedName>
    <definedName name="Z_C403553D_352C_44B6_83D8_441F3A96C5BE_.wvu.PrintArea" localSheetId="1" hidden="1">Indice_index!$B$3:$C$11,Indice_index!#REF!</definedName>
    <definedName name="Z_C403553D_352C_44B6_83D8_441F3A96C5BE_.wvu.PrintArea" localSheetId="7" hidden="1">'SFA - orgânica'!$B$2:$BG$45</definedName>
    <definedName name="Z_C403553D_352C_44B6_83D8_441F3A96C5BE_.wvu.PrintTitles" localSheetId="5" hidden="1">'Estado - orgânica'!$C:$C</definedName>
    <definedName name="Z_C403553D_352C_44B6_83D8_441F3A96C5BE_.wvu.PrintTitles" localSheetId="2" hidden="1">Evolução!$2:$2</definedName>
    <definedName name="Z_C403553D_352C_44B6_83D8_441F3A96C5BE_.wvu.PrintTitles" localSheetId="7" hidden="1">'SFA - orgânica'!$C:$C</definedName>
    <definedName name="Z_DB1D3FDB_E0D5_4FD7_BD6E_EC28675EBF68_.wvu.Cols" localSheetId="5" hidden="1">'Estado - orgânica'!$V:$AQ</definedName>
    <definedName name="Z_DB1D3FDB_E0D5_4FD7_BD6E_EC28675EBF68_.wvu.Cols" localSheetId="2" hidden="1">Evolução!$E:$E,Evolução!$G:$G</definedName>
    <definedName name="Z_DB1D3FDB_E0D5_4FD7_BD6E_EC28675EBF68_.wvu.Cols" localSheetId="1" hidden="1">Indice_index!$X:$Z</definedName>
    <definedName name="Z_DB1D3FDB_E0D5_4FD7_BD6E_EC28675EBF68_.wvu.Cols" localSheetId="7" hidden="1">'SFA - orgânica'!$V:$AQ</definedName>
    <definedName name="Z_DB1D3FDB_E0D5_4FD7_BD6E_EC28675EBF68_.wvu.PrintArea" localSheetId="5" hidden="1">'Estado - orgânica'!$B$2:$BG$43</definedName>
    <definedName name="Z_DB1D3FDB_E0D5_4FD7_BD6E_EC28675EBF68_.wvu.PrintArea" localSheetId="2" hidden="1">Evolução!$B$2:$L$657</definedName>
    <definedName name="Z_DB1D3FDB_E0D5_4FD7_BD6E_EC28675EBF68_.wvu.PrintArea" localSheetId="1" hidden="1">Indice_index!$B$3:$C$11</definedName>
    <definedName name="Z_DB1D3FDB_E0D5_4FD7_BD6E_EC28675EBF68_.wvu.PrintArea" localSheetId="7" hidden="1">'SFA - orgânica'!$B$2:$BG$45</definedName>
    <definedName name="Z_DB1D3FDB_E0D5_4FD7_BD6E_EC28675EBF68_.wvu.PrintTitles" localSheetId="5" hidden="1">'Estado - orgânica'!$C:$C</definedName>
    <definedName name="Z_DB1D3FDB_E0D5_4FD7_BD6E_EC28675EBF68_.wvu.PrintTitles" localSheetId="2" hidden="1">Evolução!$2:$2</definedName>
    <definedName name="Z_DB1D3FDB_E0D5_4FD7_BD6E_EC28675EBF68_.wvu.PrintTitles" localSheetId="7" hidden="1">'SFA - orgânica'!$C:$C</definedName>
    <definedName name="Z_E424CD16_C6CB_4435_8379_83DB8236700E_.wvu.Cols" localSheetId="5" hidden="1">'Estado - orgânica'!$W:$AN</definedName>
    <definedName name="Z_E424CD16_C6CB_4435_8379_83DB8236700E_.wvu.Cols" localSheetId="2" hidden="1">Evolução!$E:$E,Evolução!$G:$G</definedName>
    <definedName name="Z_E424CD16_C6CB_4435_8379_83DB8236700E_.wvu.Cols" localSheetId="1" hidden="1">Indice_index!$X:$Z</definedName>
    <definedName name="Z_E424CD16_C6CB_4435_8379_83DB8236700E_.wvu.Cols" localSheetId="7" hidden="1">'SFA - orgânica'!$W:$AN</definedName>
    <definedName name="Z_E424CD16_C6CB_4435_8379_83DB8236700E_.wvu.PrintArea" localSheetId="5" hidden="1">'Estado - orgânica'!$B$2:$BG$43</definedName>
    <definedName name="Z_E424CD16_C6CB_4435_8379_83DB8236700E_.wvu.PrintArea" localSheetId="2" hidden="1">Evolução!$B$2:$L$657</definedName>
    <definedName name="Z_E424CD16_C6CB_4435_8379_83DB8236700E_.wvu.PrintArea" localSheetId="1" hidden="1">Indice_index!$B$3:$C$11,Indice_index!#REF!</definedName>
    <definedName name="Z_E424CD16_C6CB_4435_8379_83DB8236700E_.wvu.PrintArea" localSheetId="7" hidden="1">'SFA - orgânica'!$B$2:$BG$45</definedName>
    <definedName name="Z_E424CD16_C6CB_4435_8379_83DB8236700E_.wvu.PrintTitles" localSheetId="5" hidden="1">'Estado - orgânica'!$C:$C</definedName>
    <definedName name="Z_E424CD16_C6CB_4435_8379_83DB8236700E_.wvu.PrintTitles" localSheetId="2" hidden="1">Evolução!$2:$2</definedName>
    <definedName name="Z_E424CD16_C6CB_4435_8379_83DB8236700E_.wvu.PrintTitles" localSheetId="7" hidden="1">'SFA - orgânica'!$C:$C</definedName>
    <definedName name="Z_E424CD16_C6CB_4435_8379_83DB8236700E_.wvu.Rows" localSheetId="1" hidden="1">Indice_index!#REF!</definedName>
    <definedName name="Z_EBA68B69_6D6E_44F8_8C51_9491A55275C5_.wvu.Cols" localSheetId="5" hidden="1">'Estado - orgânica'!$V:$AQ</definedName>
    <definedName name="Z_EBA68B69_6D6E_44F8_8C51_9491A55275C5_.wvu.Cols" localSheetId="2" hidden="1">Evolução!$E:$E,Evolução!$G:$G</definedName>
    <definedName name="Z_EBA68B69_6D6E_44F8_8C51_9491A55275C5_.wvu.Cols" localSheetId="1" hidden="1">Indice_index!$X:$Z</definedName>
    <definedName name="Z_EBA68B69_6D6E_44F8_8C51_9491A55275C5_.wvu.Cols" localSheetId="7" hidden="1">'SFA - orgânica'!$V:$AQ</definedName>
    <definedName name="Z_EBA68B69_6D6E_44F8_8C51_9491A55275C5_.wvu.PrintArea" localSheetId="5" hidden="1">'Estado - orgânica'!$B$2:$BG$43</definedName>
    <definedName name="Z_EBA68B69_6D6E_44F8_8C51_9491A55275C5_.wvu.PrintArea" localSheetId="2" hidden="1">Evolução!$B$2:$L$657</definedName>
    <definedName name="Z_EBA68B69_6D6E_44F8_8C51_9491A55275C5_.wvu.PrintArea" localSheetId="1" hidden="1">Indice_index!$B$3:$C$11</definedName>
    <definedName name="Z_EBA68B69_6D6E_44F8_8C51_9491A55275C5_.wvu.PrintArea" localSheetId="7" hidden="1">'SFA - orgânica'!$B$2:$BG$45</definedName>
    <definedName name="Z_EBA68B69_6D6E_44F8_8C51_9491A55275C5_.wvu.PrintTitles" localSheetId="5" hidden="1">'Estado - orgânica'!$C:$C</definedName>
    <definedName name="Z_EBA68B69_6D6E_44F8_8C51_9491A55275C5_.wvu.PrintTitles" localSheetId="2" hidden="1">Evolução!$2:$2</definedName>
    <definedName name="Z_EBA68B69_6D6E_44F8_8C51_9491A55275C5_.wvu.PrintTitles" localSheetId="7" hidden="1">'SFA - orgânica'!$C:$C</definedName>
  </definedNames>
  <calcPr calcId="179021" fullCalcOn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Z26" i="2" l="1"/>
  <c r="Z39" i="2"/>
  <c r="Z24" i="2"/>
  <c r="Z37" i="2"/>
  <c r="G6" i="4"/>
  <c r="G24" i="14"/>
  <c r="M24" i="14"/>
  <c r="P24" i="14"/>
  <c r="T24" i="14" s="1"/>
  <c r="C5" i="3"/>
  <c r="F6" i="4"/>
  <c r="E6" i="4"/>
  <c r="P37" i="14"/>
  <c r="M37" i="14"/>
  <c r="G37" i="14"/>
  <c r="P36" i="14"/>
  <c r="M36" i="14"/>
  <c r="G36" i="14"/>
  <c r="P23" i="14"/>
  <c r="M23" i="14"/>
  <c r="Q23" i="14" s="1"/>
  <c r="Q35" i="14"/>
  <c r="P35" i="14"/>
  <c r="M35" i="14"/>
  <c r="G35" i="14"/>
  <c r="P22" i="14"/>
  <c r="M22" i="14"/>
  <c r="C169" i="11"/>
  <c r="B169" i="11"/>
  <c r="C149" i="11"/>
  <c r="B149" i="11"/>
  <c r="C212" i="11"/>
  <c r="B212" i="11"/>
  <c r="AP10" i="3"/>
  <c r="AQ10" i="3"/>
  <c r="AR10" i="3"/>
  <c r="AS10" i="3"/>
  <c r="AT10" i="3"/>
  <c r="AU10" i="3"/>
  <c r="AV10" i="3"/>
  <c r="AW10" i="3"/>
  <c r="AX10" i="3"/>
  <c r="AY10" i="3"/>
  <c r="AZ10" i="3"/>
  <c r="BA10" i="3"/>
  <c r="BB10" i="3"/>
  <c r="BC10" i="3"/>
  <c r="BD10" i="3"/>
  <c r="BE10" i="3"/>
  <c r="BF10" i="3"/>
  <c r="AP11" i="3"/>
  <c r="AQ11" i="3"/>
  <c r="AR11" i="3"/>
  <c r="AS11" i="3"/>
  <c r="AT11" i="3"/>
  <c r="AU11" i="3"/>
  <c r="AV11" i="3"/>
  <c r="AW11" i="3"/>
  <c r="AX11" i="3"/>
  <c r="AY11" i="3"/>
  <c r="AZ11" i="3"/>
  <c r="BA11" i="3"/>
  <c r="BB11" i="3"/>
  <c r="BC11" i="3"/>
  <c r="BD11" i="3"/>
  <c r="BE11" i="3"/>
  <c r="BF11" i="3"/>
  <c r="AP12" i="3"/>
  <c r="AQ12" i="3"/>
  <c r="AR12" i="3"/>
  <c r="AS12" i="3"/>
  <c r="AT12" i="3"/>
  <c r="AU12" i="3"/>
  <c r="AV12" i="3"/>
  <c r="AW12" i="3"/>
  <c r="AX12" i="3"/>
  <c r="AY12" i="3"/>
  <c r="AZ12" i="3"/>
  <c r="BA12" i="3"/>
  <c r="BB12" i="3"/>
  <c r="BC12" i="3"/>
  <c r="BD12" i="3"/>
  <c r="BE12" i="3"/>
  <c r="BF12" i="3"/>
  <c r="Q34" i="14"/>
  <c r="G34" i="14"/>
  <c r="P33" i="14"/>
  <c r="M33" i="14"/>
  <c r="Q33" i="14"/>
  <c r="G33" i="14"/>
  <c r="P20" i="14"/>
  <c r="M20" i="14"/>
  <c r="C46" i="11"/>
  <c r="P32" i="14"/>
  <c r="M32" i="14"/>
  <c r="Q32" i="14" s="1"/>
  <c r="G32" i="14"/>
  <c r="P19" i="14"/>
  <c r="M19" i="14"/>
  <c r="P31" i="14"/>
  <c r="M31" i="14"/>
  <c r="T31" i="14" s="1"/>
  <c r="G31" i="14"/>
  <c r="P18" i="14"/>
  <c r="M18" i="14"/>
  <c r="Q31" i="14"/>
  <c r="P30" i="14"/>
  <c r="Q30" i="14" s="1"/>
  <c r="M30" i="14"/>
  <c r="G30" i="14"/>
  <c r="P17" i="14"/>
  <c r="Q17" i="14" s="1"/>
  <c r="M17" i="14"/>
  <c r="B243" i="11"/>
  <c r="B242" i="11"/>
  <c r="B214" i="11"/>
  <c r="B213" i="11"/>
  <c r="B193" i="11"/>
  <c r="B192" i="11"/>
  <c r="B90" i="11"/>
  <c r="B89" i="11"/>
  <c r="B171" i="11"/>
  <c r="B170" i="11"/>
  <c r="P29" i="14"/>
  <c r="Q29" i="14" s="1"/>
  <c r="M29" i="14"/>
  <c r="G29" i="14"/>
  <c r="P16" i="14"/>
  <c r="M16" i="14"/>
  <c r="C254" i="11"/>
  <c r="C252" i="11"/>
  <c r="B145" i="11"/>
  <c r="C145" i="11" s="1"/>
  <c r="B165" i="11"/>
  <c r="K138" i="1"/>
  <c r="J138" i="1"/>
  <c r="I138" i="1"/>
  <c r="D138" i="1"/>
  <c r="K137" i="1"/>
  <c r="J137" i="1"/>
  <c r="I137" i="1"/>
  <c r="D137" i="1"/>
  <c r="K136" i="1"/>
  <c r="J136" i="1"/>
  <c r="I136" i="1"/>
  <c r="D136" i="1"/>
  <c r="K135" i="1"/>
  <c r="J135" i="1"/>
  <c r="I135" i="1"/>
  <c r="D135" i="1"/>
  <c r="K134" i="1"/>
  <c r="J134" i="1"/>
  <c r="I134" i="1"/>
  <c r="D134" i="1"/>
  <c r="K133" i="1"/>
  <c r="J133" i="1"/>
  <c r="I133" i="1"/>
  <c r="D133" i="1"/>
  <c r="K132" i="1"/>
  <c r="J132" i="1"/>
  <c r="I132" i="1"/>
  <c r="D132" i="1"/>
  <c r="K131" i="1"/>
  <c r="J131" i="1"/>
  <c r="I131" i="1"/>
  <c r="D131" i="1"/>
  <c r="K130" i="1"/>
  <c r="J130" i="1"/>
  <c r="I130" i="1"/>
  <c r="D130" i="1"/>
  <c r="K129" i="1"/>
  <c r="J129" i="1"/>
  <c r="I129" i="1"/>
  <c r="D129" i="1"/>
  <c r="K128" i="1"/>
  <c r="J128" i="1"/>
  <c r="I128" i="1"/>
  <c r="D128" i="1"/>
  <c r="K127" i="1"/>
  <c r="J127" i="1"/>
  <c r="I127" i="1"/>
  <c r="D127" i="1"/>
  <c r="Y40" i="8"/>
  <c r="D40" i="8"/>
  <c r="Y39" i="8"/>
  <c r="D39" i="8"/>
  <c r="Y38" i="8"/>
  <c r="D38" i="8"/>
  <c r="Y37" i="8"/>
  <c r="D37" i="8"/>
  <c r="Y36" i="8"/>
  <c r="D36" i="8"/>
  <c r="Y35" i="8"/>
  <c r="D35" i="8"/>
  <c r="Y34" i="8"/>
  <c r="D34" i="8"/>
  <c r="Y33" i="8"/>
  <c r="D33" i="8"/>
  <c r="Y32" i="8"/>
  <c r="D32" i="8"/>
  <c r="Y31" i="8"/>
  <c r="D31" i="8"/>
  <c r="Y30" i="8"/>
  <c r="D30" i="8"/>
  <c r="Y29" i="8"/>
  <c r="D29" i="8"/>
  <c r="Y28" i="8"/>
  <c r="Y14" i="8"/>
  <c r="Y40" i="2"/>
  <c r="D40" i="2"/>
  <c r="Y39" i="2"/>
  <c r="D39" i="2"/>
  <c r="Y38" i="2"/>
  <c r="D38" i="2"/>
  <c r="Y37" i="2"/>
  <c r="D37" i="2"/>
  <c r="Y36" i="2"/>
  <c r="D36" i="2"/>
  <c r="Y35" i="2"/>
  <c r="D35" i="2"/>
  <c r="Y34" i="2"/>
  <c r="D34" i="2"/>
  <c r="Y33" i="2"/>
  <c r="D33" i="2"/>
  <c r="Y32" i="2"/>
  <c r="D32" i="2"/>
  <c r="Y31" i="2"/>
  <c r="D31" i="2"/>
  <c r="Y30" i="2"/>
  <c r="D30" i="2"/>
  <c r="Y29" i="2"/>
  <c r="D29" i="2"/>
  <c r="Y28" i="2"/>
  <c r="Y14" i="2"/>
  <c r="T40" i="14"/>
  <c r="D40" i="14"/>
  <c r="T39" i="14"/>
  <c r="D39" i="14"/>
  <c r="T38" i="14"/>
  <c r="D38" i="14"/>
  <c r="D37" i="14"/>
  <c r="D36" i="14"/>
  <c r="T35" i="14"/>
  <c r="D35" i="14"/>
  <c r="T34" i="14"/>
  <c r="D34" i="14"/>
  <c r="T33" i="14"/>
  <c r="D33" i="14"/>
  <c r="T32" i="14"/>
  <c r="D32" i="14"/>
  <c r="D31" i="14"/>
  <c r="T30" i="14"/>
  <c r="D30" i="14"/>
  <c r="T29" i="14"/>
  <c r="D29" i="14"/>
  <c r="T14" i="14"/>
  <c r="Q14" i="14"/>
  <c r="G14" i="14"/>
  <c r="K742" i="1"/>
  <c r="J742" i="1"/>
  <c r="I742" i="1"/>
  <c r="D742" i="1"/>
  <c r="K741" i="1"/>
  <c r="J741" i="1"/>
  <c r="I741" i="1"/>
  <c r="D741" i="1"/>
  <c r="K740" i="1"/>
  <c r="J740" i="1"/>
  <c r="I740" i="1"/>
  <c r="D740" i="1"/>
  <c r="D739" i="1"/>
  <c r="D738" i="1"/>
  <c r="D737" i="1"/>
  <c r="D736" i="1"/>
  <c r="D735" i="1"/>
  <c r="D734" i="1"/>
  <c r="D733" i="1"/>
  <c r="D732" i="1"/>
  <c r="D731" i="1"/>
  <c r="K617" i="1"/>
  <c r="J617" i="1"/>
  <c r="I617" i="1"/>
  <c r="D617" i="1"/>
  <c r="K616" i="1"/>
  <c r="J616" i="1"/>
  <c r="I616" i="1"/>
  <c r="D616" i="1"/>
  <c r="K615" i="1"/>
  <c r="J615" i="1"/>
  <c r="I615" i="1"/>
  <c r="D615" i="1"/>
  <c r="D614" i="1"/>
  <c r="D613" i="1"/>
  <c r="D612" i="1"/>
  <c r="D611" i="1"/>
  <c r="D610" i="1"/>
  <c r="D609" i="1"/>
  <c r="D608" i="1"/>
  <c r="D607" i="1"/>
  <c r="D606" i="1"/>
  <c r="K505" i="1"/>
  <c r="J505" i="1"/>
  <c r="I505" i="1"/>
  <c r="D505" i="1"/>
  <c r="K504" i="1"/>
  <c r="J504" i="1"/>
  <c r="I504" i="1"/>
  <c r="D504" i="1"/>
  <c r="K503" i="1"/>
  <c r="J503" i="1"/>
  <c r="I503" i="1"/>
  <c r="D503" i="1"/>
  <c r="K502" i="1"/>
  <c r="J502" i="1"/>
  <c r="I502" i="1"/>
  <c r="D502" i="1"/>
  <c r="K501" i="1"/>
  <c r="J501" i="1"/>
  <c r="I501" i="1"/>
  <c r="D501" i="1"/>
  <c r="K500" i="1"/>
  <c r="J500" i="1"/>
  <c r="I500" i="1"/>
  <c r="D500" i="1"/>
  <c r="K499" i="1"/>
  <c r="J499" i="1"/>
  <c r="I499" i="1"/>
  <c r="D499" i="1"/>
  <c r="K498" i="1"/>
  <c r="J498" i="1"/>
  <c r="I498" i="1"/>
  <c r="D498" i="1"/>
  <c r="K497" i="1"/>
  <c r="J497" i="1"/>
  <c r="I497" i="1"/>
  <c r="D497" i="1"/>
  <c r="K496" i="1"/>
  <c r="J496" i="1"/>
  <c r="I496" i="1"/>
  <c r="D496" i="1"/>
  <c r="K495" i="1"/>
  <c r="J495" i="1"/>
  <c r="I495" i="1"/>
  <c r="D495" i="1"/>
  <c r="K494" i="1"/>
  <c r="J494" i="1"/>
  <c r="I494" i="1"/>
  <c r="D494" i="1"/>
  <c r="K370" i="1"/>
  <c r="J370" i="1"/>
  <c r="I370" i="1"/>
  <c r="D370" i="1"/>
  <c r="K369" i="1"/>
  <c r="J369" i="1"/>
  <c r="I369" i="1"/>
  <c r="D369" i="1"/>
  <c r="K368" i="1"/>
  <c r="J368" i="1"/>
  <c r="I368" i="1"/>
  <c r="D368" i="1"/>
  <c r="K367" i="1"/>
  <c r="J367" i="1"/>
  <c r="I367" i="1"/>
  <c r="D367" i="1"/>
  <c r="K366" i="1"/>
  <c r="J366" i="1"/>
  <c r="I366" i="1"/>
  <c r="D366" i="1"/>
  <c r="K365" i="1"/>
  <c r="J365" i="1"/>
  <c r="I365" i="1"/>
  <c r="D365" i="1"/>
  <c r="K364" i="1"/>
  <c r="J364" i="1"/>
  <c r="I364" i="1"/>
  <c r="D364" i="1"/>
  <c r="K363" i="1"/>
  <c r="J363" i="1"/>
  <c r="I363" i="1"/>
  <c r="D363" i="1"/>
  <c r="K362" i="1"/>
  <c r="J362" i="1"/>
  <c r="I362" i="1"/>
  <c r="D362" i="1"/>
  <c r="K361" i="1"/>
  <c r="J361" i="1"/>
  <c r="I361" i="1"/>
  <c r="D361" i="1"/>
  <c r="K360" i="1"/>
  <c r="J360" i="1"/>
  <c r="I360" i="1"/>
  <c r="D360" i="1"/>
  <c r="K359" i="1"/>
  <c r="J359" i="1"/>
  <c r="I359" i="1"/>
  <c r="D359" i="1"/>
  <c r="K274" i="1"/>
  <c r="J274" i="1"/>
  <c r="I274" i="1"/>
  <c r="D274" i="1"/>
  <c r="K273" i="1"/>
  <c r="J273" i="1"/>
  <c r="I273" i="1"/>
  <c r="D273" i="1"/>
  <c r="K272" i="1"/>
  <c r="J272" i="1"/>
  <c r="I272" i="1"/>
  <c r="D272" i="1"/>
  <c r="K271" i="1"/>
  <c r="J271" i="1"/>
  <c r="I271" i="1"/>
  <c r="D271" i="1"/>
  <c r="K270" i="1"/>
  <c r="J270" i="1"/>
  <c r="I270" i="1"/>
  <c r="D270" i="1"/>
  <c r="K269" i="1"/>
  <c r="J269" i="1"/>
  <c r="I269" i="1"/>
  <c r="D269" i="1"/>
  <c r="K268" i="1"/>
  <c r="J268" i="1"/>
  <c r="I268" i="1"/>
  <c r="D268" i="1"/>
  <c r="K267" i="1"/>
  <c r="J267" i="1"/>
  <c r="I267" i="1"/>
  <c r="D267" i="1"/>
  <c r="K266" i="1"/>
  <c r="J266" i="1"/>
  <c r="I266" i="1"/>
  <c r="D266" i="1"/>
  <c r="K265" i="1"/>
  <c r="J265" i="1"/>
  <c r="I265" i="1"/>
  <c r="D265" i="1"/>
  <c r="K264" i="1"/>
  <c r="J264" i="1"/>
  <c r="I264" i="1"/>
  <c r="D264" i="1"/>
  <c r="K263" i="1"/>
  <c r="J263" i="1"/>
  <c r="I263" i="1"/>
  <c r="D263" i="1"/>
  <c r="C277" i="1"/>
  <c r="K277" i="1"/>
  <c r="E278" i="1"/>
  <c r="G278" i="1"/>
  <c r="I278" i="1"/>
  <c r="J278" i="1"/>
  <c r="J279" i="1"/>
  <c r="K279" i="1"/>
  <c r="E280" i="1"/>
  <c r="F280" i="1"/>
  <c r="G280" i="1"/>
  <c r="H280" i="1"/>
  <c r="I280" i="1"/>
  <c r="J280" i="1"/>
  <c r="K280" i="1"/>
  <c r="D281" i="1"/>
  <c r="I281" i="1"/>
  <c r="D282" i="1"/>
  <c r="I282" i="1"/>
  <c r="D283" i="1"/>
  <c r="I283" i="1"/>
  <c r="D284" i="1"/>
  <c r="I284" i="1"/>
  <c r="D285" i="1"/>
  <c r="D286" i="1"/>
  <c r="I286" i="1"/>
  <c r="D287" i="1"/>
  <c r="I287" i="1"/>
  <c r="AP10" i="5"/>
  <c r="AQ10" i="5"/>
  <c r="AR10" i="5"/>
  <c r="AS10" i="5"/>
  <c r="AT10" i="5"/>
  <c r="AU10" i="5"/>
  <c r="AV10" i="5"/>
  <c r="AW10" i="5"/>
  <c r="AX10" i="5"/>
  <c r="AY10" i="5"/>
  <c r="AZ10" i="5"/>
  <c r="BA10" i="5"/>
  <c r="BB10" i="5"/>
  <c r="BC10" i="5"/>
  <c r="BD10" i="5"/>
  <c r="BE10" i="5"/>
  <c r="BF10" i="5"/>
  <c r="AP11" i="5"/>
  <c r="AQ11" i="5"/>
  <c r="AR11" i="5"/>
  <c r="AS11" i="5"/>
  <c r="AT11" i="5"/>
  <c r="AU11" i="5"/>
  <c r="AV11" i="5"/>
  <c r="AW11" i="5"/>
  <c r="AX11" i="5"/>
  <c r="AY11" i="5"/>
  <c r="AZ11" i="5"/>
  <c r="BA11" i="5"/>
  <c r="BB11" i="5"/>
  <c r="BC11" i="5"/>
  <c r="BD11" i="5"/>
  <c r="BE11" i="5"/>
  <c r="BF11" i="5"/>
  <c r="AP12" i="5"/>
  <c r="AQ12" i="5"/>
  <c r="AR12" i="5"/>
  <c r="AS12" i="5"/>
  <c r="AT12" i="5"/>
  <c r="AU12" i="5"/>
  <c r="AV12" i="5"/>
  <c r="AW12" i="5"/>
  <c r="AX12" i="5"/>
  <c r="AY12" i="5"/>
  <c r="AZ12" i="5"/>
  <c r="BA12" i="5"/>
  <c r="BB12" i="5"/>
  <c r="BC12" i="5"/>
  <c r="BD12" i="5"/>
  <c r="BE12" i="5"/>
  <c r="BF12" i="5"/>
  <c r="W9" i="3"/>
  <c r="X9" i="3"/>
  <c r="Y9" i="3"/>
  <c r="Z9" i="3"/>
  <c r="AA9" i="3"/>
  <c r="AB9" i="3"/>
  <c r="AU9" i="3" s="1"/>
  <c r="AC9" i="3"/>
  <c r="AD9" i="3"/>
  <c r="AE9" i="3"/>
  <c r="AF9" i="3"/>
  <c r="AG9" i="3"/>
  <c r="AH9" i="3"/>
  <c r="AI9" i="3"/>
  <c r="AJ9" i="3"/>
  <c r="BC9" i="3" s="1"/>
  <c r="AK9" i="3"/>
  <c r="AL9" i="3"/>
  <c r="AM9" i="3"/>
  <c r="P26" i="14"/>
  <c r="T26" i="14" s="1"/>
  <c r="M26" i="14"/>
  <c r="Q26" i="14" s="1"/>
  <c r="P25" i="14"/>
  <c r="M25" i="14"/>
  <c r="B151" i="11"/>
  <c r="B150" i="11"/>
  <c r="B208" i="11"/>
  <c r="C11" i="11"/>
  <c r="Q27" i="14"/>
  <c r="Q18" i="14"/>
  <c r="Q15" i="14"/>
  <c r="G27" i="14"/>
  <c r="G26" i="14"/>
  <c r="G25" i="14"/>
  <c r="G23" i="14"/>
  <c r="G22" i="14"/>
  <c r="G21" i="14"/>
  <c r="G20" i="14"/>
  <c r="G19" i="14"/>
  <c r="G18" i="14"/>
  <c r="G17" i="14"/>
  <c r="G16" i="14"/>
  <c r="G15" i="14"/>
  <c r="G13" i="14"/>
  <c r="G12" i="14"/>
  <c r="G11" i="14"/>
  <c r="G10" i="14"/>
  <c r="G9" i="14"/>
  <c r="G8" i="14"/>
  <c r="C2" i="3"/>
  <c r="C2" i="2"/>
  <c r="C2" i="14"/>
  <c r="C9" i="4"/>
  <c r="C8" i="4"/>
  <c r="C7" i="4"/>
  <c r="G7" i="4"/>
  <c r="E7" i="4"/>
  <c r="D27" i="14"/>
  <c r="D26" i="14"/>
  <c r="D25" i="14"/>
  <c r="D24" i="14"/>
  <c r="D23" i="14"/>
  <c r="D22" i="14"/>
  <c r="D21" i="14"/>
  <c r="D20" i="14"/>
  <c r="D19" i="14"/>
  <c r="D18" i="14"/>
  <c r="D17" i="14"/>
  <c r="D16" i="14"/>
  <c r="T6" i="14"/>
  <c r="Q6" i="14"/>
  <c r="P6" i="14"/>
  <c r="O6" i="14"/>
  <c r="N6" i="14"/>
  <c r="M6" i="14"/>
  <c r="L6" i="14"/>
  <c r="K6" i="14"/>
  <c r="I6" i="14"/>
  <c r="G6" i="14"/>
  <c r="F6" i="14"/>
  <c r="E6" i="14"/>
  <c r="K5" i="14"/>
  <c r="I5" i="14"/>
  <c r="E5" i="14"/>
  <c r="T4" i="14"/>
  <c r="C11" i="4"/>
  <c r="C2" i="5"/>
  <c r="C2" i="8"/>
  <c r="C10" i="4"/>
  <c r="A226" i="11"/>
  <c r="A255" i="11" s="1"/>
  <c r="C75" i="11"/>
  <c r="C48" i="11"/>
  <c r="T27" i="14"/>
  <c r="T18" i="14"/>
  <c r="Q16" i="14"/>
  <c r="T15" i="14"/>
  <c r="M13" i="14"/>
  <c r="P13" i="14"/>
  <c r="M12" i="14"/>
  <c r="P12" i="14"/>
  <c r="M11" i="14"/>
  <c r="P11" i="14"/>
  <c r="M10" i="14"/>
  <c r="P10" i="14"/>
  <c r="M9" i="14"/>
  <c r="P9" i="14"/>
  <c r="M8" i="14"/>
  <c r="P8" i="14"/>
  <c r="C12" i="4"/>
  <c r="C88" i="11"/>
  <c r="C61" i="11"/>
  <c r="C34" i="11"/>
  <c r="E12" i="4"/>
  <c r="E9" i="4"/>
  <c r="E11" i="4"/>
  <c r="E8" i="4"/>
  <c r="E10" i="4"/>
  <c r="D9" i="3"/>
  <c r="AP9" i="3"/>
  <c r="E9" i="3"/>
  <c r="F9" i="3"/>
  <c r="G9" i="3"/>
  <c r="AS9" i="3"/>
  <c r="H9" i="3"/>
  <c r="I9" i="3"/>
  <c r="J9" i="3"/>
  <c r="K9" i="3"/>
  <c r="AW9" i="3" s="1"/>
  <c r="L9" i="3"/>
  <c r="M9" i="3"/>
  <c r="AY9" i="3"/>
  <c r="N9" i="3"/>
  <c r="O9" i="3"/>
  <c r="BA9" i="3"/>
  <c r="P9" i="3"/>
  <c r="Q9" i="3"/>
  <c r="R9" i="3"/>
  <c r="S9" i="3"/>
  <c r="BE9" i="3" s="1"/>
  <c r="T9" i="3"/>
  <c r="AP14" i="3"/>
  <c r="AQ14" i="3"/>
  <c r="AR14" i="3"/>
  <c r="AS14" i="3"/>
  <c r="AT14" i="3"/>
  <c r="AU14" i="3"/>
  <c r="AV14" i="3"/>
  <c r="AW14" i="3"/>
  <c r="AX14" i="3"/>
  <c r="AY14" i="3"/>
  <c r="AZ14" i="3"/>
  <c r="BA14" i="3"/>
  <c r="BB14" i="3"/>
  <c r="BC14" i="3"/>
  <c r="BD14" i="3"/>
  <c r="BE14" i="3"/>
  <c r="BF14" i="3"/>
  <c r="AP15" i="3"/>
  <c r="AQ15" i="3"/>
  <c r="AR15" i="3"/>
  <c r="AS15" i="3"/>
  <c r="AT15" i="3"/>
  <c r="AU15" i="3"/>
  <c r="AV15" i="3"/>
  <c r="AW15" i="3"/>
  <c r="AX15" i="3"/>
  <c r="AY15" i="3"/>
  <c r="AZ15" i="3"/>
  <c r="BA15" i="3"/>
  <c r="BB15" i="3"/>
  <c r="BC15" i="3"/>
  <c r="BD15" i="3"/>
  <c r="BE15" i="3"/>
  <c r="BF15" i="3"/>
  <c r="AP16" i="3"/>
  <c r="AQ16" i="3"/>
  <c r="AR16" i="3"/>
  <c r="AS16" i="3"/>
  <c r="AT16" i="3"/>
  <c r="AU16" i="3"/>
  <c r="AV16" i="3"/>
  <c r="AW16" i="3"/>
  <c r="AX16" i="3"/>
  <c r="AY16" i="3"/>
  <c r="AZ16" i="3"/>
  <c r="BA16" i="3"/>
  <c r="BB16" i="3"/>
  <c r="BC16" i="3"/>
  <c r="BD16" i="3"/>
  <c r="BE16" i="3"/>
  <c r="BF16" i="3"/>
  <c r="AP19" i="3"/>
  <c r="AQ19" i="3"/>
  <c r="AR19" i="3"/>
  <c r="AS19" i="3"/>
  <c r="AT19" i="3"/>
  <c r="AU19" i="3"/>
  <c r="AV19" i="3"/>
  <c r="AW19" i="3"/>
  <c r="AX19" i="3"/>
  <c r="AY19" i="3"/>
  <c r="AZ19" i="3"/>
  <c r="BA19" i="3"/>
  <c r="BB19" i="3"/>
  <c r="BC19" i="3"/>
  <c r="BD19" i="3"/>
  <c r="BE19" i="3"/>
  <c r="BF19" i="3"/>
  <c r="AP20" i="3"/>
  <c r="AQ20" i="3"/>
  <c r="AR20" i="3"/>
  <c r="AS20" i="3"/>
  <c r="AT20" i="3"/>
  <c r="AU20" i="3"/>
  <c r="AV20" i="3"/>
  <c r="AW20" i="3"/>
  <c r="AX20" i="3"/>
  <c r="AY20" i="3"/>
  <c r="AZ20" i="3"/>
  <c r="BA20" i="3"/>
  <c r="BB20" i="3"/>
  <c r="BC20" i="3"/>
  <c r="BD20" i="3"/>
  <c r="BE20" i="3"/>
  <c r="BF20" i="3"/>
  <c r="AP21" i="3"/>
  <c r="AQ21" i="3"/>
  <c r="AR21" i="3"/>
  <c r="AS21" i="3"/>
  <c r="AT21" i="3"/>
  <c r="AU21" i="3"/>
  <c r="AV21" i="3"/>
  <c r="AW21" i="3"/>
  <c r="AX21" i="3"/>
  <c r="AY21" i="3"/>
  <c r="AZ21" i="3"/>
  <c r="BA21" i="3"/>
  <c r="BB21" i="3"/>
  <c r="BC21" i="3"/>
  <c r="BD21" i="3"/>
  <c r="BE21" i="3"/>
  <c r="BF21" i="3"/>
  <c r="AP22" i="3"/>
  <c r="AQ22" i="3"/>
  <c r="AR22" i="3"/>
  <c r="AS22" i="3"/>
  <c r="AT22" i="3"/>
  <c r="AU22" i="3"/>
  <c r="AV22" i="3"/>
  <c r="AW22" i="3"/>
  <c r="AX22" i="3"/>
  <c r="AY22" i="3"/>
  <c r="AZ22" i="3"/>
  <c r="BA22" i="3"/>
  <c r="BB22" i="3"/>
  <c r="BC22" i="3"/>
  <c r="BD22" i="3"/>
  <c r="BE22" i="3"/>
  <c r="BF22" i="3"/>
  <c r="AP23" i="3"/>
  <c r="AQ23" i="3"/>
  <c r="AR23" i="3"/>
  <c r="AS23" i="3"/>
  <c r="AT23" i="3"/>
  <c r="AU23" i="3"/>
  <c r="AV23" i="3"/>
  <c r="AW23" i="3"/>
  <c r="AX23" i="3"/>
  <c r="AY23" i="3"/>
  <c r="AZ23" i="3"/>
  <c r="BA23" i="3"/>
  <c r="BB23" i="3"/>
  <c r="BC23" i="3"/>
  <c r="BD23" i="3"/>
  <c r="BE23" i="3"/>
  <c r="BF23" i="3"/>
  <c r="AP24" i="3"/>
  <c r="AQ24" i="3"/>
  <c r="AR24" i="3"/>
  <c r="AS24" i="3"/>
  <c r="AT24" i="3"/>
  <c r="AU24" i="3"/>
  <c r="AV24" i="3"/>
  <c r="AW24" i="3"/>
  <c r="AX24" i="3"/>
  <c r="AY24" i="3"/>
  <c r="AZ24" i="3"/>
  <c r="BA24" i="3"/>
  <c r="BB24" i="3"/>
  <c r="BC24" i="3"/>
  <c r="BD24" i="3"/>
  <c r="BE24" i="3"/>
  <c r="BF24" i="3"/>
  <c r="AP25" i="3"/>
  <c r="AQ25" i="3"/>
  <c r="AR25" i="3"/>
  <c r="AS25" i="3"/>
  <c r="AT25" i="3"/>
  <c r="AU25" i="3"/>
  <c r="AV25" i="3"/>
  <c r="AW25" i="3"/>
  <c r="AX25" i="3"/>
  <c r="AY25" i="3"/>
  <c r="AZ25" i="3"/>
  <c r="BA25" i="3"/>
  <c r="BB25" i="3"/>
  <c r="BC25" i="3"/>
  <c r="BD25" i="3"/>
  <c r="BE25" i="3"/>
  <c r="BF25" i="3"/>
  <c r="AP28" i="3"/>
  <c r="AQ28" i="3"/>
  <c r="AR28" i="3"/>
  <c r="AS28" i="3"/>
  <c r="AT28" i="3"/>
  <c r="AU28" i="3"/>
  <c r="AV28" i="3"/>
  <c r="AW28" i="3"/>
  <c r="AX28" i="3"/>
  <c r="AY28" i="3"/>
  <c r="AZ28" i="3"/>
  <c r="BA28" i="3"/>
  <c r="BB28" i="3"/>
  <c r="BC28" i="3"/>
  <c r="BD28" i="3"/>
  <c r="BE28" i="3"/>
  <c r="BF28" i="3"/>
  <c r="AP31" i="3"/>
  <c r="AQ31" i="3"/>
  <c r="AR31" i="3"/>
  <c r="AS31" i="3"/>
  <c r="AT31" i="3"/>
  <c r="AU31" i="3"/>
  <c r="AV31" i="3"/>
  <c r="AW31" i="3"/>
  <c r="AX31" i="3"/>
  <c r="AY31" i="3"/>
  <c r="AZ31" i="3"/>
  <c r="BA31" i="3"/>
  <c r="BB31" i="3"/>
  <c r="BC31" i="3"/>
  <c r="BD31" i="3"/>
  <c r="BE31" i="3"/>
  <c r="BF31" i="3"/>
  <c r="AP32" i="3"/>
  <c r="AQ32" i="3"/>
  <c r="AR32" i="3"/>
  <c r="AS32" i="3"/>
  <c r="AT32" i="3"/>
  <c r="AU32" i="3"/>
  <c r="AV32" i="3"/>
  <c r="AW32" i="3"/>
  <c r="AX32" i="3"/>
  <c r="AY32" i="3"/>
  <c r="AZ32" i="3"/>
  <c r="BA32" i="3"/>
  <c r="BB32" i="3"/>
  <c r="BC32" i="3"/>
  <c r="BD32" i="3"/>
  <c r="BE32" i="3"/>
  <c r="BF32" i="3"/>
  <c r="AP33" i="3"/>
  <c r="AQ33" i="3"/>
  <c r="AR33" i="3"/>
  <c r="AS33" i="3"/>
  <c r="AT33" i="3"/>
  <c r="AU33" i="3"/>
  <c r="AV33" i="3"/>
  <c r="AW33" i="3"/>
  <c r="AX33" i="3"/>
  <c r="AY33" i="3"/>
  <c r="AZ33" i="3"/>
  <c r="BA33" i="3"/>
  <c r="BB33" i="3"/>
  <c r="BC33" i="3"/>
  <c r="BD33" i="3"/>
  <c r="BE33" i="3"/>
  <c r="BF33" i="3"/>
  <c r="AP34" i="3"/>
  <c r="AQ34" i="3"/>
  <c r="AR34" i="3"/>
  <c r="AS34" i="3"/>
  <c r="AT34" i="3"/>
  <c r="AU34" i="3"/>
  <c r="AV34" i="3"/>
  <c r="AW34" i="3"/>
  <c r="AX34" i="3"/>
  <c r="AY34" i="3"/>
  <c r="AZ34" i="3"/>
  <c r="BA34" i="3"/>
  <c r="BB34" i="3"/>
  <c r="BC34" i="3"/>
  <c r="BD34" i="3"/>
  <c r="BE34" i="3"/>
  <c r="BF34" i="3"/>
  <c r="AP35" i="3"/>
  <c r="AQ35" i="3"/>
  <c r="AR35" i="3"/>
  <c r="AS35" i="3"/>
  <c r="AT35" i="3"/>
  <c r="AU35" i="3"/>
  <c r="AV35" i="3"/>
  <c r="AW35" i="3"/>
  <c r="AX35" i="3"/>
  <c r="AY35" i="3"/>
  <c r="AZ35" i="3"/>
  <c r="BA35" i="3"/>
  <c r="BB35" i="3"/>
  <c r="BC35" i="3"/>
  <c r="BD35" i="3"/>
  <c r="BE35" i="3"/>
  <c r="BF35" i="3"/>
  <c r="AP36" i="3"/>
  <c r="AQ36" i="3"/>
  <c r="AR36" i="3"/>
  <c r="AS36" i="3"/>
  <c r="AT36" i="3"/>
  <c r="AU36" i="3"/>
  <c r="AV36" i="3"/>
  <c r="AW36" i="3"/>
  <c r="AX36" i="3"/>
  <c r="AY36" i="3"/>
  <c r="AZ36" i="3"/>
  <c r="BA36" i="3"/>
  <c r="BB36" i="3"/>
  <c r="BC36" i="3"/>
  <c r="BD36" i="3"/>
  <c r="BE36" i="3"/>
  <c r="BF36" i="3"/>
  <c r="K492" i="1"/>
  <c r="J492" i="1"/>
  <c r="I492" i="1"/>
  <c r="K491" i="1"/>
  <c r="J491" i="1"/>
  <c r="I491" i="1"/>
  <c r="K490" i="1"/>
  <c r="J490" i="1"/>
  <c r="I490" i="1"/>
  <c r="K489" i="1"/>
  <c r="J489" i="1"/>
  <c r="I489" i="1"/>
  <c r="K488" i="1"/>
  <c r="J488" i="1"/>
  <c r="I488" i="1"/>
  <c r="K487" i="1"/>
  <c r="J487" i="1"/>
  <c r="I487" i="1"/>
  <c r="K486" i="1"/>
  <c r="J486" i="1"/>
  <c r="I486" i="1"/>
  <c r="K485" i="1"/>
  <c r="J485" i="1"/>
  <c r="I485" i="1"/>
  <c r="K484" i="1"/>
  <c r="J484" i="1"/>
  <c r="I484" i="1"/>
  <c r="K483" i="1"/>
  <c r="J483" i="1"/>
  <c r="I483" i="1"/>
  <c r="K482" i="1"/>
  <c r="J482" i="1"/>
  <c r="I482" i="1"/>
  <c r="K481" i="1"/>
  <c r="J481" i="1"/>
  <c r="I481" i="1"/>
  <c r="K357" i="1"/>
  <c r="J357" i="1"/>
  <c r="I357" i="1"/>
  <c r="K356" i="1"/>
  <c r="J356" i="1"/>
  <c r="I356" i="1"/>
  <c r="K355" i="1"/>
  <c r="J355" i="1"/>
  <c r="I355" i="1"/>
  <c r="K354" i="1"/>
  <c r="J354" i="1"/>
  <c r="I354" i="1"/>
  <c r="K353" i="1"/>
  <c r="J353" i="1"/>
  <c r="I353" i="1"/>
  <c r="K352" i="1"/>
  <c r="J352" i="1"/>
  <c r="I352" i="1"/>
  <c r="K351" i="1"/>
  <c r="J351" i="1"/>
  <c r="I351" i="1"/>
  <c r="K350" i="1"/>
  <c r="J350" i="1"/>
  <c r="I350" i="1"/>
  <c r="K349" i="1"/>
  <c r="J349" i="1"/>
  <c r="I349" i="1"/>
  <c r="K348" i="1"/>
  <c r="J348" i="1"/>
  <c r="I348" i="1"/>
  <c r="K347" i="1"/>
  <c r="J347" i="1"/>
  <c r="I347" i="1"/>
  <c r="K346" i="1"/>
  <c r="J346" i="1"/>
  <c r="I346" i="1"/>
  <c r="K261" i="1"/>
  <c r="J261" i="1"/>
  <c r="I261" i="1"/>
  <c r="K260" i="1"/>
  <c r="J260" i="1"/>
  <c r="I260" i="1"/>
  <c r="K259" i="1"/>
  <c r="J259" i="1"/>
  <c r="I259" i="1"/>
  <c r="K258" i="1"/>
  <c r="J258" i="1"/>
  <c r="I258" i="1"/>
  <c r="K257" i="1"/>
  <c r="J257" i="1"/>
  <c r="I257" i="1"/>
  <c r="K256" i="1"/>
  <c r="J256" i="1"/>
  <c r="I256" i="1"/>
  <c r="K255" i="1"/>
  <c r="J255" i="1"/>
  <c r="I255" i="1"/>
  <c r="K254" i="1"/>
  <c r="J254" i="1"/>
  <c r="I254" i="1"/>
  <c r="K253" i="1"/>
  <c r="J253" i="1"/>
  <c r="I253" i="1"/>
  <c r="K252" i="1"/>
  <c r="J252" i="1"/>
  <c r="I252" i="1"/>
  <c r="K251" i="1"/>
  <c r="J251" i="1"/>
  <c r="I251" i="1"/>
  <c r="K250" i="1"/>
  <c r="J250" i="1"/>
  <c r="I250" i="1"/>
  <c r="K125" i="1"/>
  <c r="J125" i="1"/>
  <c r="I125" i="1"/>
  <c r="K124" i="1"/>
  <c r="J124" i="1"/>
  <c r="I124" i="1"/>
  <c r="K123" i="1"/>
  <c r="J123" i="1"/>
  <c r="I123" i="1"/>
  <c r="K122" i="1"/>
  <c r="J122" i="1"/>
  <c r="I122" i="1"/>
  <c r="K121" i="1"/>
  <c r="J121" i="1"/>
  <c r="I121" i="1"/>
  <c r="K120" i="1"/>
  <c r="J120" i="1"/>
  <c r="I120" i="1"/>
  <c r="K119" i="1"/>
  <c r="J119" i="1"/>
  <c r="I119" i="1"/>
  <c r="K118" i="1"/>
  <c r="J118" i="1"/>
  <c r="I118" i="1"/>
  <c r="K117" i="1"/>
  <c r="J117" i="1"/>
  <c r="I117" i="1"/>
  <c r="K116" i="1"/>
  <c r="J116" i="1"/>
  <c r="I116" i="1"/>
  <c r="K115" i="1"/>
  <c r="J115" i="1"/>
  <c r="I115" i="1"/>
  <c r="K114" i="1"/>
  <c r="J114" i="1"/>
  <c r="I114" i="1"/>
  <c r="Y13" i="8"/>
  <c r="Y27" i="8"/>
  <c r="D27" i="8"/>
  <c r="Y26" i="8"/>
  <c r="D26" i="8"/>
  <c r="Y25" i="8"/>
  <c r="D25" i="8"/>
  <c r="Y24" i="8"/>
  <c r="D24" i="8"/>
  <c r="Y23" i="8"/>
  <c r="D23" i="8"/>
  <c r="Y22" i="8"/>
  <c r="D22" i="8"/>
  <c r="Y21" i="8"/>
  <c r="D21" i="8"/>
  <c r="Y20" i="8"/>
  <c r="D20" i="8"/>
  <c r="Y19" i="8"/>
  <c r="D19" i="8"/>
  <c r="Y18" i="8"/>
  <c r="D18" i="8"/>
  <c r="Y17" i="8"/>
  <c r="D17" i="8"/>
  <c r="Y16" i="8"/>
  <c r="D16" i="8"/>
  <c r="Y15" i="8"/>
  <c r="Y13" i="2"/>
  <c r="Y27" i="2"/>
  <c r="D27" i="2"/>
  <c r="Y26" i="2"/>
  <c r="D26" i="2"/>
  <c r="Y25" i="2"/>
  <c r="D25" i="2"/>
  <c r="Y24" i="2"/>
  <c r="D24" i="2"/>
  <c r="Y23" i="2"/>
  <c r="D23" i="2"/>
  <c r="Y22" i="2"/>
  <c r="D22" i="2"/>
  <c r="Y21" i="2"/>
  <c r="D21" i="2"/>
  <c r="Y20" i="2"/>
  <c r="D20" i="2"/>
  <c r="Y19" i="2"/>
  <c r="D19" i="2"/>
  <c r="Y18" i="2"/>
  <c r="D18" i="2"/>
  <c r="Y17" i="2"/>
  <c r="D17" i="2"/>
  <c r="Y16" i="2"/>
  <c r="D16" i="2"/>
  <c r="Y15" i="2"/>
  <c r="D729" i="1"/>
  <c r="D728" i="1"/>
  <c r="D727" i="1"/>
  <c r="D726" i="1"/>
  <c r="D725" i="1"/>
  <c r="D724" i="1"/>
  <c r="D723" i="1"/>
  <c r="D722" i="1"/>
  <c r="D721" i="1"/>
  <c r="D720" i="1"/>
  <c r="D719" i="1"/>
  <c r="D604" i="1"/>
  <c r="D603" i="1"/>
  <c r="D602" i="1"/>
  <c r="D601" i="1"/>
  <c r="D600" i="1"/>
  <c r="D599" i="1"/>
  <c r="D598" i="1"/>
  <c r="D597" i="1"/>
  <c r="D596" i="1"/>
  <c r="D595" i="1"/>
  <c r="D594" i="1"/>
  <c r="D492" i="1"/>
  <c r="D491" i="1"/>
  <c r="D490" i="1"/>
  <c r="D489" i="1"/>
  <c r="D488" i="1"/>
  <c r="D487" i="1"/>
  <c r="D486" i="1"/>
  <c r="D485" i="1"/>
  <c r="D484" i="1"/>
  <c r="D483" i="1"/>
  <c r="D482" i="1"/>
  <c r="D481" i="1"/>
  <c r="D357" i="1"/>
  <c r="D356" i="1"/>
  <c r="D355" i="1"/>
  <c r="D354" i="1"/>
  <c r="D353" i="1"/>
  <c r="D352" i="1"/>
  <c r="D351" i="1"/>
  <c r="D350" i="1"/>
  <c r="D349" i="1"/>
  <c r="D348" i="1"/>
  <c r="D347" i="1"/>
  <c r="D346" i="1"/>
  <c r="D261" i="1"/>
  <c r="D260" i="1"/>
  <c r="D259" i="1"/>
  <c r="D258" i="1"/>
  <c r="D257" i="1"/>
  <c r="D256" i="1"/>
  <c r="D255" i="1"/>
  <c r="D254" i="1"/>
  <c r="D253" i="1"/>
  <c r="D252" i="1"/>
  <c r="D251" i="1"/>
  <c r="D250" i="1"/>
  <c r="D125" i="1"/>
  <c r="D124" i="1"/>
  <c r="D123" i="1"/>
  <c r="D122" i="1"/>
  <c r="D121" i="1"/>
  <c r="D120" i="1"/>
  <c r="D119" i="1"/>
  <c r="D118" i="1"/>
  <c r="D117" i="1"/>
  <c r="D116" i="1"/>
  <c r="D115" i="1"/>
  <c r="D114" i="1"/>
  <c r="U40" i="5"/>
  <c r="K715" i="1"/>
  <c r="J714" i="1"/>
  <c r="K714" i="1"/>
  <c r="J715" i="1"/>
  <c r="I588" i="1"/>
  <c r="J588" i="1"/>
  <c r="K588" i="1"/>
  <c r="I712" i="1"/>
  <c r="J712" i="1"/>
  <c r="K712" i="1"/>
  <c r="J711" i="1"/>
  <c r="K711" i="1"/>
  <c r="C237" i="11"/>
  <c r="B237" i="11"/>
  <c r="I585" i="1"/>
  <c r="I584" i="1"/>
  <c r="I583" i="1"/>
  <c r="K585" i="1"/>
  <c r="J585" i="1"/>
  <c r="J584" i="1"/>
  <c r="K584" i="1"/>
  <c r="K583" i="1"/>
  <c r="J583" i="1"/>
  <c r="I709" i="1"/>
  <c r="J709" i="1"/>
  <c r="K709" i="1"/>
  <c r="I710" i="1"/>
  <c r="J710" i="1"/>
  <c r="K710" i="1"/>
  <c r="Y12" i="8"/>
  <c r="Y12" i="2"/>
  <c r="BF36" i="5"/>
  <c r="BE36" i="5"/>
  <c r="BD36" i="5"/>
  <c r="BC36" i="5"/>
  <c r="BB36" i="5"/>
  <c r="BA36" i="5"/>
  <c r="AZ36" i="5"/>
  <c r="AY36" i="5"/>
  <c r="AX36" i="5"/>
  <c r="AW36" i="5"/>
  <c r="AV36" i="5"/>
  <c r="AU36" i="5"/>
  <c r="AT36" i="5"/>
  <c r="AS36" i="5"/>
  <c r="AR36" i="5"/>
  <c r="AQ36" i="5"/>
  <c r="AP36" i="5"/>
  <c r="BF35" i="5"/>
  <c r="BE35" i="5"/>
  <c r="BD35" i="5"/>
  <c r="BC35" i="5"/>
  <c r="BB35" i="5"/>
  <c r="BA35" i="5"/>
  <c r="AZ35" i="5"/>
  <c r="AY35" i="5"/>
  <c r="AX35" i="5"/>
  <c r="AW35" i="5"/>
  <c r="AV35" i="5"/>
  <c r="AU35" i="5"/>
  <c r="AT35" i="5"/>
  <c r="AS35" i="5"/>
  <c r="AR35" i="5"/>
  <c r="AQ35" i="5"/>
  <c r="AP35" i="5"/>
  <c r="BF34" i="5"/>
  <c r="BE34" i="5"/>
  <c r="BD34" i="5"/>
  <c r="BC34" i="5"/>
  <c r="BB34" i="5"/>
  <c r="BA34" i="5"/>
  <c r="AZ34" i="5"/>
  <c r="AY34" i="5"/>
  <c r="AX34" i="5"/>
  <c r="AW34" i="5"/>
  <c r="AV34" i="5"/>
  <c r="AU34" i="5"/>
  <c r="AT34" i="5"/>
  <c r="AS34" i="5"/>
  <c r="AR34" i="5"/>
  <c r="AQ34" i="5"/>
  <c r="AP34" i="5"/>
  <c r="BF33" i="5"/>
  <c r="BE33" i="5"/>
  <c r="BD33" i="5"/>
  <c r="BC33" i="5"/>
  <c r="BB33" i="5"/>
  <c r="BA33" i="5"/>
  <c r="AZ33" i="5"/>
  <c r="AY33" i="5"/>
  <c r="AX33" i="5"/>
  <c r="AW33" i="5"/>
  <c r="AV33" i="5"/>
  <c r="AU33" i="5"/>
  <c r="AT33" i="5"/>
  <c r="AS33" i="5"/>
  <c r="AR33" i="5"/>
  <c r="AQ33" i="5"/>
  <c r="AP33" i="5"/>
  <c r="BF32" i="5"/>
  <c r="BE32" i="5"/>
  <c r="BD32" i="5"/>
  <c r="BC32" i="5"/>
  <c r="BB32" i="5"/>
  <c r="BA32" i="5"/>
  <c r="AZ32" i="5"/>
  <c r="AY32" i="5"/>
  <c r="AX32" i="5"/>
  <c r="AW32" i="5"/>
  <c r="AV32" i="5"/>
  <c r="AU32" i="5"/>
  <c r="AT32" i="5"/>
  <c r="AS32" i="5"/>
  <c r="AR32" i="5"/>
  <c r="AQ32" i="5"/>
  <c r="AP32" i="5"/>
  <c r="BF31" i="5"/>
  <c r="BE31" i="5"/>
  <c r="BD31" i="5"/>
  <c r="BC31" i="5"/>
  <c r="BB31" i="5"/>
  <c r="BA31" i="5"/>
  <c r="AZ31" i="5"/>
  <c r="AY31" i="5"/>
  <c r="AX31" i="5"/>
  <c r="AW31" i="5"/>
  <c r="AV31" i="5"/>
  <c r="AU31" i="5"/>
  <c r="AT31" i="5"/>
  <c r="AS31" i="5"/>
  <c r="AR31" i="5"/>
  <c r="AQ31" i="5"/>
  <c r="AP31" i="5"/>
  <c r="BF28" i="5"/>
  <c r="BE28" i="5"/>
  <c r="BD28" i="5"/>
  <c r="BC28" i="5"/>
  <c r="BB28" i="5"/>
  <c r="BA28" i="5"/>
  <c r="AZ28" i="5"/>
  <c r="AY28" i="5"/>
  <c r="AX28" i="5"/>
  <c r="AW28" i="5"/>
  <c r="AV28" i="5"/>
  <c r="AU28" i="5"/>
  <c r="AT28" i="5"/>
  <c r="AS28" i="5"/>
  <c r="AR28" i="5"/>
  <c r="AQ28" i="5"/>
  <c r="AP28" i="5"/>
  <c r="BF25" i="5"/>
  <c r="BE25" i="5"/>
  <c r="BD25" i="5"/>
  <c r="BC25" i="5"/>
  <c r="BB25" i="5"/>
  <c r="BA25" i="5"/>
  <c r="AZ25" i="5"/>
  <c r="AY25" i="5"/>
  <c r="AX25" i="5"/>
  <c r="AW25" i="5"/>
  <c r="AV25" i="5"/>
  <c r="AU25" i="5"/>
  <c r="AT25" i="5"/>
  <c r="AS25" i="5"/>
  <c r="AR25" i="5"/>
  <c r="AQ25" i="5"/>
  <c r="AP25" i="5"/>
  <c r="BF24" i="5"/>
  <c r="BE24" i="5"/>
  <c r="BD24" i="5"/>
  <c r="BC24" i="5"/>
  <c r="BB24" i="5"/>
  <c r="BA24" i="5"/>
  <c r="AZ24" i="5"/>
  <c r="AY24" i="5"/>
  <c r="AX24" i="5"/>
  <c r="AW24" i="5"/>
  <c r="AV24" i="5"/>
  <c r="AU24" i="5"/>
  <c r="AT24" i="5"/>
  <c r="AS24" i="5"/>
  <c r="AR24" i="5"/>
  <c r="AQ24" i="5"/>
  <c r="AP24" i="5"/>
  <c r="BF23" i="5"/>
  <c r="BE23" i="5"/>
  <c r="BD23" i="5"/>
  <c r="BC23" i="5"/>
  <c r="BB23" i="5"/>
  <c r="BA23" i="5"/>
  <c r="AZ23" i="5"/>
  <c r="AY23" i="5"/>
  <c r="AX23" i="5"/>
  <c r="AW23" i="5"/>
  <c r="AV23" i="5"/>
  <c r="AU23" i="5"/>
  <c r="AT23" i="5"/>
  <c r="AS23" i="5"/>
  <c r="AR23" i="5"/>
  <c r="AQ23" i="5"/>
  <c r="AP23" i="5"/>
  <c r="BF22" i="5"/>
  <c r="BE22" i="5"/>
  <c r="BD22" i="5"/>
  <c r="BC22" i="5"/>
  <c r="BB22" i="5"/>
  <c r="BA22" i="5"/>
  <c r="AZ22" i="5"/>
  <c r="AY22" i="5"/>
  <c r="AX22" i="5"/>
  <c r="AW22" i="5"/>
  <c r="AV22" i="5"/>
  <c r="AU22" i="5"/>
  <c r="AT22" i="5"/>
  <c r="AS22" i="5"/>
  <c r="AR22" i="5"/>
  <c r="AQ22" i="5"/>
  <c r="AP22" i="5"/>
  <c r="BF21" i="5"/>
  <c r="BE21" i="5"/>
  <c r="BD21" i="5"/>
  <c r="BC21" i="5"/>
  <c r="BB21" i="5"/>
  <c r="BA21" i="5"/>
  <c r="AZ21" i="5"/>
  <c r="AY21" i="5"/>
  <c r="AX21" i="5"/>
  <c r="AW21" i="5"/>
  <c r="AV21" i="5"/>
  <c r="AU21" i="5"/>
  <c r="AT21" i="5"/>
  <c r="AS21" i="5"/>
  <c r="AR21" i="5"/>
  <c r="AQ21" i="5"/>
  <c r="AP21" i="5"/>
  <c r="BF20" i="5"/>
  <c r="BE20" i="5"/>
  <c r="BD20" i="5"/>
  <c r="BC20" i="5"/>
  <c r="BB20" i="5"/>
  <c r="BA20" i="5"/>
  <c r="AZ20" i="5"/>
  <c r="AY20" i="5"/>
  <c r="AX20" i="5"/>
  <c r="AW20" i="5"/>
  <c r="AV20" i="5"/>
  <c r="AU20" i="5"/>
  <c r="AT20" i="5"/>
  <c r="AS20" i="5"/>
  <c r="AR20" i="5"/>
  <c r="AQ20" i="5"/>
  <c r="AP20" i="5"/>
  <c r="BF19" i="5"/>
  <c r="BE19" i="5"/>
  <c r="BD19" i="5"/>
  <c r="BC19" i="5"/>
  <c r="BB19" i="5"/>
  <c r="BA19" i="5"/>
  <c r="AZ19" i="5"/>
  <c r="AY19" i="5"/>
  <c r="AX19" i="5"/>
  <c r="AW19" i="5"/>
  <c r="AV19" i="5"/>
  <c r="AU19" i="5"/>
  <c r="AT19" i="5"/>
  <c r="AS19" i="5"/>
  <c r="AR19" i="5"/>
  <c r="AQ19" i="5"/>
  <c r="AP19" i="5"/>
  <c r="BF16" i="5"/>
  <c r="BE16" i="5"/>
  <c r="BD16" i="5"/>
  <c r="BC16" i="5"/>
  <c r="BB16" i="5"/>
  <c r="BA16" i="5"/>
  <c r="AZ16" i="5"/>
  <c r="AY16" i="5"/>
  <c r="AX16" i="5"/>
  <c r="AW16" i="5"/>
  <c r="AV16" i="5"/>
  <c r="AU16" i="5"/>
  <c r="AT16" i="5"/>
  <c r="AS16" i="5"/>
  <c r="AR16" i="5"/>
  <c r="AQ16" i="5"/>
  <c r="AP16" i="5"/>
  <c r="BF15" i="5"/>
  <c r="BE15" i="5"/>
  <c r="BD15" i="5"/>
  <c r="BC15" i="5"/>
  <c r="BB15" i="5"/>
  <c r="BA15" i="5"/>
  <c r="AZ15" i="5"/>
  <c r="AY15" i="5"/>
  <c r="AX15" i="5"/>
  <c r="AW15" i="5"/>
  <c r="AV15" i="5"/>
  <c r="AU15" i="5"/>
  <c r="AT15" i="5"/>
  <c r="AS15" i="5"/>
  <c r="AR15" i="5"/>
  <c r="AQ15" i="5"/>
  <c r="AP15" i="5"/>
  <c r="BF14" i="5"/>
  <c r="BE14" i="5"/>
  <c r="BD14" i="5"/>
  <c r="BC14" i="5"/>
  <c r="BB14" i="5"/>
  <c r="BA14" i="5"/>
  <c r="AZ14" i="5"/>
  <c r="AY14" i="5"/>
  <c r="AX14" i="5"/>
  <c r="AW14" i="5"/>
  <c r="AV14" i="5"/>
  <c r="AU14" i="5"/>
  <c r="AT14" i="5"/>
  <c r="AS14" i="5"/>
  <c r="AR14" i="5"/>
  <c r="AQ14" i="5"/>
  <c r="AP14" i="5"/>
  <c r="AN36" i="3"/>
  <c r="AN35" i="3"/>
  <c r="AN34" i="3"/>
  <c r="AN33" i="3"/>
  <c r="AN32" i="3"/>
  <c r="AN31" i="3"/>
  <c r="AM30" i="3"/>
  <c r="AM29" i="3"/>
  <c r="AL30" i="3"/>
  <c r="AL29" i="3"/>
  <c r="AK30" i="3"/>
  <c r="AK29" i="3"/>
  <c r="AJ30" i="3"/>
  <c r="AJ29" i="3"/>
  <c r="AJ27" i="3" s="1"/>
  <c r="AI30" i="3"/>
  <c r="AI29" i="3" s="1"/>
  <c r="AH30" i="3"/>
  <c r="AG30" i="3"/>
  <c r="AG29" i="3"/>
  <c r="AF30" i="3"/>
  <c r="AF29" i="3"/>
  <c r="AE30" i="3"/>
  <c r="AE29" i="3"/>
  <c r="AD30" i="3"/>
  <c r="AD29" i="3"/>
  <c r="AD27" i="3" s="1"/>
  <c r="AD38" i="3" s="1"/>
  <c r="AC30" i="3"/>
  <c r="AB30" i="3"/>
  <c r="AB29" i="3" s="1"/>
  <c r="AB27" i="3"/>
  <c r="AA30" i="3"/>
  <c r="AA29" i="3"/>
  <c r="Z30" i="3"/>
  <c r="Z29" i="3"/>
  <c r="Z27" i="3" s="1"/>
  <c r="Y30" i="3"/>
  <c r="Y29" i="3" s="1"/>
  <c r="X30" i="3"/>
  <c r="X29" i="3" s="1"/>
  <c r="X27" i="3" s="1"/>
  <c r="W30" i="3"/>
  <c r="W29" i="3"/>
  <c r="AP29" i="3" s="1"/>
  <c r="AN28" i="3"/>
  <c r="AN26" i="3"/>
  <c r="AN25" i="3"/>
  <c r="AN24" i="3"/>
  <c r="AN23" i="3"/>
  <c r="AN22" i="3"/>
  <c r="AN21" i="3"/>
  <c r="AN20" i="3"/>
  <c r="AN19" i="3"/>
  <c r="AM18" i="3"/>
  <c r="AM17" i="3" s="1"/>
  <c r="AM8" i="3" s="1"/>
  <c r="AM38" i="3" s="1"/>
  <c r="AL18" i="3"/>
  <c r="AL17" i="3" s="1"/>
  <c r="AK18" i="3"/>
  <c r="AK17" i="3" s="1"/>
  <c r="AJ18" i="3"/>
  <c r="AJ17" i="3" s="1"/>
  <c r="AI18" i="3"/>
  <c r="AI17" i="3" s="1"/>
  <c r="AI8" i="3" s="1"/>
  <c r="AI38" i="3" s="1"/>
  <c r="AH18" i="3"/>
  <c r="AG18" i="3"/>
  <c r="AG17" i="3" s="1"/>
  <c r="AF18" i="3"/>
  <c r="AE18" i="3"/>
  <c r="AE17" i="3" s="1"/>
  <c r="AD18" i="3"/>
  <c r="AD17" i="3" s="1"/>
  <c r="AC18" i="3"/>
  <c r="AC17" i="3" s="1"/>
  <c r="AV17" i="3" s="1"/>
  <c r="AB18" i="3"/>
  <c r="AB17" i="3" s="1"/>
  <c r="AA18" i="3"/>
  <c r="AA17" i="3" s="1"/>
  <c r="Z18" i="3"/>
  <c r="Z17" i="3" s="1"/>
  <c r="Y18" i="3"/>
  <c r="Y17" i="3" s="1"/>
  <c r="X18" i="3"/>
  <c r="X17" i="3" s="1"/>
  <c r="AQ17" i="3" s="1"/>
  <c r="W18" i="3"/>
  <c r="W17" i="3" s="1"/>
  <c r="AP17" i="3" s="1"/>
  <c r="AN16" i="3"/>
  <c r="BG16" i="3" s="1"/>
  <c r="AN15" i="3"/>
  <c r="AN14" i="3"/>
  <c r="AM13" i="3"/>
  <c r="AL13" i="3"/>
  <c r="AK13" i="3"/>
  <c r="AJ13" i="3"/>
  <c r="AI13" i="3"/>
  <c r="AH13" i="3"/>
  <c r="AG13" i="3"/>
  <c r="AF13" i="3"/>
  <c r="AE13" i="3"/>
  <c r="AD13" i="3"/>
  <c r="AC13" i="3"/>
  <c r="AB13" i="3"/>
  <c r="AA13" i="3"/>
  <c r="Z13" i="3"/>
  <c r="AS13" i="3" s="1"/>
  <c r="Y13" i="3"/>
  <c r="X13" i="3"/>
  <c r="W13" i="3"/>
  <c r="AN12" i="3"/>
  <c r="AN11" i="3"/>
  <c r="AN10" i="3"/>
  <c r="C211" i="11"/>
  <c r="C240" i="11" s="1"/>
  <c r="B211" i="11"/>
  <c r="B240" i="11" s="1"/>
  <c r="AN40" i="5"/>
  <c r="A224" i="11"/>
  <c r="A253" i="11"/>
  <c r="C253" i="11" s="1"/>
  <c r="C225" i="11"/>
  <c r="C223" i="11"/>
  <c r="N30" i="5"/>
  <c r="M30" i="5"/>
  <c r="M29" i="5"/>
  <c r="L30" i="5"/>
  <c r="L29" i="5"/>
  <c r="L27" i="5" s="1"/>
  <c r="K30" i="5"/>
  <c r="K29" i="5" s="1"/>
  <c r="K27" i="5" s="1"/>
  <c r="N18" i="5"/>
  <c r="N17" i="5"/>
  <c r="N8" i="5" s="1"/>
  <c r="M18" i="5"/>
  <c r="M17" i="5"/>
  <c r="L18" i="5"/>
  <c r="L17" i="5"/>
  <c r="K18" i="5"/>
  <c r="N13" i="5"/>
  <c r="M13" i="5"/>
  <c r="L13" i="5"/>
  <c r="AX13" i="5" s="1"/>
  <c r="K13" i="5"/>
  <c r="N9" i="5"/>
  <c r="M9" i="5"/>
  <c r="L9" i="5"/>
  <c r="AX9" i="5" s="1"/>
  <c r="K9" i="5"/>
  <c r="AG18" i="5"/>
  <c r="AG17" i="5" s="1"/>
  <c r="AF18" i="5"/>
  <c r="AF17" i="5" s="1"/>
  <c r="AE18" i="5"/>
  <c r="AE17" i="5" s="1"/>
  <c r="AD18" i="5"/>
  <c r="AD17" i="5" s="1"/>
  <c r="AH30" i="5"/>
  <c r="AH29" i="5" s="1"/>
  <c r="AG30" i="5"/>
  <c r="AG29" i="5" s="1"/>
  <c r="AF30" i="5"/>
  <c r="AY30" i="5" s="1"/>
  <c r="AE30" i="5"/>
  <c r="AE29" i="5" s="1"/>
  <c r="AD30" i="5"/>
  <c r="AW30" i="5" s="1"/>
  <c r="AG13" i="5"/>
  <c r="AF13" i="5"/>
  <c r="AE13" i="5"/>
  <c r="AD13" i="5"/>
  <c r="AG9" i="5"/>
  <c r="AF9" i="5"/>
  <c r="AY9" i="5"/>
  <c r="AE9" i="5"/>
  <c r="AD9" i="5"/>
  <c r="D6" i="5"/>
  <c r="W6" i="5"/>
  <c r="D18" i="3"/>
  <c r="D17" i="3"/>
  <c r="E18" i="3"/>
  <c r="E17" i="3"/>
  <c r="F18" i="3"/>
  <c r="F17" i="3"/>
  <c r="G18" i="3"/>
  <c r="G17" i="3"/>
  <c r="H18" i="3"/>
  <c r="H17" i="3"/>
  <c r="I18" i="3"/>
  <c r="I17" i="3"/>
  <c r="J18" i="3"/>
  <c r="J17" i="3"/>
  <c r="K18" i="3"/>
  <c r="K17" i="3"/>
  <c r="L18" i="3"/>
  <c r="L17" i="3"/>
  <c r="M18" i="3"/>
  <c r="M17" i="3"/>
  <c r="N18" i="3"/>
  <c r="N17" i="3"/>
  <c r="O18" i="3"/>
  <c r="P18" i="3"/>
  <c r="P17" i="3" s="1"/>
  <c r="Q18" i="3"/>
  <c r="Q17" i="3" s="1"/>
  <c r="Q8" i="3" s="1"/>
  <c r="R18" i="3"/>
  <c r="R17" i="3" s="1"/>
  <c r="S18" i="3"/>
  <c r="S17" i="3" s="1"/>
  <c r="BE17" i="3" s="1"/>
  <c r="T18" i="3"/>
  <c r="T17" i="3" s="1"/>
  <c r="T8" i="3" s="1"/>
  <c r="N30" i="3"/>
  <c r="N29" i="3" s="1"/>
  <c r="N27" i="3" s="1"/>
  <c r="M30" i="3"/>
  <c r="M29" i="3"/>
  <c r="M27" i="3" s="1"/>
  <c r="L30" i="3"/>
  <c r="L29" i="3" s="1"/>
  <c r="L27" i="3"/>
  <c r="K30" i="3"/>
  <c r="K29" i="3"/>
  <c r="K27" i="3" s="1"/>
  <c r="N13" i="3"/>
  <c r="N8" i="3" s="1"/>
  <c r="M13" i="3"/>
  <c r="L13" i="3"/>
  <c r="K13" i="3"/>
  <c r="O13" i="3"/>
  <c r="C74" i="11"/>
  <c r="C72" i="11"/>
  <c r="B30" i="11"/>
  <c r="B57" i="11"/>
  <c r="C57" i="11" s="1"/>
  <c r="C47" i="11"/>
  <c r="C45" i="11"/>
  <c r="B36" i="11"/>
  <c r="B63" i="11"/>
  <c r="B35" i="11"/>
  <c r="B62" i="11"/>
  <c r="G578" i="1"/>
  <c r="K578" i="1"/>
  <c r="E578" i="1"/>
  <c r="J578" i="1"/>
  <c r="D578" i="1"/>
  <c r="I577" i="1"/>
  <c r="G577" i="1"/>
  <c r="K577" i="1"/>
  <c r="E577" i="1"/>
  <c r="J577" i="1"/>
  <c r="D577" i="1"/>
  <c r="I576" i="1"/>
  <c r="G576" i="1"/>
  <c r="K576" i="1"/>
  <c r="E576" i="1"/>
  <c r="J576" i="1"/>
  <c r="D576" i="1"/>
  <c r="I575" i="1"/>
  <c r="G575" i="1"/>
  <c r="K575" i="1"/>
  <c r="E575" i="1"/>
  <c r="J575" i="1"/>
  <c r="D575" i="1"/>
  <c r="I574" i="1"/>
  <c r="G574" i="1"/>
  <c r="K574" i="1"/>
  <c r="E574" i="1"/>
  <c r="J574" i="1"/>
  <c r="D574" i="1"/>
  <c r="I573" i="1"/>
  <c r="G573" i="1"/>
  <c r="K573" i="1"/>
  <c r="E573" i="1"/>
  <c r="J573" i="1"/>
  <c r="D573" i="1"/>
  <c r="I572" i="1"/>
  <c r="G572" i="1"/>
  <c r="K572" i="1"/>
  <c r="E572" i="1"/>
  <c r="J572" i="1"/>
  <c r="D572" i="1"/>
  <c r="I571" i="1"/>
  <c r="G571" i="1"/>
  <c r="K571" i="1"/>
  <c r="E571" i="1"/>
  <c r="J571" i="1"/>
  <c r="D571" i="1"/>
  <c r="I570" i="1"/>
  <c r="G570" i="1"/>
  <c r="K570" i="1"/>
  <c r="E570" i="1"/>
  <c r="J570" i="1"/>
  <c r="D570" i="1"/>
  <c r="I569" i="1"/>
  <c r="G569" i="1"/>
  <c r="K569" i="1"/>
  <c r="E569" i="1"/>
  <c r="J569" i="1"/>
  <c r="D569" i="1"/>
  <c r="I568" i="1"/>
  <c r="G568" i="1"/>
  <c r="K568" i="1"/>
  <c r="E568" i="1"/>
  <c r="J568" i="1"/>
  <c r="D568" i="1"/>
  <c r="I567" i="1"/>
  <c r="G567" i="1"/>
  <c r="K567" i="1"/>
  <c r="E567" i="1"/>
  <c r="J567" i="1"/>
  <c r="D567" i="1"/>
  <c r="K466" i="1"/>
  <c r="J466" i="1"/>
  <c r="I466" i="1"/>
  <c r="D466" i="1"/>
  <c r="K465" i="1"/>
  <c r="J465" i="1"/>
  <c r="I465" i="1"/>
  <c r="D465" i="1"/>
  <c r="K464" i="1"/>
  <c r="J464" i="1"/>
  <c r="I464" i="1"/>
  <c r="D464" i="1"/>
  <c r="K463" i="1"/>
  <c r="J463" i="1"/>
  <c r="I463" i="1"/>
  <c r="D463" i="1"/>
  <c r="K462" i="1"/>
  <c r="J462" i="1"/>
  <c r="I462" i="1"/>
  <c r="D462" i="1"/>
  <c r="K461" i="1"/>
  <c r="J461" i="1"/>
  <c r="I461" i="1"/>
  <c r="D461" i="1"/>
  <c r="K460" i="1"/>
  <c r="J460" i="1"/>
  <c r="I460" i="1"/>
  <c r="D460" i="1"/>
  <c r="K459" i="1"/>
  <c r="J459" i="1"/>
  <c r="I459" i="1"/>
  <c r="D459" i="1"/>
  <c r="K458" i="1"/>
  <c r="J458" i="1"/>
  <c r="I458" i="1"/>
  <c r="D458" i="1"/>
  <c r="K457" i="1"/>
  <c r="J457" i="1"/>
  <c r="I457" i="1"/>
  <c r="D457" i="1"/>
  <c r="K456" i="1"/>
  <c r="J456" i="1"/>
  <c r="I456" i="1"/>
  <c r="D456" i="1"/>
  <c r="K455" i="1"/>
  <c r="J455" i="1"/>
  <c r="I455" i="1"/>
  <c r="D455" i="1"/>
  <c r="K331" i="1"/>
  <c r="J331" i="1"/>
  <c r="I331" i="1"/>
  <c r="D331" i="1"/>
  <c r="K330" i="1"/>
  <c r="J330" i="1"/>
  <c r="I330" i="1"/>
  <c r="D330" i="1"/>
  <c r="K329" i="1"/>
  <c r="J329" i="1"/>
  <c r="I329" i="1"/>
  <c r="D329" i="1"/>
  <c r="K328" i="1"/>
  <c r="J328" i="1"/>
  <c r="I328" i="1"/>
  <c r="D328" i="1"/>
  <c r="K327" i="1"/>
  <c r="J327" i="1"/>
  <c r="I327" i="1"/>
  <c r="D327" i="1"/>
  <c r="K326" i="1"/>
  <c r="J326" i="1"/>
  <c r="I326" i="1"/>
  <c r="D326" i="1"/>
  <c r="K325" i="1"/>
  <c r="J325" i="1"/>
  <c r="I325" i="1"/>
  <c r="D325" i="1"/>
  <c r="K324" i="1"/>
  <c r="J324" i="1"/>
  <c r="I324" i="1"/>
  <c r="D324" i="1"/>
  <c r="K323" i="1"/>
  <c r="J323" i="1"/>
  <c r="I323" i="1"/>
  <c r="D323" i="1"/>
  <c r="K322" i="1"/>
  <c r="J322" i="1"/>
  <c r="I322" i="1"/>
  <c r="D322" i="1"/>
  <c r="K321" i="1"/>
  <c r="J321" i="1"/>
  <c r="I321" i="1"/>
  <c r="D321" i="1"/>
  <c r="K320" i="1"/>
  <c r="J320" i="1"/>
  <c r="I320" i="1"/>
  <c r="D320" i="1"/>
  <c r="K235" i="1"/>
  <c r="J235" i="1"/>
  <c r="I235" i="1"/>
  <c r="D235" i="1"/>
  <c r="K234" i="1"/>
  <c r="J234" i="1"/>
  <c r="I234" i="1"/>
  <c r="D234" i="1"/>
  <c r="K233" i="1"/>
  <c r="J233" i="1"/>
  <c r="I233" i="1"/>
  <c r="D233" i="1"/>
  <c r="K232" i="1"/>
  <c r="J232" i="1"/>
  <c r="I232" i="1"/>
  <c r="D232" i="1"/>
  <c r="K231" i="1"/>
  <c r="J231" i="1"/>
  <c r="I231" i="1"/>
  <c r="D231" i="1"/>
  <c r="K230" i="1"/>
  <c r="J230" i="1"/>
  <c r="I230" i="1"/>
  <c r="D230" i="1"/>
  <c r="K229" i="1"/>
  <c r="J229" i="1"/>
  <c r="I229" i="1"/>
  <c r="D229" i="1"/>
  <c r="K228" i="1"/>
  <c r="J228" i="1"/>
  <c r="I228" i="1"/>
  <c r="D228" i="1"/>
  <c r="K227" i="1"/>
  <c r="J227" i="1"/>
  <c r="I227" i="1"/>
  <c r="D227" i="1"/>
  <c r="K226" i="1"/>
  <c r="J226" i="1"/>
  <c r="I226" i="1"/>
  <c r="D226" i="1"/>
  <c r="K225" i="1"/>
  <c r="J225" i="1"/>
  <c r="I225" i="1"/>
  <c r="D225" i="1"/>
  <c r="K224" i="1"/>
  <c r="J224" i="1"/>
  <c r="I224" i="1"/>
  <c r="D224" i="1"/>
  <c r="K99" i="1"/>
  <c r="J99" i="1"/>
  <c r="I99" i="1"/>
  <c r="D99" i="1"/>
  <c r="K98" i="1"/>
  <c r="J98" i="1"/>
  <c r="I98" i="1"/>
  <c r="D98" i="1"/>
  <c r="K97" i="1"/>
  <c r="J97" i="1"/>
  <c r="I97" i="1"/>
  <c r="D97" i="1"/>
  <c r="K96" i="1"/>
  <c r="J96" i="1"/>
  <c r="I96" i="1"/>
  <c r="D96" i="1"/>
  <c r="K95" i="1"/>
  <c r="J95" i="1"/>
  <c r="I95" i="1"/>
  <c r="D95" i="1"/>
  <c r="K94" i="1"/>
  <c r="J94" i="1"/>
  <c r="I94" i="1"/>
  <c r="D94" i="1"/>
  <c r="K93" i="1"/>
  <c r="J93" i="1"/>
  <c r="I93" i="1"/>
  <c r="D93" i="1"/>
  <c r="K92" i="1"/>
  <c r="J92" i="1"/>
  <c r="I92" i="1"/>
  <c r="D92" i="1"/>
  <c r="K91" i="1"/>
  <c r="J91" i="1"/>
  <c r="I91" i="1"/>
  <c r="D91" i="1"/>
  <c r="K90" i="1"/>
  <c r="J90" i="1"/>
  <c r="I90" i="1"/>
  <c r="D90" i="1"/>
  <c r="K89" i="1"/>
  <c r="J89" i="1"/>
  <c r="I89" i="1"/>
  <c r="D89" i="1"/>
  <c r="K88" i="1"/>
  <c r="J88" i="1"/>
  <c r="I88" i="1"/>
  <c r="D88" i="1"/>
  <c r="D101" i="1"/>
  <c r="I101" i="1"/>
  <c r="J101" i="1"/>
  <c r="K101" i="1"/>
  <c r="D102" i="1"/>
  <c r="I102" i="1"/>
  <c r="J102" i="1"/>
  <c r="K102" i="1"/>
  <c r="D103" i="1"/>
  <c r="I103" i="1"/>
  <c r="J103" i="1"/>
  <c r="K103" i="1"/>
  <c r="D104" i="1"/>
  <c r="I104" i="1"/>
  <c r="J104" i="1"/>
  <c r="K104" i="1"/>
  <c r="D105" i="1"/>
  <c r="I105" i="1"/>
  <c r="J105" i="1"/>
  <c r="K105" i="1"/>
  <c r="D106" i="1"/>
  <c r="I106" i="1"/>
  <c r="J106" i="1"/>
  <c r="K106" i="1"/>
  <c r="D107" i="1"/>
  <c r="I107" i="1"/>
  <c r="J107" i="1"/>
  <c r="K107" i="1"/>
  <c r="D108" i="1"/>
  <c r="I108" i="1"/>
  <c r="J108" i="1"/>
  <c r="K108" i="1"/>
  <c r="D109" i="1"/>
  <c r="I109" i="1"/>
  <c r="J109" i="1"/>
  <c r="K109" i="1"/>
  <c r="D110" i="1"/>
  <c r="I110" i="1"/>
  <c r="J110" i="1"/>
  <c r="K110" i="1"/>
  <c r="D111" i="1"/>
  <c r="I111" i="1"/>
  <c r="J111" i="1"/>
  <c r="K111" i="1"/>
  <c r="D112" i="1"/>
  <c r="I112" i="1"/>
  <c r="J112" i="1"/>
  <c r="K112" i="1"/>
  <c r="K703" i="1"/>
  <c r="J703" i="1"/>
  <c r="I703" i="1"/>
  <c r="D703" i="1"/>
  <c r="K702" i="1"/>
  <c r="J702" i="1"/>
  <c r="I702" i="1"/>
  <c r="D702" i="1"/>
  <c r="I701" i="1"/>
  <c r="G701" i="1"/>
  <c r="K701" i="1"/>
  <c r="E701" i="1"/>
  <c r="J701" i="1" s="1"/>
  <c r="D701" i="1"/>
  <c r="I700" i="1"/>
  <c r="G700" i="1"/>
  <c r="K700" i="1" s="1"/>
  <c r="E700" i="1"/>
  <c r="J700" i="1"/>
  <c r="D700" i="1"/>
  <c r="K699" i="1"/>
  <c r="J699" i="1"/>
  <c r="I699" i="1"/>
  <c r="D699" i="1"/>
  <c r="K698" i="1"/>
  <c r="J698" i="1"/>
  <c r="I698" i="1"/>
  <c r="D698" i="1"/>
  <c r="I697" i="1"/>
  <c r="G697" i="1"/>
  <c r="K697" i="1"/>
  <c r="E697" i="1"/>
  <c r="J697" i="1" s="1"/>
  <c r="D697" i="1"/>
  <c r="I696" i="1"/>
  <c r="G696" i="1"/>
  <c r="K696" i="1" s="1"/>
  <c r="E696" i="1"/>
  <c r="J696" i="1"/>
  <c r="D696" i="1"/>
  <c r="K695" i="1"/>
  <c r="J695" i="1"/>
  <c r="I695" i="1"/>
  <c r="D695" i="1"/>
  <c r="K694" i="1"/>
  <c r="J694" i="1"/>
  <c r="I694" i="1"/>
  <c r="D694" i="1"/>
  <c r="K693" i="1"/>
  <c r="J693" i="1"/>
  <c r="I693" i="1"/>
  <c r="D693" i="1"/>
  <c r="K692" i="1"/>
  <c r="J692" i="1"/>
  <c r="I692" i="1"/>
  <c r="D692" i="1"/>
  <c r="G12" i="4"/>
  <c r="G11" i="4"/>
  <c r="G10" i="4"/>
  <c r="G9" i="4"/>
  <c r="G8" i="4"/>
  <c r="F11" i="4"/>
  <c r="C17" i="11"/>
  <c r="C16" i="11"/>
  <c r="C73" i="11"/>
  <c r="T13" i="3"/>
  <c r="S13" i="3"/>
  <c r="R13" i="3"/>
  <c r="Q13" i="3"/>
  <c r="P13" i="3"/>
  <c r="J13" i="3"/>
  <c r="AV13" i="3" s="1"/>
  <c r="I13" i="3"/>
  <c r="H13" i="3"/>
  <c r="G13" i="3"/>
  <c r="F13" i="3"/>
  <c r="AR13" i="3" s="1"/>
  <c r="E13" i="3"/>
  <c r="D13" i="3"/>
  <c r="AN24" i="5"/>
  <c r="AN23" i="5"/>
  <c r="BG23" i="5" s="1"/>
  <c r="AN22" i="5"/>
  <c r="AN21" i="5"/>
  <c r="AN20" i="5"/>
  <c r="AN19" i="5"/>
  <c r="BG19" i="5" s="1"/>
  <c r="I246" i="1"/>
  <c r="U14" i="5"/>
  <c r="U15" i="5"/>
  <c r="U16" i="5"/>
  <c r="U14" i="3"/>
  <c r="U15" i="3"/>
  <c r="U16" i="3"/>
  <c r="U19" i="3"/>
  <c r="U20" i="3"/>
  <c r="U21" i="3"/>
  <c r="U22" i="3"/>
  <c r="G555" i="1"/>
  <c r="K555" i="1" s="1"/>
  <c r="G556" i="1"/>
  <c r="K556" i="1" s="1"/>
  <c r="G557" i="1"/>
  <c r="K557" i="1" s="1"/>
  <c r="G558" i="1"/>
  <c r="K558" i="1" s="1"/>
  <c r="G559" i="1"/>
  <c r="K559" i="1" s="1"/>
  <c r="G560" i="1"/>
  <c r="K560" i="1" s="1"/>
  <c r="G561" i="1"/>
  <c r="K561" i="1" s="1"/>
  <c r="G562" i="1"/>
  <c r="G563" i="1"/>
  <c r="K563" i="1"/>
  <c r="G564" i="1"/>
  <c r="K564" i="1" s="1"/>
  <c r="G565" i="1"/>
  <c r="K565" i="1"/>
  <c r="E565" i="1"/>
  <c r="J565" i="1" s="1"/>
  <c r="E564" i="1"/>
  <c r="J564" i="1"/>
  <c r="E563" i="1"/>
  <c r="J563" i="1" s="1"/>
  <c r="E562" i="1"/>
  <c r="J562" i="1"/>
  <c r="E561" i="1"/>
  <c r="J561" i="1" s="1"/>
  <c r="E560" i="1"/>
  <c r="J560" i="1"/>
  <c r="E559" i="1"/>
  <c r="E558" i="1"/>
  <c r="J558" i="1" s="1"/>
  <c r="E557" i="1"/>
  <c r="J557" i="1" s="1"/>
  <c r="E556" i="1"/>
  <c r="J556" i="1" s="1"/>
  <c r="E555" i="1"/>
  <c r="J555" i="1" s="1"/>
  <c r="G554" i="1"/>
  <c r="K554" i="1" s="1"/>
  <c r="E554" i="1"/>
  <c r="J554" i="1" s="1"/>
  <c r="C5" i="5"/>
  <c r="U5" i="5"/>
  <c r="AN5" i="5"/>
  <c r="AP6" i="5"/>
  <c r="C8" i="5"/>
  <c r="C9" i="5"/>
  <c r="D9" i="5"/>
  <c r="AP9" i="5" s="1"/>
  <c r="E9" i="5"/>
  <c r="F9" i="5"/>
  <c r="G9" i="5"/>
  <c r="H9" i="5"/>
  <c r="AT9" i="5" s="1"/>
  <c r="I9" i="5"/>
  <c r="J9" i="5"/>
  <c r="O9" i="5"/>
  <c r="P9" i="5"/>
  <c r="BB9" i="5" s="1"/>
  <c r="Q9" i="5"/>
  <c r="R9" i="5"/>
  <c r="S9" i="5"/>
  <c r="T9" i="5"/>
  <c r="BF9" i="5" s="1"/>
  <c r="W9" i="5"/>
  <c r="X9" i="5"/>
  <c r="Y9" i="5"/>
  <c r="Z9" i="5"/>
  <c r="AA9" i="5"/>
  <c r="AB9" i="5"/>
  <c r="AC9" i="5"/>
  <c r="AH9" i="5"/>
  <c r="BA9" i="5" s="1"/>
  <c r="AI9" i="5"/>
  <c r="AJ9" i="5"/>
  <c r="AK9" i="5"/>
  <c r="AL9" i="5"/>
  <c r="AL8" i="5" s="1"/>
  <c r="AM9" i="5"/>
  <c r="C10" i="5"/>
  <c r="U10" i="5"/>
  <c r="AN10" i="5"/>
  <c r="C11" i="5"/>
  <c r="U11" i="5"/>
  <c r="AN11" i="5"/>
  <c r="C12" i="5"/>
  <c r="U12" i="5"/>
  <c r="AN12" i="5"/>
  <c r="C13" i="5"/>
  <c r="D13" i="5"/>
  <c r="E13" i="5"/>
  <c r="F13" i="5"/>
  <c r="G13" i="5"/>
  <c r="H13" i="5"/>
  <c r="I13" i="5"/>
  <c r="J13" i="5"/>
  <c r="O13" i="5"/>
  <c r="P13" i="5"/>
  <c r="BB13" i="5" s="1"/>
  <c r="Q13" i="5"/>
  <c r="R13" i="5"/>
  <c r="S13" i="5"/>
  <c r="T13" i="5"/>
  <c r="BF13" i="5" s="1"/>
  <c r="W13" i="5"/>
  <c r="X13" i="5"/>
  <c r="Y13" i="5"/>
  <c r="Z13" i="5"/>
  <c r="AA13" i="5"/>
  <c r="AB13" i="5"/>
  <c r="AC13" i="5"/>
  <c r="AH13" i="5"/>
  <c r="BA13" i="5" s="1"/>
  <c r="AI13" i="5"/>
  <c r="AJ13" i="5"/>
  <c r="AK13" i="5"/>
  <c r="AL13" i="5"/>
  <c r="BE13" i="5" s="1"/>
  <c r="AM13" i="5"/>
  <c r="C14" i="5"/>
  <c r="AN14" i="5"/>
  <c r="C15" i="5"/>
  <c r="AN15" i="5"/>
  <c r="C16" i="5"/>
  <c r="AN16" i="5"/>
  <c r="C17" i="5"/>
  <c r="C18" i="5"/>
  <c r="D18" i="5"/>
  <c r="D17" i="5" s="1"/>
  <c r="E18" i="5"/>
  <c r="F18" i="5"/>
  <c r="F17" i="5" s="1"/>
  <c r="AR17" i="5" s="1"/>
  <c r="G18" i="5"/>
  <c r="G17" i="5" s="1"/>
  <c r="H18" i="5"/>
  <c r="H17" i="5" s="1"/>
  <c r="I18" i="5"/>
  <c r="I17" i="5" s="1"/>
  <c r="J18" i="5"/>
  <c r="J17" i="5" s="1"/>
  <c r="AV17" i="5" s="1"/>
  <c r="O18" i="5"/>
  <c r="P18" i="5"/>
  <c r="P17" i="5" s="1"/>
  <c r="Q18" i="5"/>
  <c r="Q17" i="5" s="1"/>
  <c r="R18" i="5"/>
  <c r="R17" i="5" s="1"/>
  <c r="S18" i="5"/>
  <c r="T18" i="5"/>
  <c r="T17" i="5" s="1"/>
  <c r="W18" i="5"/>
  <c r="W17" i="5" s="1"/>
  <c r="X18" i="5"/>
  <c r="Y18" i="5"/>
  <c r="Z18" i="5"/>
  <c r="Z17" i="5" s="1"/>
  <c r="AA18" i="5"/>
  <c r="AA17" i="5" s="1"/>
  <c r="AB18" i="5"/>
  <c r="AB17" i="5" s="1"/>
  <c r="AC18" i="5"/>
  <c r="AH18" i="5"/>
  <c r="AH17" i="5"/>
  <c r="AI18" i="5"/>
  <c r="AJ18" i="5"/>
  <c r="AJ17" i="5" s="1"/>
  <c r="BC17" i="5" s="1"/>
  <c r="AK18" i="5"/>
  <c r="AL18" i="5"/>
  <c r="AL17" i="5" s="1"/>
  <c r="AM18" i="5"/>
  <c r="C19" i="5"/>
  <c r="U19" i="5"/>
  <c r="C20" i="5"/>
  <c r="U20" i="5"/>
  <c r="C21" i="5"/>
  <c r="U21" i="5"/>
  <c r="C22" i="5"/>
  <c r="U22" i="5"/>
  <c r="C23" i="5"/>
  <c r="U23" i="5"/>
  <c r="C24" i="5"/>
  <c r="U24" i="5"/>
  <c r="BG24" i="5"/>
  <c r="C25" i="5"/>
  <c r="U25" i="5"/>
  <c r="AN25" i="5"/>
  <c r="C27" i="5"/>
  <c r="C28" i="5"/>
  <c r="U28" i="5"/>
  <c r="AN28" i="5"/>
  <c r="C29" i="5"/>
  <c r="C30" i="5"/>
  <c r="D30" i="5"/>
  <c r="D29" i="5" s="1"/>
  <c r="E30" i="5"/>
  <c r="E29" i="5" s="1"/>
  <c r="E27" i="5" s="1"/>
  <c r="F30" i="5"/>
  <c r="F29" i="5"/>
  <c r="G30" i="5"/>
  <c r="G29" i="5" s="1"/>
  <c r="G27" i="5" s="1"/>
  <c r="H30" i="5"/>
  <c r="H29" i="5" s="1"/>
  <c r="H27" i="5" s="1"/>
  <c r="AT27" i="5" s="1"/>
  <c r="I30" i="5"/>
  <c r="I29" i="5"/>
  <c r="J30" i="5"/>
  <c r="J29" i="5" s="1"/>
  <c r="J27" i="5" s="1"/>
  <c r="O30" i="5"/>
  <c r="P30" i="5"/>
  <c r="P29" i="5"/>
  <c r="Q30" i="5"/>
  <c r="Q29" i="5" s="1"/>
  <c r="Q27" i="5" s="1"/>
  <c r="R30" i="5"/>
  <c r="R29" i="5" s="1"/>
  <c r="S30" i="5"/>
  <c r="S29" i="5" s="1"/>
  <c r="S27" i="5" s="1"/>
  <c r="BE27" i="5" s="1"/>
  <c r="T30" i="5"/>
  <c r="T29" i="5" s="1"/>
  <c r="T27" i="5" s="1"/>
  <c r="W30" i="5"/>
  <c r="W29" i="5" s="1"/>
  <c r="X30" i="5"/>
  <c r="AQ30" i="5"/>
  <c r="Y30" i="5"/>
  <c r="Y29" i="5" s="1"/>
  <c r="Y27" i="5" s="1"/>
  <c r="Z30" i="5"/>
  <c r="AS30" i="5" s="1"/>
  <c r="AA30" i="5"/>
  <c r="AT30" i="5" s="1"/>
  <c r="AB30" i="5"/>
  <c r="AU30" i="5" s="1"/>
  <c r="AC30" i="5"/>
  <c r="AC29" i="5" s="1"/>
  <c r="AI30" i="5"/>
  <c r="AJ30" i="5"/>
  <c r="AK30" i="5"/>
  <c r="AL30" i="5"/>
  <c r="AL29" i="5"/>
  <c r="AL27" i="5" s="1"/>
  <c r="AM30" i="5"/>
  <c r="BF30" i="5" s="1"/>
  <c r="C31" i="5"/>
  <c r="U31" i="5"/>
  <c r="BG31" i="5" s="1"/>
  <c r="AN31" i="5"/>
  <c r="C32" i="5"/>
  <c r="U32" i="5"/>
  <c r="AN32" i="5"/>
  <c r="BG32" i="5" s="1"/>
  <c r="C33" i="5"/>
  <c r="U33" i="5"/>
  <c r="AN33" i="5"/>
  <c r="C34" i="5"/>
  <c r="U34" i="5"/>
  <c r="AN34" i="5"/>
  <c r="BG34" i="5"/>
  <c r="C35" i="5"/>
  <c r="U35" i="5"/>
  <c r="AN35" i="5"/>
  <c r="C36" i="5"/>
  <c r="U36" i="5"/>
  <c r="AN36" i="5"/>
  <c r="U37" i="5"/>
  <c r="AN37" i="5"/>
  <c r="C38" i="5"/>
  <c r="C39" i="5"/>
  <c r="C40" i="5"/>
  <c r="C42" i="5"/>
  <c r="U42" i="5"/>
  <c r="AN42" i="5"/>
  <c r="C43" i="5"/>
  <c r="U43" i="5"/>
  <c r="AN43" i="5"/>
  <c r="C45" i="5"/>
  <c r="U45" i="5"/>
  <c r="AN45" i="5"/>
  <c r="Y4" i="8"/>
  <c r="E5" i="8"/>
  <c r="I5" i="8"/>
  <c r="O5" i="8"/>
  <c r="U5" i="8"/>
  <c r="E6" i="8"/>
  <c r="F6" i="8"/>
  <c r="G6" i="8"/>
  <c r="I6" i="8"/>
  <c r="J6" i="8"/>
  <c r="K6" i="8"/>
  <c r="L6" i="8"/>
  <c r="M6" i="8"/>
  <c r="O6" i="8"/>
  <c r="P6" i="8"/>
  <c r="Q6" i="8"/>
  <c r="R6" i="8"/>
  <c r="S6" i="8"/>
  <c r="U6" i="8"/>
  <c r="V6" i="8"/>
  <c r="W6" i="8"/>
  <c r="Y6" i="8"/>
  <c r="Y8" i="8"/>
  <c r="Y9" i="8"/>
  <c r="Y10" i="8"/>
  <c r="Y11" i="8"/>
  <c r="U5" i="3"/>
  <c r="AN5" i="3"/>
  <c r="AP6" i="3"/>
  <c r="C8" i="3"/>
  <c r="C9" i="3"/>
  <c r="C10" i="3"/>
  <c r="U10" i="3"/>
  <c r="BG10" i="3" s="1"/>
  <c r="C11" i="3"/>
  <c r="U11" i="3"/>
  <c r="C12" i="3"/>
  <c r="U12" i="3"/>
  <c r="C13" i="3"/>
  <c r="C14" i="3"/>
  <c r="C15" i="3"/>
  <c r="C16" i="3"/>
  <c r="C17" i="3"/>
  <c r="C18" i="3"/>
  <c r="C19" i="3"/>
  <c r="C20" i="3"/>
  <c r="C21" i="3"/>
  <c r="C22" i="3"/>
  <c r="C23" i="3"/>
  <c r="U23" i="3"/>
  <c r="BG23" i="3" s="1"/>
  <c r="C24" i="3"/>
  <c r="U24" i="3"/>
  <c r="C25" i="3"/>
  <c r="U25" i="3"/>
  <c r="BG25" i="3" s="1"/>
  <c r="U26" i="3"/>
  <c r="C27" i="3"/>
  <c r="C28" i="3"/>
  <c r="U28" i="3"/>
  <c r="C29" i="3"/>
  <c r="C30" i="3"/>
  <c r="D30" i="3"/>
  <c r="D29" i="3"/>
  <c r="D27" i="3"/>
  <c r="E30" i="3"/>
  <c r="E29" i="3"/>
  <c r="F30" i="3"/>
  <c r="F29" i="3"/>
  <c r="F27" i="3" s="1"/>
  <c r="G30" i="3"/>
  <c r="G29" i="3"/>
  <c r="G27" i="3" s="1"/>
  <c r="H30" i="3"/>
  <c r="H29" i="3"/>
  <c r="H27" i="3"/>
  <c r="I30" i="3"/>
  <c r="I29" i="3" s="1"/>
  <c r="I27" i="3" s="1"/>
  <c r="J30" i="3"/>
  <c r="J29" i="3" s="1"/>
  <c r="J27" i="3" s="1"/>
  <c r="O30" i="3"/>
  <c r="O29" i="3"/>
  <c r="O27" i="3"/>
  <c r="P30" i="3"/>
  <c r="P29" i="3"/>
  <c r="P27" i="3"/>
  <c r="Q30" i="3"/>
  <c r="Q29" i="3" s="1"/>
  <c r="BC29" i="3" s="1"/>
  <c r="R30" i="3"/>
  <c r="R29" i="3"/>
  <c r="R27" i="3" s="1"/>
  <c r="S30" i="3"/>
  <c r="S29" i="3"/>
  <c r="S27" i="3"/>
  <c r="T30" i="3"/>
  <c r="T29" i="3" s="1"/>
  <c r="T27" i="3" s="1"/>
  <c r="C31" i="3"/>
  <c r="U31" i="3"/>
  <c r="BG31" i="3" s="1"/>
  <c r="C32" i="3"/>
  <c r="U32" i="3"/>
  <c r="C33" i="3"/>
  <c r="U33" i="3"/>
  <c r="BG33" i="3" s="1"/>
  <c r="C34" i="3"/>
  <c r="U34" i="3"/>
  <c r="C35" i="3"/>
  <c r="U35" i="3"/>
  <c r="BG35" i="3" s="1"/>
  <c r="C36" i="3"/>
  <c r="U36" i="3"/>
  <c r="C38" i="3"/>
  <c r="C39" i="3"/>
  <c r="C40" i="3"/>
  <c r="U40" i="3"/>
  <c r="AN40" i="3"/>
  <c r="C41" i="3"/>
  <c r="U41" i="3"/>
  <c r="AN41" i="3"/>
  <c r="C42" i="3"/>
  <c r="U42" i="3"/>
  <c r="AN42" i="3"/>
  <c r="Y4" i="2"/>
  <c r="E5" i="2"/>
  <c r="I5" i="2"/>
  <c r="O5" i="2"/>
  <c r="U5" i="2"/>
  <c r="E6" i="2"/>
  <c r="F6" i="2"/>
  <c r="G6" i="2"/>
  <c r="I6" i="2"/>
  <c r="J6" i="2"/>
  <c r="K6" i="2"/>
  <c r="L6" i="2"/>
  <c r="M6" i="2"/>
  <c r="O6" i="2"/>
  <c r="P6" i="2"/>
  <c r="Q6" i="2"/>
  <c r="R6" i="2"/>
  <c r="S6" i="2"/>
  <c r="U6" i="2"/>
  <c r="V6" i="2"/>
  <c r="W6" i="2"/>
  <c r="Y6" i="2"/>
  <c r="Y8" i="2"/>
  <c r="Y9" i="2"/>
  <c r="Y10" i="2"/>
  <c r="Y11" i="2"/>
  <c r="C2" i="1"/>
  <c r="C4" i="1"/>
  <c r="C6" i="1"/>
  <c r="K6" i="1"/>
  <c r="E7" i="1"/>
  <c r="G7" i="1"/>
  <c r="I7" i="1"/>
  <c r="J7" i="1"/>
  <c r="J8" i="1"/>
  <c r="K8" i="1"/>
  <c r="E9" i="1"/>
  <c r="F9" i="1"/>
  <c r="G9" i="1"/>
  <c r="H9" i="1"/>
  <c r="I9" i="1"/>
  <c r="J9" i="1"/>
  <c r="K9" i="1"/>
  <c r="D10" i="1"/>
  <c r="I10" i="1"/>
  <c r="J10" i="1"/>
  <c r="K10" i="1"/>
  <c r="D11" i="1"/>
  <c r="I11" i="1"/>
  <c r="J11" i="1"/>
  <c r="K11" i="1"/>
  <c r="D12" i="1"/>
  <c r="I12" i="1"/>
  <c r="J12" i="1"/>
  <c r="K12" i="1"/>
  <c r="D13" i="1"/>
  <c r="I13" i="1"/>
  <c r="J13" i="1"/>
  <c r="K13" i="1"/>
  <c r="D14" i="1"/>
  <c r="I14" i="1"/>
  <c r="J14" i="1"/>
  <c r="K14" i="1"/>
  <c r="D15" i="1"/>
  <c r="I15" i="1"/>
  <c r="J15" i="1"/>
  <c r="K15" i="1"/>
  <c r="D16" i="1"/>
  <c r="I16" i="1"/>
  <c r="J16" i="1"/>
  <c r="K16" i="1"/>
  <c r="D17" i="1"/>
  <c r="I17" i="1"/>
  <c r="J17" i="1"/>
  <c r="K17" i="1"/>
  <c r="D18" i="1"/>
  <c r="I18" i="1"/>
  <c r="J18" i="1"/>
  <c r="K18" i="1"/>
  <c r="D19" i="1"/>
  <c r="I19" i="1"/>
  <c r="J19" i="1"/>
  <c r="K19" i="1"/>
  <c r="D20" i="1"/>
  <c r="I20" i="1"/>
  <c r="J20" i="1"/>
  <c r="K20" i="1"/>
  <c r="D21" i="1"/>
  <c r="I21" i="1"/>
  <c r="J21" i="1"/>
  <c r="K21" i="1"/>
  <c r="D23" i="1"/>
  <c r="I23" i="1"/>
  <c r="J23" i="1"/>
  <c r="K23" i="1"/>
  <c r="D24" i="1"/>
  <c r="I24" i="1"/>
  <c r="J24" i="1"/>
  <c r="K24" i="1"/>
  <c r="D25" i="1"/>
  <c r="I25" i="1"/>
  <c r="J25" i="1"/>
  <c r="K25" i="1"/>
  <c r="D26" i="1"/>
  <c r="I26" i="1"/>
  <c r="J26" i="1"/>
  <c r="K26" i="1"/>
  <c r="D27" i="1"/>
  <c r="I27" i="1"/>
  <c r="J27" i="1"/>
  <c r="K27" i="1"/>
  <c r="D28" i="1"/>
  <c r="I28" i="1"/>
  <c r="J28" i="1"/>
  <c r="K28" i="1"/>
  <c r="D29" i="1"/>
  <c r="I29" i="1"/>
  <c r="J29" i="1"/>
  <c r="K29" i="1"/>
  <c r="D30" i="1"/>
  <c r="I30" i="1"/>
  <c r="J30" i="1"/>
  <c r="K30" i="1"/>
  <c r="D31" i="1"/>
  <c r="I31" i="1"/>
  <c r="J31" i="1"/>
  <c r="K31" i="1"/>
  <c r="D32" i="1"/>
  <c r="I32" i="1"/>
  <c r="J32" i="1"/>
  <c r="K32" i="1"/>
  <c r="D33" i="1"/>
  <c r="I33" i="1"/>
  <c r="J33" i="1"/>
  <c r="K33" i="1"/>
  <c r="D34" i="1"/>
  <c r="I34" i="1"/>
  <c r="J34" i="1"/>
  <c r="K34" i="1"/>
  <c r="D36" i="1"/>
  <c r="I36" i="1"/>
  <c r="J36" i="1"/>
  <c r="K36" i="1"/>
  <c r="D37" i="1"/>
  <c r="I37" i="1"/>
  <c r="J37" i="1"/>
  <c r="K37" i="1"/>
  <c r="D38" i="1"/>
  <c r="I38" i="1"/>
  <c r="J38" i="1"/>
  <c r="K38" i="1"/>
  <c r="D39" i="1"/>
  <c r="I39" i="1"/>
  <c r="J39" i="1"/>
  <c r="K39" i="1"/>
  <c r="D40" i="1"/>
  <c r="I40" i="1"/>
  <c r="J40" i="1"/>
  <c r="K40" i="1"/>
  <c r="D41" i="1"/>
  <c r="I41" i="1"/>
  <c r="J41" i="1"/>
  <c r="K41" i="1"/>
  <c r="D42" i="1"/>
  <c r="I42" i="1"/>
  <c r="J42" i="1"/>
  <c r="K42" i="1"/>
  <c r="D43" i="1"/>
  <c r="I43" i="1"/>
  <c r="J43" i="1"/>
  <c r="K43" i="1"/>
  <c r="D44" i="1"/>
  <c r="I44" i="1"/>
  <c r="J44" i="1"/>
  <c r="K44" i="1"/>
  <c r="D45" i="1"/>
  <c r="I45" i="1"/>
  <c r="J45" i="1"/>
  <c r="K45" i="1"/>
  <c r="D46" i="1"/>
  <c r="I46" i="1"/>
  <c r="J46" i="1"/>
  <c r="K46" i="1"/>
  <c r="D47" i="1"/>
  <c r="I47" i="1"/>
  <c r="J47" i="1"/>
  <c r="K47" i="1"/>
  <c r="D49" i="1"/>
  <c r="I49" i="1"/>
  <c r="J49" i="1"/>
  <c r="K49" i="1"/>
  <c r="D50" i="1"/>
  <c r="I50" i="1"/>
  <c r="J50" i="1"/>
  <c r="K50" i="1"/>
  <c r="D51" i="1"/>
  <c r="I51" i="1"/>
  <c r="J51" i="1"/>
  <c r="K51" i="1"/>
  <c r="D52" i="1"/>
  <c r="I52" i="1"/>
  <c r="J52" i="1"/>
  <c r="K52" i="1"/>
  <c r="D53" i="1"/>
  <c r="I53" i="1"/>
  <c r="J53" i="1"/>
  <c r="K53" i="1"/>
  <c r="D54" i="1"/>
  <c r="I54" i="1"/>
  <c r="J54" i="1"/>
  <c r="K54" i="1"/>
  <c r="D55" i="1"/>
  <c r="I55" i="1"/>
  <c r="J55" i="1"/>
  <c r="K55" i="1"/>
  <c r="D56" i="1"/>
  <c r="I56" i="1"/>
  <c r="J56" i="1"/>
  <c r="K56" i="1"/>
  <c r="D57" i="1"/>
  <c r="I57" i="1"/>
  <c r="J57" i="1"/>
  <c r="K57" i="1"/>
  <c r="D58" i="1"/>
  <c r="I58" i="1"/>
  <c r="J58" i="1"/>
  <c r="K58" i="1"/>
  <c r="D59" i="1"/>
  <c r="I59" i="1"/>
  <c r="J59" i="1"/>
  <c r="K59" i="1"/>
  <c r="D60" i="1"/>
  <c r="I60" i="1"/>
  <c r="J60" i="1"/>
  <c r="K60" i="1"/>
  <c r="D62" i="1"/>
  <c r="I62" i="1"/>
  <c r="J62" i="1"/>
  <c r="K62" i="1"/>
  <c r="D63" i="1"/>
  <c r="I63" i="1"/>
  <c r="J63" i="1"/>
  <c r="K63" i="1"/>
  <c r="D64" i="1"/>
  <c r="I64" i="1"/>
  <c r="J64" i="1"/>
  <c r="K64" i="1"/>
  <c r="D65" i="1"/>
  <c r="I65" i="1"/>
  <c r="J65" i="1"/>
  <c r="K65" i="1"/>
  <c r="D66" i="1"/>
  <c r="I66" i="1"/>
  <c r="J66" i="1"/>
  <c r="K66" i="1"/>
  <c r="D67" i="1"/>
  <c r="I67" i="1"/>
  <c r="J67" i="1"/>
  <c r="K67" i="1"/>
  <c r="D68" i="1"/>
  <c r="I68" i="1"/>
  <c r="J68" i="1"/>
  <c r="K68" i="1"/>
  <c r="D69" i="1"/>
  <c r="I69" i="1"/>
  <c r="J69" i="1"/>
  <c r="K69" i="1"/>
  <c r="D70" i="1"/>
  <c r="I70" i="1"/>
  <c r="J70" i="1"/>
  <c r="K70" i="1"/>
  <c r="D71" i="1"/>
  <c r="I71" i="1"/>
  <c r="J71" i="1"/>
  <c r="K71" i="1"/>
  <c r="D72" i="1"/>
  <c r="I72" i="1"/>
  <c r="J72" i="1"/>
  <c r="K72" i="1"/>
  <c r="D73" i="1"/>
  <c r="I73" i="1"/>
  <c r="J73" i="1"/>
  <c r="K73" i="1"/>
  <c r="D75" i="1"/>
  <c r="I75" i="1"/>
  <c r="J75" i="1"/>
  <c r="K75" i="1"/>
  <c r="D76" i="1"/>
  <c r="I76" i="1"/>
  <c r="J76" i="1"/>
  <c r="K76" i="1"/>
  <c r="D77" i="1"/>
  <c r="I77" i="1"/>
  <c r="J77" i="1"/>
  <c r="K77" i="1"/>
  <c r="D78" i="1"/>
  <c r="I78" i="1"/>
  <c r="J78" i="1"/>
  <c r="K78" i="1"/>
  <c r="D79" i="1"/>
  <c r="I79" i="1"/>
  <c r="J79" i="1"/>
  <c r="K79" i="1"/>
  <c r="D80" i="1"/>
  <c r="I80" i="1"/>
  <c r="J80" i="1"/>
  <c r="K80" i="1"/>
  <c r="D81" i="1"/>
  <c r="I81" i="1"/>
  <c r="J81" i="1"/>
  <c r="K81" i="1"/>
  <c r="D82" i="1"/>
  <c r="I82" i="1"/>
  <c r="J82" i="1"/>
  <c r="K82" i="1"/>
  <c r="D83" i="1"/>
  <c r="I83" i="1"/>
  <c r="J83" i="1"/>
  <c r="K83" i="1"/>
  <c r="D84" i="1"/>
  <c r="I84" i="1"/>
  <c r="J84" i="1"/>
  <c r="K84" i="1"/>
  <c r="D85" i="1"/>
  <c r="I85" i="1"/>
  <c r="J85" i="1"/>
  <c r="K85" i="1"/>
  <c r="D86" i="1"/>
  <c r="I86" i="1"/>
  <c r="J86" i="1"/>
  <c r="K86" i="1"/>
  <c r="C142" i="1"/>
  <c r="K142" i="1"/>
  <c r="E143" i="1"/>
  <c r="G143" i="1"/>
  <c r="I143" i="1"/>
  <c r="J143" i="1"/>
  <c r="J144" i="1"/>
  <c r="K144" i="1"/>
  <c r="E145" i="1"/>
  <c r="F145" i="1"/>
  <c r="G145" i="1"/>
  <c r="H145" i="1"/>
  <c r="I145" i="1"/>
  <c r="J145" i="1"/>
  <c r="K145" i="1"/>
  <c r="D146" i="1"/>
  <c r="I146" i="1"/>
  <c r="J146" i="1"/>
  <c r="K146" i="1"/>
  <c r="D147" i="1"/>
  <c r="I147" i="1"/>
  <c r="J147" i="1"/>
  <c r="K147" i="1"/>
  <c r="D148" i="1"/>
  <c r="I148" i="1"/>
  <c r="J148" i="1"/>
  <c r="K148" i="1"/>
  <c r="D149" i="1"/>
  <c r="I149" i="1"/>
  <c r="J149" i="1"/>
  <c r="K149" i="1"/>
  <c r="D150" i="1"/>
  <c r="I150" i="1"/>
  <c r="J150" i="1"/>
  <c r="K150" i="1"/>
  <c r="D151" i="1"/>
  <c r="I151" i="1"/>
  <c r="J151" i="1"/>
  <c r="K151" i="1"/>
  <c r="D152" i="1"/>
  <c r="I152" i="1"/>
  <c r="J152" i="1"/>
  <c r="K152" i="1"/>
  <c r="D153" i="1"/>
  <c r="I153" i="1"/>
  <c r="J153" i="1"/>
  <c r="K153" i="1"/>
  <c r="D154" i="1"/>
  <c r="I154" i="1"/>
  <c r="J154" i="1"/>
  <c r="K154" i="1"/>
  <c r="D155" i="1"/>
  <c r="I155" i="1"/>
  <c r="J155" i="1"/>
  <c r="K155" i="1"/>
  <c r="D156" i="1"/>
  <c r="I156" i="1"/>
  <c r="J156" i="1"/>
  <c r="K156" i="1"/>
  <c r="D157" i="1"/>
  <c r="I157" i="1"/>
  <c r="J157" i="1"/>
  <c r="K157" i="1"/>
  <c r="D159" i="1"/>
  <c r="I159" i="1"/>
  <c r="J159" i="1"/>
  <c r="K159" i="1"/>
  <c r="D160" i="1"/>
  <c r="I160" i="1"/>
  <c r="J160" i="1"/>
  <c r="K160" i="1"/>
  <c r="D161" i="1"/>
  <c r="I161" i="1"/>
  <c r="J161" i="1"/>
  <c r="K161" i="1"/>
  <c r="D162" i="1"/>
  <c r="I162" i="1"/>
  <c r="J162" i="1"/>
  <c r="K162" i="1"/>
  <c r="D163" i="1"/>
  <c r="I163" i="1"/>
  <c r="J163" i="1"/>
  <c r="K163" i="1"/>
  <c r="D164" i="1"/>
  <c r="I164" i="1"/>
  <c r="J164" i="1"/>
  <c r="K164" i="1"/>
  <c r="D165" i="1"/>
  <c r="I165" i="1"/>
  <c r="J165" i="1"/>
  <c r="K165" i="1"/>
  <c r="D166" i="1"/>
  <c r="I166" i="1"/>
  <c r="J166" i="1"/>
  <c r="K166" i="1"/>
  <c r="D167" i="1"/>
  <c r="I167" i="1"/>
  <c r="J167" i="1"/>
  <c r="K167" i="1"/>
  <c r="D168" i="1"/>
  <c r="I168" i="1"/>
  <c r="J168" i="1"/>
  <c r="K168" i="1"/>
  <c r="D169" i="1"/>
  <c r="I169" i="1"/>
  <c r="J169" i="1"/>
  <c r="K169" i="1"/>
  <c r="D170" i="1"/>
  <c r="I170" i="1"/>
  <c r="J170" i="1"/>
  <c r="K170" i="1"/>
  <c r="D172" i="1"/>
  <c r="I172" i="1"/>
  <c r="J172" i="1"/>
  <c r="K172" i="1"/>
  <c r="D173" i="1"/>
  <c r="I173" i="1"/>
  <c r="J173" i="1"/>
  <c r="K173" i="1"/>
  <c r="D174" i="1"/>
  <c r="I174" i="1"/>
  <c r="J174" i="1"/>
  <c r="K174" i="1"/>
  <c r="D175" i="1"/>
  <c r="I175" i="1"/>
  <c r="J175" i="1"/>
  <c r="K175" i="1"/>
  <c r="D176" i="1"/>
  <c r="I176" i="1"/>
  <c r="J176" i="1"/>
  <c r="K176" i="1"/>
  <c r="D177" i="1"/>
  <c r="I177" i="1"/>
  <c r="J177" i="1"/>
  <c r="K177" i="1"/>
  <c r="D178" i="1"/>
  <c r="I178" i="1"/>
  <c r="J178" i="1"/>
  <c r="K178" i="1"/>
  <c r="D179" i="1"/>
  <c r="I179" i="1"/>
  <c r="J179" i="1"/>
  <c r="K179" i="1"/>
  <c r="D180" i="1"/>
  <c r="I180" i="1"/>
  <c r="J180" i="1"/>
  <c r="K180" i="1"/>
  <c r="D181" i="1"/>
  <c r="I181" i="1"/>
  <c r="J181" i="1"/>
  <c r="K181" i="1"/>
  <c r="D182" i="1"/>
  <c r="I182" i="1"/>
  <c r="J182" i="1"/>
  <c r="K182" i="1"/>
  <c r="D183" i="1"/>
  <c r="I183" i="1"/>
  <c r="J183" i="1"/>
  <c r="K183" i="1"/>
  <c r="D185" i="1"/>
  <c r="I185" i="1"/>
  <c r="J185" i="1"/>
  <c r="K185" i="1"/>
  <c r="D186" i="1"/>
  <c r="I186" i="1"/>
  <c r="J186" i="1"/>
  <c r="K186" i="1"/>
  <c r="D187" i="1"/>
  <c r="I187" i="1"/>
  <c r="J187" i="1"/>
  <c r="K187" i="1"/>
  <c r="D188" i="1"/>
  <c r="I188" i="1"/>
  <c r="J188" i="1"/>
  <c r="K188" i="1"/>
  <c r="D189" i="1"/>
  <c r="I189" i="1"/>
  <c r="J189" i="1"/>
  <c r="K189" i="1"/>
  <c r="D190" i="1"/>
  <c r="I190" i="1"/>
  <c r="J190" i="1"/>
  <c r="K190" i="1"/>
  <c r="D191" i="1"/>
  <c r="I191" i="1"/>
  <c r="J191" i="1"/>
  <c r="K191" i="1"/>
  <c r="D192" i="1"/>
  <c r="I192" i="1"/>
  <c r="J192" i="1"/>
  <c r="K192" i="1"/>
  <c r="D193" i="1"/>
  <c r="I193" i="1"/>
  <c r="J193" i="1"/>
  <c r="K193" i="1"/>
  <c r="D194" i="1"/>
  <c r="I194" i="1"/>
  <c r="J194" i="1"/>
  <c r="K194" i="1"/>
  <c r="D195" i="1"/>
  <c r="I195" i="1"/>
  <c r="J195" i="1"/>
  <c r="K195" i="1"/>
  <c r="D196" i="1"/>
  <c r="I196" i="1"/>
  <c r="J196" i="1"/>
  <c r="K196" i="1"/>
  <c r="D198" i="1"/>
  <c r="I198" i="1"/>
  <c r="J198" i="1"/>
  <c r="K198" i="1"/>
  <c r="D199" i="1"/>
  <c r="I199" i="1"/>
  <c r="J199" i="1"/>
  <c r="K199" i="1"/>
  <c r="D200" i="1"/>
  <c r="I200" i="1"/>
  <c r="J200" i="1"/>
  <c r="K200" i="1"/>
  <c r="D201" i="1"/>
  <c r="I201" i="1"/>
  <c r="J201" i="1"/>
  <c r="K201" i="1"/>
  <c r="D202" i="1"/>
  <c r="I202" i="1"/>
  <c r="J202" i="1"/>
  <c r="K202" i="1"/>
  <c r="D203" i="1"/>
  <c r="I203" i="1"/>
  <c r="J203" i="1"/>
  <c r="K203" i="1"/>
  <c r="D204" i="1"/>
  <c r="I204" i="1"/>
  <c r="J204" i="1"/>
  <c r="K204" i="1"/>
  <c r="D205" i="1"/>
  <c r="I205" i="1"/>
  <c r="J205" i="1"/>
  <c r="K205" i="1"/>
  <c r="D206" i="1"/>
  <c r="I206" i="1"/>
  <c r="J206" i="1"/>
  <c r="K206" i="1"/>
  <c r="D207" i="1"/>
  <c r="I207" i="1"/>
  <c r="J207" i="1"/>
  <c r="K207" i="1"/>
  <c r="D208" i="1"/>
  <c r="I208" i="1"/>
  <c r="J208" i="1"/>
  <c r="K208" i="1"/>
  <c r="D209" i="1"/>
  <c r="I209" i="1"/>
  <c r="J209" i="1"/>
  <c r="K209" i="1"/>
  <c r="D211" i="1"/>
  <c r="I211" i="1"/>
  <c r="J211" i="1"/>
  <c r="K211" i="1"/>
  <c r="D212" i="1"/>
  <c r="I212" i="1"/>
  <c r="J212" i="1"/>
  <c r="K212" i="1"/>
  <c r="D213" i="1"/>
  <c r="I213" i="1"/>
  <c r="J213" i="1"/>
  <c r="K213" i="1"/>
  <c r="D214" i="1"/>
  <c r="I214" i="1"/>
  <c r="J214" i="1"/>
  <c r="K214" i="1"/>
  <c r="D215" i="1"/>
  <c r="I215" i="1"/>
  <c r="J215" i="1"/>
  <c r="K215" i="1"/>
  <c r="D216" i="1"/>
  <c r="I216" i="1"/>
  <c r="J216" i="1"/>
  <c r="K216" i="1"/>
  <c r="D217" i="1"/>
  <c r="I217" i="1"/>
  <c r="J217" i="1"/>
  <c r="K217" i="1"/>
  <c r="D218" i="1"/>
  <c r="I218" i="1"/>
  <c r="J218" i="1"/>
  <c r="K218" i="1"/>
  <c r="D219" i="1"/>
  <c r="I219" i="1"/>
  <c r="J219" i="1"/>
  <c r="K219" i="1"/>
  <c r="D220" i="1"/>
  <c r="I220" i="1"/>
  <c r="J220" i="1"/>
  <c r="K220" i="1"/>
  <c r="D221" i="1"/>
  <c r="I221" i="1"/>
  <c r="J221" i="1"/>
  <c r="K221" i="1"/>
  <c r="D222" i="1"/>
  <c r="I222" i="1"/>
  <c r="J222" i="1"/>
  <c r="K222" i="1"/>
  <c r="D237" i="1"/>
  <c r="I237" i="1"/>
  <c r="J237" i="1"/>
  <c r="K237" i="1"/>
  <c r="D238" i="1"/>
  <c r="I238" i="1"/>
  <c r="J238" i="1"/>
  <c r="K238" i="1"/>
  <c r="D239" i="1"/>
  <c r="I239" i="1"/>
  <c r="J239" i="1"/>
  <c r="K239" i="1"/>
  <c r="D240" i="1"/>
  <c r="I240" i="1"/>
  <c r="J240" i="1"/>
  <c r="K240" i="1"/>
  <c r="D241" i="1"/>
  <c r="I241" i="1"/>
  <c r="J241" i="1"/>
  <c r="K241" i="1"/>
  <c r="D242" i="1"/>
  <c r="I242" i="1"/>
  <c r="J242" i="1"/>
  <c r="K242" i="1"/>
  <c r="D243" i="1"/>
  <c r="I243" i="1"/>
  <c r="J243" i="1"/>
  <c r="K243" i="1"/>
  <c r="D244" i="1"/>
  <c r="I244" i="1"/>
  <c r="J244" i="1"/>
  <c r="K244" i="1"/>
  <c r="D245" i="1"/>
  <c r="I245" i="1"/>
  <c r="J245" i="1"/>
  <c r="K245" i="1"/>
  <c r="D246" i="1"/>
  <c r="J246" i="1"/>
  <c r="K246" i="1"/>
  <c r="D247" i="1"/>
  <c r="I247" i="1"/>
  <c r="J247" i="1"/>
  <c r="K247" i="1"/>
  <c r="D248" i="1"/>
  <c r="I248" i="1"/>
  <c r="J248" i="1"/>
  <c r="K248" i="1"/>
  <c r="D288" i="1"/>
  <c r="I288" i="1"/>
  <c r="D289" i="1"/>
  <c r="I289" i="1"/>
  <c r="D290" i="1"/>
  <c r="I290" i="1"/>
  <c r="D291" i="1"/>
  <c r="D292" i="1"/>
  <c r="I292" i="1"/>
  <c r="D294" i="1"/>
  <c r="I294" i="1"/>
  <c r="J294" i="1"/>
  <c r="K294" i="1"/>
  <c r="D295" i="1"/>
  <c r="I295" i="1"/>
  <c r="J295" i="1"/>
  <c r="K295" i="1"/>
  <c r="D296" i="1"/>
  <c r="I296" i="1"/>
  <c r="J296" i="1"/>
  <c r="K296" i="1"/>
  <c r="D297" i="1"/>
  <c r="I297" i="1"/>
  <c r="J297" i="1"/>
  <c r="K297" i="1"/>
  <c r="D298" i="1"/>
  <c r="I298" i="1"/>
  <c r="J298" i="1"/>
  <c r="K298" i="1"/>
  <c r="D299" i="1"/>
  <c r="I299" i="1"/>
  <c r="J299" i="1"/>
  <c r="K299" i="1"/>
  <c r="D300" i="1"/>
  <c r="I300" i="1"/>
  <c r="J300" i="1"/>
  <c r="K300" i="1"/>
  <c r="D301" i="1"/>
  <c r="I301" i="1"/>
  <c r="J301" i="1"/>
  <c r="K301" i="1"/>
  <c r="D302" i="1"/>
  <c r="I302" i="1"/>
  <c r="J302" i="1"/>
  <c r="K302" i="1"/>
  <c r="D303" i="1"/>
  <c r="I303" i="1"/>
  <c r="J303" i="1"/>
  <c r="K303" i="1"/>
  <c r="D304" i="1"/>
  <c r="I304" i="1"/>
  <c r="J304" i="1"/>
  <c r="K304" i="1"/>
  <c r="D305" i="1"/>
  <c r="I305" i="1"/>
  <c r="J305" i="1"/>
  <c r="K305" i="1"/>
  <c r="D307" i="1"/>
  <c r="I307" i="1"/>
  <c r="J307" i="1"/>
  <c r="K307" i="1"/>
  <c r="D308" i="1"/>
  <c r="I308" i="1"/>
  <c r="J308" i="1"/>
  <c r="K308" i="1"/>
  <c r="D309" i="1"/>
  <c r="I309" i="1"/>
  <c r="J309" i="1"/>
  <c r="K309" i="1"/>
  <c r="D310" i="1"/>
  <c r="I310" i="1"/>
  <c r="J310" i="1"/>
  <c r="K310" i="1"/>
  <c r="D311" i="1"/>
  <c r="I311" i="1"/>
  <c r="J311" i="1"/>
  <c r="K311" i="1"/>
  <c r="D312" i="1"/>
  <c r="I312" i="1"/>
  <c r="J312" i="1"/>
  <c r="K312" i="1"/>
  <c r="D313" i="1"/>
  <c r="I313" i="1"/>
  <c r="J313" i="1"/>
  <c r="K313" i="1"/>
  <c r="D314" i="1"/>
  <c r="I314" i="1"/>
  <c r="J314" i="1"/>
  <c r="K314" i="1"/>
  <c r="D315" i="1"/>
  <c r="I315" i="1"/>
  <c r="J315" i="1"/>
  <c r="K315" i="1"/>
  <c r="D316" i="1"/>
  <c r="I316" i="1"/>
  <c r="J316" i="1"/>
  <c r="K316" i="1"/>
  <c r="D317" i="1"/>
  <c r="I317" i="1"/>
  <c r="J317" i="1"/>
  <c r="K317" i="1"/>
  <c r="D318" i="1"/>
  <c r="I318" i="1"/>
  <c r="J318" i="1"/>
  <c r="K318" i="1"/>
  <c r="D333" i="1"/>
  <c r="I333" i="1"/>
  <c r="J333" i="1"/>
  <c r="K333" i="1"/>
  <c r="D334" i="1"/>
  <c r="I334" i="1"/>
  <c r="J334" i="1"/>
  <c r="K334" i="1"/>
  <c r="D335" i="1"/>
  <c r="I335" i="1"/>
  <c r="J335" i="1"/>
  <c r="K335" i="1"/>
  <c r="D336" i="1"/>
  <c r="I336" i="1"/>
  <c r="J336" i="1"/>
  <c r="K336" i="1"/>
  <c r="D337" i="1"/>
  <c r="I337" i="1"/>
  <c r="J337" i="1"/>
  <c r="K337" i="1"/>
  <c r="D338" i="1"/>
  <c r="I338" i="1"/>
  <c r="J338" i="1"/>
  <c r="K338" i="1"/>
  <c r="D339" i="1"/>
  <c r="I339" i="1"/>
  <c r="J339" i="1"/>
  <c r="K339" i="1"/>
  <c r="D340" i="1"/>
  <c r="I340" i="1"/>
  <c r="J340" i="1"/>
  <c r="K340" i="1"/>
  <c r="D341" i="1"/>
  <c r="I341" i="1"/>
  <c r="J341" i="1"/>
  <c r="K341" i="1"/>
  <c r="D342" i="1"/>
  <c r="I342" i="1"/>
  <c r="J342" i="1"/>
  <c r="K342" i="1"/>
  <c r="D343" i="1"/>
  <c r="I343" i="1"/>
  <c r="J343" i="1"/>
  <c r="K343" i="1"/>
  <c r="D344" i="1"/>
  <c r="I344" i="1"/>
  <c r="J344" i="1"/>
  <c r="K344" i="1"/>
  <c r="C373" i="1"/>
  <c r="K373" i="1"/>
  <c r="E374" i="1"/>
  <c r="G374" i="1"/>
  <c r="I374" i="1"/>
  <c r="J374" i="1"/>
  <c r="J375" i="1"/>
  <c r="K375" i="1"/>
  <c r="E376" i="1"/>
  <c r="F376" i="1"/>
  <c r="G376" i="1"/>
  <c r="H376" i="1"/>
  <c r="I376" i="1"/>
  <c r="J376" i="1"/>
  <c r="K376" i="1"/>
  <c r="D377" i="1"/>
  <c r="I377" i="1"/>
  <c r="J377" i="1"/>
  <c r="K377" i="1"/>
  <c r="D378" i="1"/>
  <c r="I378" i="1"/>
  <c r="J378" i="1"/>
  <c r="K378" i="1"/>
  <c r="D379" i="1"/>
  <c r="I379" i="1"/>
  <c r="J379" i="1"/>
  <c r="K379" i="1"/>
  <c r="D380" i="1"/>
  <c r="I380" i="1"/>
  <c r="J380" i="1"/>
  <c r="K380" i="1"/>
  <c r="D381" i="1"/>
  <c r="I381" i="1"/>
  <c r="J381" i="1"/>
  <c r="K381" i="1"/>
  <c r="D382" i="1"/>
  <c r="I382" i="1"/>
  <c r="J382" i="1"/>
  <c r="K382" i="1"/>
  <c r="D383" i="1"/>
  <c r="I383" i="1"/>
  <c r="J383" i="1"/>
  <c r="K383" i="1"/>
  <c r="D384" i="1"/>
  <c r="I384" i="1"/>
  <c r="J384" i="1"/>
  <c r="K384" i="1"/>
  <c r="D385" i="1"/>
  <c r="I385" i="1"/>
  <c r="J385" i="1"/>
  <c r="K385" i="1"/>
  <c r="D386" i="1"/>
  <c r="I386" i="1"/>
  <c r="J386" i="1"/>
  <c r="K386" i="1"/>
  <c r="D387" i="1"/>
  <c r="I387" i="1"/>
  <c r="J387" i="1"/>
  <c r="K387" i="1"/>
  <c r="D388" i="1"/>
  <c r="I388" i="1"/>
  <c r="J388" i="1"/>
  <c r="K388" i="1"/>
  <c r="D390" i="1"/>
  <c r="I390" i="1"/>
  <c r="J390" i="1"/>
  <c r="K390" i="1"/>
  <c r="D391" i="1"/>
  <c r="I391" i="1"/>
  <c r="J391" i="1"/>
  <c r="K391" i="1"/>
  <c r="D392" i="1"/>
  <c r="I392" i="1"/>
  <c r="J392" i="1"/>
  <c r="K392" i="1"/>
  <c r="D393" i="1"/>
  <c r="I393" i="1"/>
  <c r="J393" i="1"/>
  <c r="K393" i="1"/>
  <c r="D394" i="1"/>
  <c r="I394" i="1"/>
  <c r="J394" i="1"/>
  <c r="K394" i="1"/>
  <c r="D395" i="1"/>
  <c r="I395" i="1"/>
  <c r="J395" i="1"/>
  <c r="K395" i="1"/>
  <c r="D396" i="1"/>
  <c r="I396" i="1"/>
  <c r="J396" i="1"/>
  <c r="K396" i="1"/>
  <c r="D397" i="1"/>
  <c r="I397" i="1"/>
  <c r="J397" i="1"/>
  <c r="K397" i="1"/>
  <c r="D398" i="1"/>
  <c r="I398" i="1"/>
  <c r="J398" i="1"/>
  <c r="K398" i="1"/>
  <c r="D399" i="1"/>
  <c r="I399" i="1"/>
  <c r="J399" i="1"/>
  <c r="K399" i="1"/>
  <c r="D400" i="1"/>
  <c r="I400" i="1"/>
  <c r="J400" i="1"/>
  <c r="K400" i="1"/>
  <c r="D401" i="1"/>
  <c r="I401" i="1"/>
  <c r="J401" i="1"/>
  <c r="K401" i="1"/>
  <c r="D403" i="1"/>
  <c r="I403" i="1"/>
  <c r="J403" i="1"/>
  <c r="K403" i="1"/>
  <c r="D404" i="1"/>
  <c r="I404" i="1"/>
  <c r="J404" i="1"/>
  <c r="K404" i="1"/>
  <c r="D405" i="1"/>
  <c r="I405" i="1"/>
  <c r="J405" i="1"/>
  <c r="K405" i="1"/>
  <c r="D406" i="1"/>
  <c r="I406" i="1"/>
  <c r="J406" i="1"/>
  <c r="K406" i="1"/>
  <c r="D407" i="1"/>
  <c r="I407" i="1"/>
  <c r="J407" i="1"/>
  <c r="K407" i="1"/>
  <c r="D408" i="1"/>
  <c r="I408" i="1"/>
  <c r="J408" i="1"/>
  <c r="K408" i="1"/>
  <c r="D409" i="1"/>
  <c r="I409" i="1"/>
  <c r="J409" i="1"/>
  <c r="K409" i="1"/>
  <c r="D410" i="1"/>
  <c r="I410" i="1"/>
  <c r="J410" i="1"/>
  <c r="K410" i="1"/>
  <c r="D411" i="1"/>
  <c r="I411" i="1"/>
  <c r="J411" i="1"/>
  <c r="K411" i="1"/>
  <c r="D412" i="1"/>
  <c r="I412" i="1"/>
  <c r="J412" i="1"/>
  <c r="K412" i="1"/>
  <c r="D413" i="1"/>
  <c r="I413" i="1"/>
  <c r="J413" i="1"/>
  <c r="K413" i="1"/>
  <c r="D414" i="1"/>
  <c r="D416" i="1"/>
  <c r="I416" i="1"/>
  <c r="J416" i="1"/>
  <c r="K416" i="1"/>
  <c r="D417" i="1"/>
  <c r="I417" i="1"/>
  <c r="J417" i="1"/>
  <c r="K417" i="1"/>
  <c r="D418" i="1"/>
  <c r="I418" i="1"/>
  <c r="J418" i="1"/>
  <c r="K418" i="1"/>
  <c r="D419" i="1"/>
  <c r="I419" i="1"/>
  <c r="J419" i="1"/>
  <c r="K419" i="1"/>
  <c r="D420" i="1"/>
  <c r="I420" i="1"/>
  <c r="J420" i="1"/>
  <c r="K420" i="1"/>
  <c r="D421" i="1"/>
  <c r="I421" i="1"/>
  <c r="J421" i="1"/>
  <c r="K421" i="1"/>
  <c r="D422" i="1"/>
  <c r="I422" i="1"/>
  <c r="J422" i="1"/>
  <c r="K422" i="1"/>
  <c r="D423" i="1"/>
  <c r="I423" i="1"/>
  <c r="J423" i="1"/>
  <c r="K423" i="1"/>
  <c r="D424" i="1"/>
  <c r="I424" i="1"/>
  <c r="J424" i="1"/>
  <c r="K424" i="1"/>
  <c r="D425" i="1"/>
  <c r="I425" i="1"/>
  <c r="J425" i="1"/>
  <c r="K425" i="1"/>
  <c r="D426" i="1"/>
  <c r="I426" i="1"/>
  <c r="J426" i="1"/>
  <c r="K426" i="1"/>
  <c r="D427" i="1"/>
  <c r="I427" i="1"/>
  <c r="J427" i="1"/>
  <c r="K427" i="1"/>
  <c r="D429" i="1"/>
  <c r="I429" i="1"/>
  <c r="J429" i="1"/>
  <c r="K429" i="1"/>
  <c r="D430" i="1"/>
  <c r="I430" i="1"/>
  <c r="J430" i="1"/>
  <c r="K430" i="1"/>
  <c r="D431" i="1"/>
  <c r="I431" i="1"/>
  <c r="J431" i="1"/>
  <c r="K431" i="1"/>
  <c r="D432" i="1"/>
  <c r="I432" i="1"/>
  <c r="J432" i="1"/>
  <c r="K432" i="1"/>
  <c r="D433" i="1"/>
  <c r="I433" i="1"/>
  <c r="J433" i="1"/>
  <c r="K433" i="1"/>
  <c r="D434" i="1"/>
  <c r="I434" i="1"/>
  <c r="J434" i="1"/>
  <c r="K434" i="1"/>
  <c r="D435" i="1"/>
  <c r="I435" i="1"/>
  <c r="J435" i="1"/>
  <c r="K435" i="1"/>
  <c r="D436" i="1"/>
  <c r="I436" i="1"/>
  <c r="J436" i="1"/>
  <c r="K436" i="1"/>
  <c r="D437" i="1"/>
  <c r="I437" i="1"/>
  <c r="J437" i="1"/>
  <c r="K437" i="1"/>
  <c r="D438" i="1"/>
  <c r="I438" i="1"/>
  <c r="J438" i="1"/>
  <c r="K438" i="1"/>
  <c r="D439" i="1"/>
  <c r="I439" i="1"/>
  <c r="J439" i="1"/>
  <c r="K439" i="1"/>
  <c r="D440" i="1"/>
  <c r="I440" i="1"/>
  <c r="J440" i="1"/>
  <c r="K440" i="1"/>
  <c r="D442" i="1"/>
  <c r="I442" i="1"/>
  <c r="J442" i="1"/>
  <c r="K442" i="1"/>
  <c r="D443" i="1"/>
  <c r="I443" i="1"/>
  <c r="J443" i="1"/>
  <c r="K443" i="1"/>
  <c r="D444" i="1"/>
  <c r="I444" i="1"/>
  <c r="J444" i="1"/>
  <c r="K444" i="1"/>
  <c r="D445" i="1"/>
  <c r="I445" i="1"/>
  <c r="J445" i="1"/>
  <c r="K445" i="1"/>
  <c r="D446" i="1"/>
  <c r="I446" i="1"/>
  <c r="J446" i="1"/>
  <c r="K446" i="1"/>
  <c r="D447" i="1"/>
  <c r="I447" i="1"/>
  <c r="J447" i="1"/>
  <c r="K447" i="1"/>
  <c r="D448" i="1"/>
  <c r="I448" i="1"/>
  <c r="J448" i="1"/>
  <c r="K448" i="1"/>
  <c r="D449" i="1"/>
  <c r="I449" i="1"/>
  <c r="J449" i="1"/>
  <c r="K449" i="1"/>
  <c r="D450" i="1"/>
  <c r="I450" i="1"/>
  <c r="J450" i="1"/>
  <c r="K450" i="1"/>
  <c r="D451" i="1"/>
  <c r="I451" i="1"/>
  <c r="J451" i="1"/>
  <c r="K451" i="1"/>
  <c r="D452" i="1"/>
  <c r="I452" i="1"/>
  <c r="J452" i="1"/>
  <c r="K452" i="1"/>
  <c r="D453" i="1"/>
  <c r="I453" i="1"/>
  <c r="J453" i="1"/>
  <c r="K453" i="1"/>
  <c r="D468" i="1"/>
  <c r="I468" i="1"/>
  <c r="J468" i="1"/>
  <c r="K468" i="1"/>
  <c r="D469" i="1"/>
  <c r="I469" i="1"/>
  <c r="J469" i="1"/>
  <c r="K469" i="1"/>
  <c r="D470" i="1"/>
  <c r="I470" i="1"/>
  <c r="J470" i="1"/>
  <c r="K470" i="1"/>
  <c r="D471" i="1"/>
  <c r="I471" i="1"/>
  <c r="J471" i="1"/>
  <c r="K471" i="1"/>
  <c r="D472" i="1"/>
  <c r="I472" i="1"/>
  <c r="J472" i="1"/>
  <c r="K472" i="1"/>
  <c r="D473" i="1"/>
  <c r="I473" i="1"/>
  <c r="J473" i="1"/>
  <c r="K473" i="1"/>
  <c r="D474" i="1"/>
  <c r="I474" i="1"/>
  <c r="J474" i="1"/>
  <c r="K474" i="1"/>
  <c r="D475" i="1"/>
  <c r="I475" i="1"/>
  <c r="J475" i="1"/>
  <c r="K475" i="1"/>
  <c r="D476" i="1"/>
  <c r="I476" i="1"/>
  <c r="J476" i="1"/>
  <c r="K476" i="1"/>
  <c r="D477" i="1"/>
  <c r="I477" i="1"/>
  <c r="J477" i="1"/>
  <c r="K477" i="1"/>
  <c r="D478" i="1"/>
  <c r="I478" i="1"/>
  <c r="J478" i="1"/>
  <c r="K478" i="1"/>
  <c r="D479" i="1"/>
  <c r="I479" i="1"/>
  <c r="J479" i="1"/>
  <c r="K479" i="1"/>
  <c r="C509" i="1"/>
  <c r="K509" i="1"/>
  <c r="E510" i="1"/>
  <c r="G510" i="1"/>
  <c r="I510" i="1"/>
  <c r="J510" i="1"/>
  <c r="J511" i="1"/>
  <c r="K511" i="1"/>
  <c r="E512" i="1"/>
  <c r="F512" i="1"/>
  <c r="G512" i="1"/>
  <c r="H512" i="1"/>
  <c r="I512" i="1"/>
  <c r="J512" i="1"/>
  <c r="K512" i="1"/>
  <c r="D513" i="1"/>
  <c r="I513" i="1"/>
  <c r="J513" i="1"/>
  <c r="K513" i="1"/>
  <c r="D514" i="1"/>
  <c r="I514" i="1"/>
  <c r="J514" i="1"/>
  <c r="K514" i="1"/>
  <c r="D515" i="1"/>
  <c r="I515" i="1"/>
  <c r="J515" i="1"/>
  <c r="K515" i="1"/>
  <c r="D516" i="1"/>
  <c r="I516" i="1"/>
  <c r="J516" i="1"/>
  <c r="K516" i="1"/>
  <c r="D518" i="1"/>
  <c r="E518" i="1"/>
  <c r="J518" i="1" s="1"/>
  <c r="G518" i="1"/>
  <c r="K518" i="1"/>
  <c r="I518" i="1"/>
  <c r="D519" i="1"/>
  <c r="E519" i="1"/>
  <c r="J519" i="1"/>
  <c r="G519" i="1"/>
  <c r="K519" i="1" s="1"/>
  <c r="I519" i="1"/>
  <c r="D520" i="1"/>
  <c r="E520" i="1"/>
  <c r="J520" i="1" s="1"/>
  <c r="G520" i="1"/>
  <c r="K520" i="1"/>
  <c r="I520" i="1"/>
  <c r="D521" i="1"/>
  <c r="E521" i="1"/>
  <c r="J521" i="1"/>
  <c r="G521" i="1"/>
  <c r="K521" i="1" s="1"/>
  <c r="I521" i="1"/>
  <c r="D523" i="1"/>
  <c r="E523" i="1"/>
  <c r="J523" i="1" s="1"/>
  <c r="G523" i="1"/>
  <c r="I523" i="1"/>
  <c r="K523" i="1"/>
  <c r="D524" i="1"/>
  <c r="E524" i="1"/>
  <c r="J524" i="1"/>
  <c r="G524" i="1"/>
  <c r="K524" i="1" s="1"/>
  <c r="I524" i="1"/>
  <c r="D525" i="1"/>
  <c r="E525" i="1"/>
  <c r="J525" i="1" s="1"/>
  <c r="G525" i="1"/>
  <c r="K525" i="1"/>
  <c r="I525" i="1"/>
  <c r="D526" i="1"/>
  <c r="E526" i="1"/>
  <c r="J526" i="1"/>
  <c r="G526" i="1"/>
  <c r="K526" i="1" s="1"/>
  <c r="I526" i="1"/>
  <c r="D528" i="1"/>
  <c r="I528" i="1"/>
  <c r="J528" i="1"/>
  <c r="K528" i="1"/>
  <c r="D529" i="1"/>
  <c r="I529" i="1"/>
  <c r="J529" i="1"/>
  <c r="K529" i="1"/>
  <c r="D530" i="1"/>
  <c r="E530" i="1"/>
  <c r="J530" i="1" s="1"/>
  <c r="G530" i="1"/>
  <c r="K530" i="1"/>
  <c r="I530" i="1"/>
  <c r="D531" i="1"/>
  <c r="I531" i="1"/>
  <c r="D532" i="1"/>
  <c r="I532" i="1"/>
  <c r="D533" i="1"/>
  <c r="E533" i="1"/>
  <c r="J533" i="1"/>
  <c r="G533" i="1"/>
  <c r="K533" i="1" s="1"/>
  <c r="I533" i="1"/>
  <c r="D534" i="1"/>
  <c r="I534" i="1"/>
  <c r="D535" i="1"/>
  <c r="I535" i="1"/>
  <c r="D536" i="1"/>
  <c r="E536" i="1"/>
  <c r="J536" i="1" s="1"/>
  <c r="G536" i="1"/>
  <c r="K536" i="1"/>
  <c r="I536" i="1"/>
  <c r="D537" i="1"/>
  <c r="I537" i="1"/>
  <c r="J537" i="1"/>
  <c r="K537" i="1"/>
  <c r="D538" i="1"/>
  <c r="I538" i="1"/>
  <c r="D539" i="1"/>
  <c r="E539" i="1"/>
  <c r="J539" i="1" s="1"/>
  <c r="G539" i="1"/>
  <c r="K539" i="1"/>
  <c r="I539" i="1"/>
  <c r="D541" i="1"/>
  <c r="E541" i="1"/>
  <c r="J541" i="1"/>
  <c r="G541" i="1"/>
  <c r="K541" i="1" s="1"/>
  <c r="I541" i="1"/>
  <c r="D542" i="1"/>
  <c r="E542" i="1"/>
  <c r="J542" i="1" s="1"/>
  <c r="G542" i="1"/>
  <c r="K542" i="1"/>
  <c r="I542" i="1"/>
  <c r="D543" i="1"/>
  <c r="E543" i="1"/>
  <c r="J543" i="1"/>
  <c r="G543" i="1"/>
  <c r="K543" i="1" s="1"/>
  <c r="I543" i="1"/>
  <c r="D544" i="1"/>
  <c r="E544" i="1"/>
  <c r="J544" i="1" s="1"/>
  <c r="G544" i="1"/>
  <c r="K544" i="1"/>
  <c r="I544" i="1"/>
  <c r="D545" i="1"/>
  <c r="E545" i="1"/>
  <c r="J545" i="1"/>
  <c r="G545" i="1"/>
  <c r="K545" i="1" s="1"/>
  <c r="I545" i="1"/>
  <c r="D546" i="1"/>
  <c r="E546" i="1"/>
  <c r="J546" i="1" s="1"/>
  <c r="G546" i="1"/>
  <c r="K546" i="1"/>
  <c r="I546" i="1"/>
  <c r="D547" i="1"/>
  <c r="E547" i="1"/>
  <c r="J547" i="1"/>
  <c r="G547" i="1"/>
  <c r="K547" i="1" s="1"/>
  <c r="I547" i="1"/>
  <c r="D548" i="1"/>
  <c r="E548" i="1"/>
  <c r="J548" i="1" s="1"/>
  <c r="G548" i="1"/>
  <c r="K548" i="1"/>
  <c r="I548" i="1"/>
  <c r="D549" i="1"/>
  <c r="E549" i="1"/>
  <c r="J549" i="1"/>
  <c r="G549" i="1"/>
  <c r="K549" i="1" s="1"/>
  <c r="I549" i="1"/>
  <c r="D550" i="1"/>
  <c r="E550" i="1"/>
  <c r="J550" i="1" s="1"/>
  <c r="G550" i="1"/>
  <c r="K550" i="1"/>
  <c r="I550" i="1"/>
  <c r="D551" i="1"/>
  <c r="E551" i="1"/>
  <c r="J551" i="1"/>
  <c r="G551" i="1"/>
  <c r="K551" i="1" s="1"/>
  <c r="I551" i="1"/>
  <c r="D552" i="1"/>
  <c r="E552" i="1"/>
  <c r="J552" i="1" s="1"/>
  <c r="G552" i="1"/>
  <c r="K552" i="1"/>
  <c r="I552" i="1"/>
  <c r="D554" i="1"/>
  <c r="I554" i="1"/>
  <c r="D555" i="1"/>
  <c r="I555" i="1"/>
  <c r="D556" i="1"/>
  <c r="I556" i="1"/>
  <c r="D557" i="1"/>
  <c r="I557" i="1"/>
  <c r="D558" i="1"/>
  <c r="I558" i="1"/>
  <c r="D559" i="1"/>
  <c r="I559" i="1"/>
  <c r="J559" i="1"/>
  <c r="D560" i="1"/>
  <c r="I560" i="1"/>
  <c r="D561" i="1"/>
  <c r="I561" i="1"/>
  <c r="D562" i="1"/>
  <c r="K562" i="1"/>
  <c r="I562" i="1"/>
  <c r="D563" i="1"/>
  <c r="I563" i="1"/>
  <c r="D564" i="1"/>
  <c r="I564" i="1"/>
  <c r="D565" i="1"/>
  <c r="I565" i="1"/>
  <c r="D580" i="1"/>
  <c r="I580" i="1"/>
  <c r="J580" i="1"/>
  <c r="K580" i="1"/>
  <c r="D581" i="1"/>
  <c r="I581" i="1"/>
  <c r="J581" i="1"/>
  <c r="K581" i="1"/>
  <c r="D582" i="1"/>
  <c r="I582" i="1"/>
  <c r="J582" i="1"/>
  <c r="K582" i="1"/>
  <c r="D583" i="1"/>
  <c r="D584" i="1"/>
  <c r="D585" i="1"/>
  <c r="D586" i="1"/>
  <c r="D587" i="1"/>
  <c r="D588" i="1"/>
  <c r="D589" i="1"/>
  <c r="D590" i="1"/>
  <c r="D591" i="1"/>
  <c r="C621" i="1"/>
  <c r="K621" i="1"/>
  <c r="E622" i="1"/>
  <c r="G622" i="1"/>
  <c r="I622" i="1"/>
  <c r="J622" i="1"/>
  <c r="J623" i="1"/>
  <c r="K623" i="1"/>
  <c r="E624" i="1"/>
  <c r="F624" i="1"/>
  <c r="G624" i="1"/>
  <c r="H624" i="1"/>
  <c r="I624" i="1"/>
  <c r="J624" i="1"/>
  <c r="K624" i="1"/>
  <c r="D625" i="1"/>
  <c r="I625" i="1"/>
  <c r="J625" i="1"/>
  <c r="K625" i="1"/>
  <c r="D626" i="1"/>
  <c r="I626" i="1"/>
  <c r="J626" i="1"/>
  <c r="K626" i="1"/>
  <c r="D627" i="1"/>
  <c r="I627" i="1"/>
  <c r="J627" i="1"/>
  <c r="K627" i="1"/>
  <c r="D628" i="1"/>
  <c r="I628" i="1"/>
  <c r="J628" i="1"/>
  <c r="K628" i="1"/>
  <c r="D630" i="1"/>
  <c r="I630" i="1"/>
  <c r="J630" i="1"/>
  <c r="K630" i="1"/>
  <c r="D631" i="1"/>
  <c r="I631" i="1"/>
  <c r="J631" i="1"/>
  <c r="K631" i="1"/>
  <c r="D632" i="1"/>
  <c r="I632" i="1"/>
  <c r="J632" i="1"/>
  <c r="K632" i="1"/>
  <c r="D633" i="1"/>
  <c r="I633" i="1"/>
  <c r="J633" i="1"/>
  <c r="K633" i="1"/>
  <c r="D635" i="1"/>
  <c r="I635" i="1"/>
  <c r="J635" i="1"/>
  <c r="K635" i="1"/>
  <c r="D636" i="1"/>
  <c r="I636" i="1"/>
  <c r="J636" i="1"/>
  <c r="K636" i="1"/>
  <c r="D637" i="1"/>
  <c r="I637" i="1"/>
  <c r="J637" i="1"/>
  <c r="K637" i="1"/>
  <c r="D638" i="1"/>
  <c r="I638" i="1"/>
  <c r="J638" i="1"/>
  <c r="K638" i="1"/>
  <c r="D640" i="1"/>
  <c r="I640" i="1"/>
  <c r="J640" i="1"/>
  <c r="K640" i="1"/>
  <c r="D641" i="1"/>
  <c r="I641" i="1"/>
  <c r="J641" i="1"/>
  <c r="K641" i="1"/>
  <c r="D642" i="1"/>
  <c r="I642" i="1"/>
  <c r="J642" i="1"/>
  <c r="K642" i="1"/>
  <c r="D643" i="1"/>
  <c r="I643" i="1"/>
  <c r="J643" i="1"/>
  <c r="K643" i="1"/>
  <c r="D644" i="1"/>
  <c r="I644" i="1"/>
  <c r="J644" i="1"/>
  <c r="K644" i="1"/>
  <c r="D645" i="1"/>
  <c r="I645" i="1"/>
  <c r="J645" i="1"/>
  <c r="K645" i="1"/>
  <c r="D646" i="1"/>
  <c r="I646" i="1"/>
  <c r="J646" i="1"/>
  <c r="K646" i="1"/>
  <c r="D647" i="1"/>
  <c r="I647" i="1"/>
  <c r="J647" i="1"/>
  <c r="K647" i="1"/>
  <c r="D648" i="1"/>
  <c r="I648" i="1"/>
  <c r="J648" i="1"/>
  <c r="K648" i="1"/>
  <c r="D649" i="1"/>
  <c r="I649" i="1"/>
  <c r="J649" i="1"/>
  <c r="K649" i="1"/>
  <c r="D650" i="1"/>
  <c r="I650" i="1"/>
  <c r="J650" i="1"/>
  <c r="K650" i="1"/>
  <c r="D651" i="1"/>
  <c r="I651" i="1"/>
  <c r="J651" i="1"/>
  <c r="K651" i="1"/>
  <c r="D653" i="1"/>
  <c r="I653" i="1"/>
  <c r="J653" i="1"/>
  <c r="K653" i="1"/>
  <c r="D654" i="1"/>
  <c r="I654" i="1"/>
  <c r="J654" i="1"/>
  <c r="K654" i="1"/>
  <c r="D655" i="1"/>
  <c r="I655" i="1"/>
  <c r="J655" i="1"/>
  <c r="K655" i="1"/>
  <c r="D656" i="1"/>
  <c r="I656" i="1"/>
  <c r="J656" i="1"/>
  <c r="K656" i="1"/>
  <c r="D657" i="1"/>
  <c r="D658" i="1"/>
  <c r="I658" i="1"/>
  <c r="J658" i="1"/>
  <c r="K658" i="1"/>
  <c r="D659" i="1"/>
  <c r="I659" i="1"/>
  <c r="J659" i="1"/>
  <c r="K659" i="1"/>
  <c r="D660" i="1"/>
  <c r="I660" i="1"/>
  <c r="J660" i="1"/>
  <c r="K660" i="1"/>
  <c r="D661" i="1"/>
  <c r="I661" i="1"/>
  <c r="J661" i="1"/>
  <c r="K661" i="1"/>
  <c r="D662" i="1"/>
  <c r="I662" i="1"/>
  <c r="J662" i="1"/>
  <c r="K662" i="1"/>
  <c r="D663" i="1"/>
  <c r="I663" i="1"/>
  <c r="J663" i="1"/>
  <c r="K663" i="1"/>
  <c r="D664" i="1"/>
  <c r="I664" i="1"/>
  <c r="J664" i="1"/>
  <c r="K664" i="1"/>
  <c r="D666" i="1"/>
  <c r="E666" i="1"/>
  <c r="J666" i="1"/>
  <c r="G666" i="1"/>
  <c r="K666" i="1"/>
  <c r="I666" i="1"/>
  <c r="D667" i="1"/>
  <c r="E667" i="1"/>
  <c r="J667" i="1"/>
  <c r="G667" i="1"/>
  <c r="K667" i="1"/>
  <c r="I667" i="1"/>
  <c r="D668" i="1"/>
  <c r="E668" i="1"/>
  <c r="J668" i="1"/>
  <c r="G668" i="1"/>
  <c r="K668" i="1"/>
  <c r="I668" i="1"/>
  <c r="D669" i="1"/>
  <c r="E669" i="1"/>
  <c r="J669" i="1"/>
  <c r="G669" i="1"/>
  <c r="K669" i="1"/>
  <c r="I669" i="1"/>
  <c r="D670" i="1"/>
  <c r="E670" i="1"/>
  <c r="J670" i="1"/>
  <c r="G670" i="1"/>
  <c r="K670" i="1"/>
  <c r="I670" i="1"/>
  <c r="D671" i="1"/>
  <c r="E671" i="1"/>
  <c r="J671" i="1"/>
  <c r="G671" i="1"/>
  <c r="K671" i="1"/>
  <c r="I671" i="1"/>
  <c r="D672" i="1"/>
  <c r="E672" i="1"/>
  <c r="J672" i="1"/>
  <c r="G672" i="1"/>
  <c r="K672" i="1"/>
  <c r="I672" i="1"/>
  <c r="D673" i="1"/>
  <c r="E673" i="1"/>
  <c r="J673" i="1"/>
  <c r="G673" i="1"/>
  <c r="K673" i="1"/>
  <c r="I673" i="1"/>
  <c r="D674" i="1"/>
  <c r="E674" i="1"/>
  <c r="J674" i="1"/>
  <c r="G674" i="1"/>
  <c r="K674" i="1"/>
  <c r="I674" i="1"/>
  <c r="D675" i="1"/>
  <c r="E675" i="1"/>
  <c r="J675" i="1"/>
  <c r="G675" i="1"/>
  <c r="K675" i="1"/>
  <c r="I675" i="1"/>
  <c r="D676" i="1"/>
  <c r="E676" i="1"/>
  <c r="J676" i="1"/>
  <c r="G676" i="1"/>
  <c r="K676" i="1"/>
  <c r="I676" i="1"/>
  <c r="D677" i="1"/>
  <c r="E677" i="1"/>
  <c r="J677" i="1"/>
  <c r="G677" i="1"/>
  <c r="K677" i="1"/>
  <c r="I677" i="1"/>
  <c r="D679" i="1"/>
  <c r="E679" i="1"/>
  <c r="J679" i="1"/>
  <c r="G679" i="1"/>
  <c r="K679" i="1"/>
  <c r="I679" i="1"/>
  <c r="D680" i="1"/>
  <c r="E680" i="1"/>
  <c r="J680" i="1"/>
  <c r="G680" i="1"/>
  <c r="K680" i="1"/>
  <c r="I680" i="1"/>
  <c r="D681" i="1"/>
  <c r="E681" i="1"/>
  <c r="J681" i="1"/>
  <c r="G681" i="1"/>
  <c r="K681" i="1"/>
  <c r="I681" i="1"/>
  <c r="D682" i="1"/>
  <c r="E682" i="1"/>
  <c r="J682" i="1"/>
  <c r="G682" i="1"/>
  <c r="K682" i="1"/>
  <c r="I682" i="1"/>
  <c r="D683" i="1"/>
  <c r="E683" i="1"/>
  <c r="J683" i="1"/>
  <c r="G683" i="1"/>
  <c r="K683" i="1"/>
  <c r="I683" i="1"/>
  <c r="D684" i="1"/>
  <c r="E684" i="1"/>
  <c r="J684" i="1"/>
  <c r="G684" i="1"/>
  <c r="K684" i="1"/>
  <c r="I684" i="1"/>
  <c r="D685" i="1"/>
  <c r="E685" i="1"/>
  <c r="J685" i="1"/>
  <c r="G685" i="1"/>
  <c r="K685" i="1"/>
  <c r="I685" i="1"/>
  <c r="D686" i="1"/>
  <c r="E686" i="1"/>
  <c r="J686" i="1"/>
  <c r="G686" i="1"/>
  <c r="K686" i="1"/>
  <c r="I686" i="1"/>
  <c r="D687" i="1"/>
  <c r="E687" i="1"/>
  <c r="J687" i="1"/>
  <c r="G687" i="1"/>
  <c r="K687" i="1"/>
  <c r="I687" i="1"/>
  <c r="D688" i="1"/>
  <c r="E688" i="1"/>
  <c r="J688" i="1"/>
  <c r="G688" i="1"/>
  <c r="K688" i="1"/>
  <c r="I688" i="1"/>
  <c r="D689" i="1"/>
  <c r="E689" i="1"/>
  <c r="J689" i="1"/>
  <c r="G689" i="1"/>
  <c r="K689" i="1"/>
  <c r="I689" i="1"/>
  <c r="D690" i="1"/>
  <c r="E690" i="1"/>
  <c r="J690" i="1"/>
  <c r="G690" i="1"/>
  <c r="K690" i="1"/>
  <c r="I690" i="1"/>
  <c r="D705" i="1"/>
  <c r="I705" i="1"/>
  <c r="J705" i="1"/>
  <c r="K705" i="1"/>
  <c r="D706" i="1"/>
  <c r="I706" i="1"/>
  <c r="J706" i="1"/>
  <c r="K706" i="1"/>
  <c r="D707" i="1"/>
  <c r="I707" i="1"/>
  <c r="J707" i="1"/>
  <c r="K707" i="1"/>
  <c r="D708" i="1"/>
  <c r="I708" i="1"/>
  <c r="J708" i="1"/>
  <c r="K708" i="1"/>
  <c r="D709" i="1"/>
  <c r="D710" i="1"/>
  <c r="D711" i="1"/>
  <c r="I711" i="1"/>
  <c r="D712" i="1"/>
  <c r="D713" i="1"/>
  <c r="I713" i="1"/>
  <c r="J713" i="1"/>
  <c r="K713" i="1"/>
  <c r="D714" i="1"/>
  <c r="D715" i="1"/>
  <c r="D716" i="1"/>
  <c r="C4" i="4"/>
  <c r="E4" i="4"/>
  <c r="F4" i="4"/>
  <c r="G4" i="4"/>
  <c r="C6" i="4"/>
  <c r="C208" i="11"/>
  <c r="C165" i="11"/>
  <c r="B88" i="11"/>
  <c r="B61" i="11"/>
  <c r="B34" i="11"/>
  <c r="BD18" i="3"/>
  <c r="BG15" i="3"/>
  <c r="AW13" i="3"/>
  <c r="AP13" i="3"/>
  <c r="AT13" i="3"/>
  <c r="AR13" i="5"/>
  <c r="X29" i="5"/>
  <c r="AQ29" i="5" s="1"/>
  <c r="T9" i="14"/>
  <c r="Q11" i="14"/>
  <c r="Q10" i="14"/>
  <c r="BG22" i="3"/>
  <c r="BG22" i="5"/>
  <c r="AZ9" i="5"/>
  <c r="T12" i="14"/>
  <c r="T19" i="14"/>
  <c r="Q22" i="14"/>
  <c r="BG24" i="3"/>
  <c r="BD13" i="3"/>
  <c r="AN13" i="3"/>
  <c r="AZ18" i="5"/>
  <c r="T22" i="14"/>
  <c r="I8" i="3"/>
  <c r="I38" i="3"/>
  <c r="Q13" i="14"/>
  <c r="Q20" i="14"/>
  <c r="U30" i="5"/>
  <c r="U29" i="5" s="1"/>
  <c r="AV18" i="5"/>
  <c r="AT13" i="5"/>
  <c r="T11" i="14"/>
  <c r="Q12" i="14"/>
  <c r="Q19" i="14"/>
  <c r="Q21" i="14"/>
  <c r="C214" i="11"/>
  <c r="C193" i="11"/>
  <c r="C242" i="11"/>
  <c r="C213" i="11"/>
  <c r="C192" i="11"/>
  <c r="C150" i="11"/>
  <c r="C89" i="11"/>
  <c r="C170" i="11"/>
  <c r="BG33" i="5"/>
  <c r="BG14" i="5"/>
  <c r="AC17" i="5"/>
  <c r="U13" i="3"/>
  <c r="BC18" i="3"/>
  <c r="AN9" i="3"/>
  <c r="BC30" i="5"/>
  <c r="BF18" i="5"/>
  <c r="BB18" i="5"/>
  <c r="AT18" i="5"/>
  <c r="BD18" i="5"/>
  <c r="AR18" i="5"/>
  <c r="Z29" i="5"/>
  <c r="AS29" i="5" s="1"/>
  <c r="AF29" i="5"/>
  <c r="AF27" i="5"/>
  <c r="AF38" i="5" s="1"/>
  <c r="AY38" i="5" s="1"/>
  <c r="AW18" i="5"/>
  <c r="AM17" i="5"/>
  <c r="AM8" i="5"/>
  <c r="X17" i="5"/>
  <c r="X8" i="5" s="1"/>
  <c r="BG21" i="5"/>
  <c r="AX18" i="5"/>
  <c r="BG34" i="3"/>
  <c r="AX18" i="3"/>
  <c r="BG21" i="3"/>
  <c r="T10" i="14"/>
  <c r="T17" i="14"/>
  <c r="T21" i="14"/>
  <c r="Q9" i="14"/>
  <c r="T13" i="14"/>
  <c r="T16" i="14"/>
  <c r="T20" i="14"/>
  <c r="AM29" i="5"/>
  <c r="BG36" i="5"/>
  <c r="AA29" i="5"/>
  <c r="AA27" i="5"/>
  <c r="AD29" i="5"/>
  <c r="AS18" i="5"/>
  <c r="AK17" i="5"/>
  <c r="AY13" i="5"/>
  <c r="BC13" i="5"/>
  <c r="AU13" i="5"/>
  <c r="AQ13" i="5"/>
  <c r="AF8" i="5"/>
  <c r="AQ18" i="3"/>
  <c r="BB18" i="3"/>
  <c r="AN18" i="3"/>
  <c r="AN17" i="3" s="1"/>
  <c r="AQ13" i="3"/>
  <c r="AU13" i="3"/>
  <c r="AK8" i="3"/>
  <c r="AL8" i="3"/>
  <c r="BG25" i="5"/>
  <c r="BD13" i="5"/>
  <c r="AV13" i="5"/>
  <c r="U13" i="5"/>
  <c r="D8" i="5"/>
  <c r="BG10" i="5"/>
  <c r="U9" i="5"/>
  <c r="AV18" i="3"/>
  <c r="C36" i="11"/>
  <c r="C224" i="11"/>
  <c r="AV29" i="5"/>
  <c r="AC27" i="5"/>
  <c r="AV27" i="5" s="1"/>
  <c r="AZ30" i="5"/>
  <c r="Y17" i="5"/>
  <c r="Y8" i="5"/>
  <c r="Y38" i="5"/>
  <c r="BC18" i="5"/>
  <c r="AS13" i="5"/>
  <c r="AS9" i="5"/>
  <c r="BD9" i="5"/>
  <c r="BG12" i="5"/>
  <c r="N29" i="5"/>
  <c r="N27" i="5"/>
  <c r="N38" i="5" s="1"/>
  <c r="AZ38" i="5" s="1"/>
  <c r="K17" i="5"/>
  <c r="K8" i="5" s="1"/>
  <c r="K38" i="5" s="1"/>
  <c r="AZ13" i="5"/>
  <c r="G8" i="5"/>
  <c r="G38" i="5" s="1"/>
  <c r="BE9" i="5"/>
  <c r="BG11" i="5"/>
  <c r="AT30" i="3"/>
  <c r="AZ30" i="3"/>
  <c r="AU18" i="3"/>
  <c r="BD17" i="3"/>
  <c r="BG14" i="3"/>
  <c r="Z8" i="3"/>
  <c r="Z38" i="3" s="1"/>
  <c r="AS38" i="3" s="1"/>
  <c r="X8" i="3"/>
  <c r="AQ8" i="3" s="1"/>
  <c r="BC13" i="3"/>
  <c r="BG11" i="3"/>
  <c r="AS30" i="3"/>
  <c r="O17" i="3"/>
  <c r="O8" i="3"/>
  <c r="E27" i="3"/>
  <c r="AQ27" i="3"/>
  <c r="AQ29" i="3"/>
  <c r="BG28" i="3"/>
  <c r="AS18" i="3"/>
  <c r="AZ18" i="3"/>
  <c r="BB17" i="3"/>
  <c r="AX13" i="3"/>
  <c r="K8" i="3"/>
  <c r="AW8" i="3" s="1"/>
  <c r="K38" i="3"/>
  <c r="BE30" i="5"/>
  <c r="AP30" i="5"/>
  <c r="L8" i="5"/>
  <c r="AX8" i="5" s="1"/>
  <c r="L38" i="5"/>
  <c r="BG20" i="5"/>
  <c r="BG16" i="5"/>
  <c r="Q8" i="5"/>
  <c r="Q38" i="5"/>
  <c r="BG15" i="5"/>
  <c r="I8" i="5"/>
  <c r="AW13" i="5"/>
  <c r="BC9" i="5"/>
  <c r="AU9" i="5"/>
  <c r="AW9" i="5"/>
  <c r="AQ9" i="5"/>
  <c r="AE27" i="5"/>
  <c r="AX27" i="5" s="1"/>
  <c r="AX29" i="5"/>
  <c r="AN30" i="5"/>
  <c r="AJ29" i="5"/>
  <c r="AJ27" i="5" s="1"/>
  <c r="AR30" i="5"/>
  <c r="AB29" i="5"/>
  <c r="AB27" i="5" s="1"/>
  <c r="AU27" i="5" s="1"/>
  <c r="AX30" i="5"/>
  <c r="AN18" i="5"/>
  <c r="AN17" i="5" s="1"/>
  <c r="AP18" i="5"/>
  <c r="AI17" i="5"/>
  <c r="AI8" i="5"/>
  <c r="AD8" i="5"/>
  <c r="AN9" i="5"/>
  <c r="BG9" i="5"/>
  <c r="W27" i="3"/>
  <c r="AP27" i="3" s="1"/>
  <c r="AS29" i="3"/>
  <c r="AU30" i="3"/>
  <c r="AW30" i="3"/>
  <c r="BE30" i="3"/>
  <c r="BG36" i="3"/>
  <c r="AP30" i="3"/>
  <c r="AQ30" i="3"/>
  <c r="AY30" i="3"/>
  <c r="AC8" i="3"/>
  <c r="AA8" i="3"/>
  <c r="AR17" i="3"/>
  <c r="AE8" i="3"/>
  <c r="AZ17" i="3"/>
  <c r="AT18" i="3"/>
  <c r="Y8" i="3"/>
  <c r="AT17" i="3"/>
  <c r="BB13" i="3"/>
  <c r="BF13" i="3"/>
  <c r="AX9" i="3"/>
  <c r="AT9" i="3"/>
  <c r="BD9" i="3"/>
  <c r="AR9" i="3"/>
  <c r="BF9" i="3"/>
  <c r="BF30" i="3"/>
  <c r="AR30" i="3"/>
  <c r="AR18" i="3"/>
  <c r="N38" i="3"/>
  <c r="P8" i="3"/>
  <c r="P38" i="3"/>
  <c r="BB38" i="3" s="1"/>
  <c r="AZ13" i="3"/>
  <c r="AY13" i="3"/>
  <c r="J8" i="3"/>
  <c r="S8" i="3"/>
  <c r="S38" i="3" s="1"/>
  <c r="BB9" i="3"/>
  <c r="L8" i="3"/>
  <c r="L38" i="3" s="1"/>
  <c r="D8" i="3"/>
  <c r="C62" i="11"/>
  <c r="C35" i="11"/>
  <c r="C226" i="11"/>
  <c r="C255" i="11"/>
  <c r="BG32" i="3"/>
  <c r="AS27" i="3"/>
  <c r="AU27" i="3"/>
  <c r="AW27" i="3"/>
  <c r="G8" i="3"/>
  <c r="AS17" i="3"/>
  <c r="BG20" i="3"/>
  <c r="BE18" i="3"/>
  <c r="AX17" i="3"/>
  <c r="AW18" i="3"/>
  <c r="M8" i="3"/>
  <c r="M38" i="3" s="1"/>
  <c r="AW17" i="3"/>
  <c r="AP18" i="3"/>
  <c r="BC17" i="3"/>
  <c r="BF18" i="3"/>
  <c r="E8" i="3"/>
  <c r="H8" i="3"/>
  <c r="H38" i="3"/>
  <c r="T38" i="3"/>
  <c r="F8" i="3"/>
  <c r="F38" i="3"/>
  <c r="R8" i="3"/>
  <c r="U9" i="3"/>
  <c r="AV9" i="3"/>
  <c r="BG12" i="3"/>
  <c r="AZ9" i="3"/>
  <c r="AK27" i="3"/>
  <c r="BD27" i="3"/>
  <c r="AE27" i="3"/>
  <c r="AX27" i="3"/>
  <c r="AX29" i="3"/>
  <c r="AL27" i="3"/>
  <c r="BE29" i="3"/>
  <c r="AA27" i="3"/>
  <c r="AT27" i="3"/>
  <c r="AT29" i="3"/>
  <c r="AY29" i="3"/>
  <c r="AF27" i="3"/>
  <c r="AY27" i="3"/>
  <c r="AI27" i="3"/>
  <c r="BB27" i="3"/>
  <c r="BB29" i="3"/>
  <c r="BF29" i="3"/>
  <c r="AM27" i="3"/>
  <c r="BF27" i="3"/>
  <c r="AR29" i="3"/>
  <c r="Y27" i="3"/>
  <c r="AR27" i="3" s="1"/>
  <c r="AZ29" i="3"/>
  <c r="AG27" i="3"/>
  <c r="AZ27" i="3" s="1"/>
  <c r="AU29" i="3"/>
  <c r="BB30" i="3"/>
  <c r="BD30" i="3"/>
  <c r="AW29" i="3"/>
  <c r="AN30" i="3"/>
  <c r="AN29" i="3" s="1"/>
  <c r="AX30" i="3"/>
  <c r="AU17" i="3"/>
  <c r="AB8" i="3"/>
  <c r="BF17" i="3"/>
  <c r="W8" i="3"/>
  <c r="AP8" i="3" s="1"/>
  <c r="AJ8" i="3"/>
  <c r="AD8" i="3"/>
  <c r="AG8" i="3"/>
  <c r="AZ8" i="3" s="1"/>
  <c r="AG27" i="5"/>
  <c r="BE29" i="5"/>
  <c r="AH27" i="5"/>
  <c r="AV30" i="5"/>
  <c r="BG35" i="5"/>
  <c r="BG28" i="5"/>
  <c r="Z8" i="5"/>
  <c r="AS17" i="5"/>
  <c r="AE8" i="5"/>
  <c r="AX17" i="5"/>
  <c r="AU17" i="5"/>
  <c r="AB8" i="5"/>
  <c r="AZ17" i="5"/>
  <c r="AG8" i="5"/>
  <c r="AT17" i="5"/>
  <c r="W8" i="5"/>
  <c r="AP8" i="5" s="1"/>
  <c r="AA8" i="5"/>
  <c r="AN13" i="5"/>
  <c r="BG13" i="5" s="1"/>
  <c r="AP13" i="5"/>
  <c r="AV9" i="5"/>
  <c r="AR9" i="5"/>
  <c r="AJ8" i="5"/>
  <c r="BC8" i="5" s="1"/>
  <c r="P27" i="5"/>
  <c r="I27" i="5"/>
  <c r="D27" i="5"/>
  <c r="R27" i="5"/>
  <c r="M27" i="5"/>
  <c r="AR29" i="5"/>
  <c r="F27" i="5"/>
  <c r="AR27" i="5"/>
  <c r="J8" i="5"/>
  <c r="J38" i="5" s="1"/>
  <c r="F8" i="5"/>
  <c r="F38" i="5" s="1"/>
  <c r="AY17" i="5"/>
  <c r="M8" i="5"/>
  <c r="T8" i="5"/>
  <c r="T38" i="5" s="1"/>
  <c r="AP17" i="5"/>
  <c r="AY18" i="5"/>
  <c r="U18" i="5"/>
  <c r="R8" i="5"/>
  <c r="R38" i="5" s="1"/>
  <c r="C63" i="11"/>
  <c r="B84" i="11"/>
  <c r="C84" i="11"/>
  <c r="C30" i="11"/>
  <c r="AY29" i="5"/>
  <c r="X27" i="5"/>
  <c r="AQ27" i="5"/>
  <c r="AY27" i="5"/>
  <c r="BF17" i="5"/>
  <c r="Z27" i="5"/>
  <c r="AS27" i="5" s="1"/>
  <c r="AC8" i="5"/>
  <c r="AN8" i="3"/>
  <c r="AZ29" i="5"/>
  <c r="BG9" i="3"/>
  <c r="Y38" i="3"/>
  <c r="AR38" i="3" s="1"/>
  <c r="AT29" i="5"/>
  <c r="BE8" i="3"/>
  <c r="BF29" i="5"/>
  <c r="AM27" i="5"/>
  <c r="AU29" i="5"/>
  <c r="AB38" i="5"/>
  <c r="AU38" i="5" s="1"/>
  <c r="AZ27" i="5"/>
  <c r="D38" i="5"/>
  <c r="AL38" i="5"/>
  <c r="AA38" i="3"/>
  <c r="AT38" i="3"/>
  <c r="BC8" i="3"/>
  <c r="AV8" i="3"/>
  <c r="BB8" i="3"/>
  <c r="I38" i="5"/>
  <c r="AU8" i="5"/>
  <c r="BC27" i="5"/>
  <c r="AG38" i="5"/>
  <c r="AN29" i="5"/>
  <c r="BG29" i="5" s="1"/>
  <c r="BG30" i="5"/>
  <c r="BB17" i="5"/>
  <c r="AZ8" i="5"/>
  <c r="AK38" i="3"/>
  <c r="BD38" i="3" s="1"/>
  <c r="AJ38" i="3"/>
  <c r="AT8" i="3"/>
  <c r="D38" i="3"/>
  <c r="G38" i="3"/>
  <c r="AS8" i="3"/>
  <c r="E38" i="3"/>
  <c r="R38" i="3"/>
  <c r="BD8" i="3"/>
  <c r="AR8" i="3"/>
  <c r="AE38" i="3"/>
  <c r="AB38" i="3"/>
  <c r="AU38" i="3" s="1"/>
  <c r="AU8" i="3"/>
  <c r="BF38" i="3"/>
  <c r="BF8" i="3"/>
  <c r="AW38" i="3"/>
  <c r="U17" i="5"/>
  <c r="U8" i="5" s="1"/>
  <c r="BG18" i="5"/>
  <c r="M38" i="5"/>
  <c r="AY8" i="5"/>
  <c r="AV8" i="5"/>
  <c r="BF27" i="5"/>
  <c r="AM38" i="5"/>
  <c r="BF38" i="5" s="1"/>
  <c r="AN27" i="3" l="1"/>
  <c r="BG17" i="5"/>
  <c r="AN8" i="5"/>
  <c r="AN38" i="3"/>
  <c r="X38" i="5"/>
  <c r="BB8" i="5"/>
  <c r="AR38" i="5"/>
  <c r="T36" i="14"/>
  <c r="Q36" i="14"/>
  <c r="AK29" i="5"/>
  <c r="BD30" i="5"/>
  <c r="AV30" i="3"/>
  <c r="AC29" i="3"/>
  <c r="Q25" i="14"/>
  <c r="T25" i="14"/>
  <c r="AR8" i="5"/>
  <c r="AW17" i="5"/>
  <c r="BE27" i="3"/>
  <c r="AL38" i="3"/>
  <c r="BE38" i="3" s="1"/>
  <c r="BD17" i="5"/>
  <c r="AK8" i="5"/>
  <c r="AG38" i="3"/>
  <c r="AZ38" i="3" s="1"/>
  <c r="AX8" i="3"/>
  <c r="AE38" i="5"/>
  <c r="AX38" i="5" s="1"/>
  <c r="AA38" i="5"/>
  <c r="Q27" i="3"/>
  <c r="O38" i="3"/>
  <c r="S17" i="5"/>
  <c r="BE18" i="5"/>
  <c r="O17" i="5"/>
  <c r="BA18" i="5"/>
  <c r="BG19" i="3"/>
  <c r="U18" i="3"/>
  <c r="C171" i="11"/>
  <c r="C243" i="11"/>
  <c r="C151" i="11"/>
  <c r="AF17" i="3"/>
  <c r="AY18" i="3"/>
  <c r="AH29" i="3"/>
  <c r="BA30" i="3"/>
  <c r="AX38" i="3"/>
  <c r="AJ38" i="5"/>
  <c r="BC38" i="5" s="1"/>
  <c r="Z38" i="5"/>
  <c r="AS38" i="5" s="1"/>
  <c r="AW8" i="5"/>
  <c r="W38" i="3"/>
  <c r="AP38" i="3" s="1"/>
  <c r="AC38" i="5"/>
  <c r="AV38" i="5" s="1"/>
  <c r="AS8" i="5"/>
  <c r="U30" i="3"/>
  <c r="BF8" i="5"/>
  <c r="BC29" i="5"/>
  <c r="BD29" i="3"/>
  <c r="J38" i="3"/>
  <c r="BC30" i="3"/>
  <c r="X38" i="3"/>
  <c r="AQ38" i="3" s="1"/>
  <c r="AD27" i="5"/>
  <c r="AW29" i="5"/>
  <c r="C90" i="11"/>
  <c r="BG13" i="3"/>
  <c r="AI29" i="5"/>
  <c r="BB30" i="5"/>
  <c r="W27" i="5"/>
  <c r="AP29" i="5"/>
  <c r="O29" i="5"/>
  <c r="O27" i="5" s="1"/>
  <c r="BA27" i="5" s="1"/>
  <c r="BA30" i="5"/>
  <c r="Q24" i="14"/>
  <c r="T23" i="14"/>
  <c r="F10" i="4"/>
  <c r="F9" i="4"/>
  <c r="F7" i="4"/>
  <c r="F12" i="4"/>
  <c r="F8" i="4"/>
  <c r="P8" i="5"/>
  <c r="P38" i="5" s="1"/>
  <c r="AH8" i="5"/>
  <c r="AU18" i="5"/>
  <c r="H8" i="5"/>
  <c r="H38" i="5" s="1"/>
  <c r="E17" i="5"/>
  <c r="AQ18" i="5"/>
  <c r="BA13" i="3"/>
  <c r="BE13" i="3"/>
  <c r="AH17" i="3"/>
  <c r="BA18" i="3"/>
  <c r="T8" i="14"/>
  <c r="Q8" i="14"/>
  <c r="AQ9" i="3"/>
  <c r="Q37" i="14"/>
  <c r="T37" i="14"/>
  <c r="AW27" i="5" l="1"/>
  <c r="AD38" i="5"/>
  <c r="AW38" i="5" s="1"/>
  <c r="AV29" i="3"/>
  <c r="AC27" i="3"/>
  <c r="BE17" i="5"/>
  <c r="S8" i="5"/>
  <c r="AT38" i="5"/>
  <c r="BD8" i="5"/>
  <c r="BG8" i="5"/>
  <c r="AI27" i="5"/>
  <c r="AN27" i="5" s="1"/>
  <c r="BB29" i="5"/>
  <c r="U17" i="3"/>
  <c r="BG18" i="3"/>
  <c r="AT8" i="5"/>
  <c r="AH38" i="5"/>
  <c r="W38" i="5"/>
  <c r="AP38" i="5" s="1"/>
  <c r="AP27" i="5"/>
  <c r="AH27" i="3"/>
  <c r="BA27" i="3" s="1"/>
  <c r="BA29" i="3"/>
  <c r="U27" i="5"/>
  <c r="U38" i="5" s="1"/>
  <c r="BA29" i="5"/>
  <c r="AF8" i="3"/>
  <c r="AY17" i="3"/>
  <c r="AK27" i="5"/>
  <c r="BD27" i="5" s="1"/>
  <c r="BD29" i="5"/>
  <c r="BA17" i="3"/>
  <c r="AH8" i="3"/>
  <c r="E8" i="5"/>
  <c r="AQ17" i="5"/>
  <c r="BG30" i="3"/>
  <c r="U29" i="3"/>
  <c r="O8" i="5"/>
  <c r="O38" i="5" s="1"/>
  <c r="BA17" i="5"/>
  <c r="BC27" i="3"/>
  <c r="Q38" i="3"/>
  <c r="BC38" i="3" s="1"/>
  <c r="BG27" i="5" l="1"/>
  <c r="AN38" i="5"/>
  <c r="BG38" i="5" s="1"/>
  <c r="AF38" i="3"/>
  <c r="AY38" i="3" s="1"/>
  <c r="AY8" i="3"/>
  <c r="BA38" i="5"/>
  <c r="AK38" i="5"/>
  <c r="BD38" i="5" s="1"/>
  <c r="AV27" i="3"/>
  <c r="AC38" i="3"/>
  <c r="AV38" i="3" s="1"/>
  <c r="BA8" i="5"/>
  <c r="BG17" i="3"/>
  <c r="U8" i="3"/>
  <c r="E38" i="5"/>
  <c r="AQ38" i="5" s="1"/>
  <c r="AQ8" i="5"/>
  <c r="S38" i="5"/>
  <c r="BE38" i="5" s="1"/>
  <c r="BE8" i="5"/>
  <c r="U27" i="3"/>
  <c r="BG27" i="3" s="1"/>
  <c r="BG29" i="3"/>
  <c r="BA8" i="3"/>
  <c r="AH38" i="3"/>
  <c r="BA38" i="3" s="1"/>
  <c r="BB27" i="5"/>
  <c r="AI38" i="5"/>
  <c r="BB38" i="5" s="1"/>
  <c r="U38" i="3" l="1"/>
  <c r="BG38" i="3" s="1"/>
  <c r="BG8" i="3"/>
</calcChain>
</file>

<file path=xl/sharedStrings.xml><?xml version="1.0" encoding="utf-8"?>
<sst xmlns="http://schemas.openxmlformats.org/spreadsheetml/2006/main" count="814" uniqueCount="189">
  <si>
    <t>Português</t>
  </si>
  <si>
    <t>English</t>
  </si>
  <si>
    <t>2009</t>
  </si>
  <si>
    <t>2010</t>
  </si>
  <si>
    <t>2011</t>
  </si>
  <si>
    <t>2012</t>
  </si>
  <si>
    <t>-</t>
  </si>
  <si>
    <t>2013</t>
  </si>
  <si>
    <t xml:space="preserve"> </t>
  </si>
  <si>
    <t>TOTAL</t>
  </si>
  <si>
    <t>Escolher Língua :
Choose Language :</t>
  </si>
  <si>
    <t>Funções Gerais de Soberania</t>
  </si>
  <si>
    <t>Funções Sociais</t>
  </si>
  <si>
    <t>Funções Económicas</t>
  </si>
  <si>
    <t>Outras Funções</t>
  </si>
  <si>
    <t>dos quais:</t>
  </si>
  <si>
    <t>2014</t>
  </si>
  <si>
    <t xml:space="preserve">Transtejo - Transportes Tejo, SA; </t>
  </si>
  <si>
    <t xml:space="preserve">Laboratório Ibérico de Nanotecnologia - INL; </t>
  </si>
  <si>
    <t xml:space="preserve">Instituto Politécnico do Cávado e do Ave; </t>
  </si>
  <si>
    <t xml:space="preserve">SAS-Instituto Politécnico do Cávado e do Ave; </t>
  </si>
  <si>
    <t xml:space="preserve">UL - Faculdade de Medicina Veterinária; </t>
  </si>
  <si>
    <t>UL - Instituto de Geografia e Ordenamento do Território</t>
  </si>
  <si>
    <t>2015</t>
  </si>
  <si>
    <t>Subsetor das Administrações Públicas</t>
  </si>
  <si>
    <t>Subsector of General Government</t>
  </si>
  <si>
    <t>Periodicidade</t>
  </si>
  <si>
    <t>Mensal</t>
  </si>
  <si>
    <t>Monthly</t>
  </si>
  <si>
    <t>Frequency</t>
  </si>
  <si>
    <t>Fonte</t>
  </si>
  <si>
    <t>MF/DGO, execução orçamental mensal</t>
  </si>
  <si>
    <t>MF/DGO, monthly budgetary reporting</t>
  </si>
  <si>
    <t>Source</t>
  </si>
  <si>
    <t>Ótica da contabilidade</t>
  </si>
  <si>
    <t>Contabilidade pública</t>
  </si>
  <si>
    <t>Cash-basis</t>
  </si>
  <si>
    <t>Accounting basis</t>
  </si>
  <si>
    <t>Período de reporte</t>
  </si>
  <si>
    <t>Reporting period</t>
  </si>
  <si>
    <t>Unidade</t>
  </si>
  <si>
    <t>Milhões de Euros</t>
  </si>
  <si>
    <t>Millions of Euro</t>
  </si>
  <si>
    <t>Unit</t>
  </si>
  <si>
    <t>Cobertura do universo</t>
  </si>
  <si>
    <t>Total</t>
  </si>
  <si>
    <t>Sector coverage</t>
  </si>
  <si>
    <t>Dados estimados</t>
  </si>
  <si>
    <t>Estimations</t>
  </si>
  <si>
    <t>Dados revistos</t>
  </si>
  <si>
    <t>Revisions</t>
  </si>
  <si>
    <t>Data da última atualização</t>
  </si>
  <si>
    <t>Last update date</t>
  </si>
  <si>
    <t>Data da próxima atualização</t>
  </si>
  <si>
    <t>Next update date</t>
  </si>
  <si>
    <t>Notas:</t>
  </si>
  <si>
    <t>Notes:</t>
  </si>
  <si>
    <t>All units within this sub-sector</t>
  </si>
  <si>
    <t>Não</t>
  </si>
  <si>
    <t>No</t>
  </si>
  <si>
    <t>Municípios</t>
  </si>
  <si>
    <t>Municipalities</t>
  </si>
  <si>
    <t>Quadro 1.1 - Metainformação</t>
  </si>
  <si>
    <t>Table 1.1 - Metadata</t>
  </si>
  <si>
    <t>Estado</t>
  </si>
  <si>
    <t>State</t>
  </si>
  <si>
    <t>Quadro 1.2 - Metainformação</t>
  </si>
  <si>
    <t>Table 1.2 - Metadata</t>
  </si>
  <si>
    <t>Serviços e Fundos Autónomos</t>
  </si>
  <si>
    <t>Autonomous Services and Funds</t>
  </si>
  <si>
    <t>Quadro 1.3 - Metainformação</t>
  </si>
  <si>
    <t>Table 1.3 - Metadata</t>
  </si>
  <si>
    <t>Quadro 1.4 - Metainformação</t>
  </si>
  <si>
    <t>Table 1.4 - Metadata</t>
  </si>
  <si>
    <t xml:space="preserve">Fundos da Segurança Social </t>
  </si>
  <si>
    <t>Social Security Funds</t>
  </si>
  <si>
    <t>Quadro 1.5 - Metainformação</t>
  </si>
  <si>
    <t>Table 1.5 - Metadata</t>
  </si>
  <si>
    <t>Administração Local</t>
  </si>
  <si>
    <t>Local Government</t>
  </si>
  <si>
    <t>Quadro 1.6 - Metainformação</t>
  </si>
  <si>
    <t>Table 1.6 - Metadata</t>
  </si>
  <si>
    <t>Administração Regional</t>
  </si>
  <si>
    <t>Regional Government</t>
  </si>
  <si>
    <t>- Amounts accounted for on the Central Revenue System (SCR). These figures are provisional until General Public Accounts are closed.</t>
  </si>
  <si>
    <t>- Os valores da receita e da despesa correspondem aos divulgados no respetivo período tendo, em alguns casos, sido objeto de ajustamento posterior à sua divulgação.</t>
  </si>
  <si>
    <t>- The revenue and expenditure data presented correspond to that reported during the respective period and may, in some cases, have been subject to adjustments after publication.</t>
  </si>
  <si>
    <t>Quadro 2 - Metainformação</t>
  </si>
  <si>
    <t>Table 2 - Metadata</t>
  </si>
  <si>
    <t>[2010 : 2012] - Anual
[2013 : presente] - Mensal</t>
  </si>
  <si>
    <t>[2010 : 2012] - Annually
[2013 : onwards] - Monthly</t>
  </si>
  <si>
    <t>- Os valores de despesa correspondem aos divulgados no respetivo período tendo, em alguns casos, sido objeto de ajustamento posterior à sua divulgação.</t>
  </si>
  <si>
    <t>-Expenditure data presented correspond to that reported during the respective period and may, in some cases, have been subject to adjustments after publication.</t>
  </si>
  <si>
    <t>- A despesa é apresentada por classificador funcional;</t>
  </si>
  <si>
    <t>- Expenditure is displayed by function;</t>
  </si>
  <si>
    <t>Quadro 3 - Metainformação</t>
  </si>
  <si>
    <t>Table 3 - Metadata</t>
  </si>
  <si>
    <t>- A despesa é apresentada por ministério e classificador economico;</t>
  </si>
  <si>
    <t>- Expenditure is displayed by ministry and economic categories;</t>
  </si>
  <si>
    <t>- Mensalmente os valores apresentados são acumulados e sobrepostos aos do mês anterior, eliminando-se assim o registo histórico;</t>
  </si>
  <si>
    <t>- Monthly presented values are accumulated and overlaid on the previous month, thus eliminating the historical record;</t>
  </si>
  <si>
    <t>Quadro 4 - Metainformação</t>
  </si>
  <si>
    <t>Table 4 - Metadata</t>
  </si>
  <si>
    <t>Quadro 5 - Metainformação</t>
  </si>
  <si>
    <t>Table 5 - Metadata</t>
  </si>
  <si>
    <r>
      <rPr>
        <b/>
        <sz val="8"/>
        <color indexed="56"/>
        <rFont val="Segoe UI"/>
        <family val="2"/>
      </rPr>
      <t xml:space="preserve">  Ministério das Finanças </t>
    </r>
    <r>
      <rPr>
        <b/>
        <i/>
        <sz val="8"/>
        <color indexed="56"/>
        <rFont val="Segoe UI"/>
        <family val="2"/>
      </rPr>
      <t xml:space="preserve">/ </t>
    </r>
    <r>
      <rPr>
        <b/>
        <i/>
        <sz val="8"/>
        <color indexed="56"/>
        <rFont val="Segoe UI"/>
        <family val="2"/>
      </rPr>
      <t>Ministry of Finance</t>
    </r>
  </si>
  <si>
    <t>- Non reporting entities, are identified, below:</t>
  </si>
  <si>
    <t>Nota - Alteração face a publicações anteriores: Revisão da série de 2012 a 2014, pela incorporação das EPR.</t>
  </si>
  <si>
    <t>Note - Change compared to previous publications: Series Revision from 2012 to 2014, by the incorporation of the EPR.</t>
  </si>
  <si>
    <t>- Os valores constantes do presente quadro não são consolidados.</t>
  </si>
  <si>
    <t>Entidades Públicas Reclassificadas</t>
  </si>
  <si>
    <t>Reclassified Public Entities</t>
  </si>
  <si>
    <t>- Data of the present chart are not consolidated.</t>
  </si>
  <si>
    <t>- Diferenças de consolidação resultam da consolidação do subsetor. As transferências, aquisição de bens e serviços da Saúde e os juros intra-setoriais são excluídos do quadro e, na parte que não é comum com a da despesa, são imputadas a diferenças de conciliação.</t>
  </si>
  <si>
    <r>
      <t>- Consolidation differences result of subsector consolidation (that is, the elimination of the corresponding values and the allocation of the expenditure's parcel which is not common with revenue to this residuary item) .</t>
    </r>
    <r>
      <rPr>
        <sz val="8"/>
        <rFont val="Arial"/>
        <family val="2"/>
      </rPr>
      <t>These operations apply to "transfers", "interest paid/income received" and "acquisition of current goods and services" (the lattest only for Health Sector).</t>
    </r>
  </si>
  <si>
    <t>- Valores registados no Sistema Central de Receitas (SCR). Estes valores são provisórios até ao encerramento da Conta Geral do Estado.</t>
  </si>
  <si>
    <t>- Entidades em incumprimento no reporte de execução orçamental no mês em análise:</t>
  </si>
  <si>
    <t>2016</t>
  </si>
  <si>
    <t>Finanças</t>
  </si>
  <si>
    <t>Justiça</t>
  </si>
  <si>
    <t>Cultura</t>
  </si>
  <si>
    <t>Ciência, Tecnologia e Ensino Superior</t>
  </si>
  <si>
    <t>Trabalho, Solidariedade e Segurança Social</t>
  </si>
  <si>
    <t>Saúde</t>
  </si>
  <si>
    <t>Planeamento e Infraestruturas</t>
  </si>
  <si>
    <t>Economia</t>
  </si>
  <si>
    <t>Ambiente</t>
  </si>
  <si>
    <t>Agricultura, Florestas e Desenvolvimento Rural</t>
  </si>
  <si>
    <t>Mar</t>
  </si>
  <si>
    <t>- As EPR são simultaneamente SFA, produzindo nesta série o respetivo impacto;</t>
  </si>
  <si>
    <t>- Reclassified Public Entities are simultaneously entities of the Autonomous Services and Funds subsector, having therefore the corresponding impact on this series.</t>
  </si>
  <si>
    <t>Quebra de série: a partir de janeiro de 2016 (inclusivé) a série abrange o universo real e o universo estimado, conforme com o mês de reporte (o período anterior contempla apenas o universo real).</t>
  </si>
  <si>
    <t>Series break: from January 2016 (inclusive) the series covers the real universe and the estimated universe, according to the reporting month (the previous period only includes the real universe).</t>
  </si>
  <si>
    <t>Nenhum</t>
  </si>
  <si>
    <t>None</t>
  </si>
  <si>
    <t>janeiro</t>
  </si>
  <si>
    <t>2017</t>
  </si>
  <si>
    <t>Quadro 6 - Metainformação</t>
  </si>
  <si>
    <t>Table 6 - Metadata</t>
  </si>
  <si>
    <t>- A receita é apresentada por classificador económico, sendo que o agregado “Transferências” engloba as transferências correntes e as de capital e o agregado “Outras receitas” inclui as outras receitas correntes, as outras receitas de capital, os recursos próprios comunitários, as reposições não abatidas nos pagamentos e, entre 2010 e 2015, os saldos da gerência anterior (nesses anos, este capítulo de receita era considerado receita efetiva);</t>
  </si>
  <si>
    <t>- Revenue is presented by economic classifier, with the "Transfers" aggregate comprising current transfers and capital transfers and the "Other revenue" aggregate includes other current revenue, other capital revenue, community own resources, refunds not deducted from payments and, between 2010 and 2015, balances of the previous management (in those years, this item was considered effective revenue);</t>
  </si>
  <si>
    <t>- Os valores constantes do presente quadro são agregados (não são consolidados);</t>
  </si>
  <si>
    <t>- Data of the present chart are aggregated (not consolidated).</t>
  </si>
  <si>
    <t>Encargos Gerais do Estado</t>
  </si>
  <si>
    <t>Presidência do conselho deMinistros</t>
  </si>
  <si>
    <t>Negócios estrangeiros</t>
  </si>
  <si>
    <t>Defesa Nacional</t>
  </si>
  <si>
    <t>Administração Interna</t>
  </si>
  <si>
    <t>Educação</t>
  </si>
  <si>
    <t>2018</t>
  </si>
  <si>
    <t>- Em janeiro de 2018, o perímetro de entidades a incluir no Orçamento de Estado foi atualizado. Nos termos da Lei do Enquadramento Orçamental (n.º 4 do artigo 2.º da Lei de Enquadramento Orçamental, aprovada pela Lei n.º 151/2015, de 11 de setembro) consideram-se integradas no setor público administrativo as entidades incluídas nas últimas contas setoriais publicadas pelo Instituto Nacional de Estatística, referentes ao ano anterior ao da apresentação do orçamento;</t>
  </si>
  <si>
    <t>-In January 2018, the perimeter of entities to be included in the state budget has been updated. According to the Budget Framework Law (paragraph 4 of Article 2 of Law No. 151/2015, of September 11) are considered integrated into the general government sector entities included in the last sector accounts published by the National Statistical Institute, for the year preceding the presentation of the budget;</t>
  </si>
  <si>
    <t>- Para as entidades abrangidas pelo Regime Simplificado (Circular Série A N.º 1387, da DGO, de 3 de agosto de 2017 - circular de preparação do Orçamento do Estado para 2018) considera-se na execução orçamental uma estimativa de execução para o mês, a qual corresponde ao último reporte de execução trimestral no presente ano, acrescido de uma estimativa de execução para o mês em análise.</t>
  </si>
  <si>
    <t>- For entities under Simplified Accounting Scheme (as foreseen at Budget General Directorate Circular 1387 of August 3th 2017 - 2018 Budget Preparation) it is being used  an estimate, which corresponds to last quarterly execution report added by an execution estimate for the current nonth;</t>
  </si>
  <si>
    <t>- Consolidation differences result of subsector consolidation (that is, the elimination of the corresponding values and the allocation of the expenditure's parcel which is not common with revenue to this residuary item) .These operations apply to "transfers", "interest paid/income received" and "acquisition of current goods and services" (the lattest only for Health Sector).</t>
  </si>
  <si>
    <t>- Os valores mensais de receita de 2017 e 2018 representam os divulgados no respetivo período e os valores de 2010 a 2016 e os de dezembro de 2017 correspondem aos valores da respetiva Conta Geral do Estado.</t>
  </si>
  <si>
    <t>- The monthly revenue amounts for 2017 and 2018 represent those disclosed in the respective period, and the values for 2010 to 2016 and those for December 2017 correspond to the values of the respective General State Account.</t>
  </si>
  <si>
    <t>- Os valores mensais representam os divulgados no respetivo período e os valores de dezembro de 2010 a 2017 correspondem aos valores da respetiva Conta Geral do Estado.</t>
  </si>
  <si>
    <t>- The monthly amounts represent those disclosed in the respective period, and the values for December of 2010 to 20176 correspond to the values of the respective General State Account.</t>
  </si>
  <si>
    <t>dez-17</t>
  </si>
  <si>
    <t>Dec-17</t>
  </si>
  <si>
    <t>- Os valores de dezembro de 2010 a 2017 correspondem aos valores da respetiva Conta Geral do Estado.</t>
  </si>
  <si>
    <t>- The  values for December of 2010 to 20176 correspond to the values of the respective General State Account.</t>
  </si>
  <si>
    <t>- The values for December of 2010 to 20176 correspond to the values of the respective General State Account.</t>
  </si>
  <si>
    <t>- Os valores  de 2010 a 2016 e os de dezembro de 2017 correspondem aos valores da respetiva Conta Geral do Estado.</t>
  </si>
  <si>
    <t>- The values for 2010 to 2016 and those for December 2017 correspond to the values of the respective General State Account.</t>
  </si>
  <si>
    <t>Es Tech Ventures, SGPS, S.A.; Fundação Carlos Lloyd Braga; Praça do Marquês - Serviços Auxiliares,S.A.; Quinta dos Cónegos - Sociedade Imobiliária,S.A.; Righthour, S.A..</t>
  </si>
  <si>
    <t>[2009-07 : 2018-09]</t>
  </si>
  <si>
    <t>[2010 : 2018-09]</t>
  </si>
  <si>
    <t>set-17</t>
  </si>
  <si>
    <t>Sep-17</t>
  </si>
  <si>
    <t>[2009-09 : 2018-09]</t>
  </si>
  <si>
    <t>setembro-2017: - Nº de municípios com dados estimados: 0
setembro-2018: - Nº de municípios com dados estimados: 5</t>
  </si>
  <si>
    <t>Set-17 e Dez-17</t>
  </si>
  <si>
    <t>set: 308 Mun.</t>
  </si>
  <si>
    <t>set: 303 Mun.; Em falta: 5</t>
  </si>
  <si>
    <t>Constância, Macedo de Cavaleiros, Moimenta da Beira, Oeiras e Setúbal.</t>
  </si>
  <si>
    <t>sep-17: - Nr. of municipalities with estimated data: 0
sep-18: - Nr. of municipalities with estimated data: 5</t>
  </si>
  <si>
    <t>Sep-17 and Dec-17</t>
  </si>
  <si>
    <t>sep: 308 Mun.</t>
  </si>
  <si>
    <t>sep: 303 Mun.; Missing report: 5</t>
  </si>
  <si>
    <t>set-17 e set-18</t>
  </si>
  <si>
    <t>Sep-17 and Sep-18</t>
  </si>
  <si>
    <t>Sep-17: - Nº of estimated entities: 5
Sep-18: - Nº of estimated entities: 13</t>
  </si>
  <si>
    <t>set-17: - Nº de entidades estimadas: 5
set-18: - Nº de entidades estimadas: 13</t>
  </si>
  <si>
    <t>AVEIROPOLIS - Sociedade para o Desenvolvimento do Programa Polis em Aveiro, S.A.; ECODETRA - Sociedade de Tratamento e Deposição de Resíduos, S.A.; Es Tech Ventures, SGPS, S.A.; Fundação Carlos Lloyd Braga; Fundação Escola Portuguesa de Macau; GNB Concessões, SGPS, S.A.; IMAR - Instituto do Mar; Instituto de Proteção e Assistência na Doença, I.P.; Mobi.E, S.A.; Praça do Marquês - Serviços Auxiliares,S.A.; Quinta dos Cónegos - Sociedade Imobiliária,S.A.; Righthour, S.A.; UL - Faculdade de Motricidade Humana.</t>
  </si>
  <si>
    <t>Sep-17: - Nº of estimated entities: 5
Sep-18: - Nº of estimated entities: 11</t>
  </si>
  <si>
    <t>set-17: - Nº de entidades estimadas: 5
set-18: - Nº de entidades estimadas: 11</t>
  </si>
  <si>
    <t>AVEIROPOLIS - Sociedade para o Desenvolvimento do Programa Polis em Aveiro, S.A.; ECODETRA - Sociedade de Tratamento e Deposição de Resíduos, S.A.; Es Tech Ventures, SGPS, S.A.; Fundação Carlos Lloyd Braga; Fundação Escola Portuguesa de Macau; GNB Concessões, SGPS, S.A.; IMAR - Instituto do Mar; Mobi.E, S.A.; Praça do Marquês - Serviços Auxiliares,S.A.; Quinta dos Cónegos - Sociedade Imobiliária,S.A.; Righthour,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</si>
</sst>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0">
    <numFmt numFmtId="43" formatCode="_(* #,##0.00_);_(* \(#,##0.00\);_(* &quot;-&quot;??_);_(@_)"/>
    <numFmt numFmtId="170" formatCode="_-* #,##0.00\ &quot;€&quot;_-;\-* #,##0.00\ &quot;€&quot;_-;_-* &quot;-&quot;??\ &quot;€&quot;_-;_-@_-"/>
    <numFmt numFmtId="171" formatCode="_-* #,##0.00\ _€_-;\-* #,##0.00\ _€_-;_-* &quot;-&quot;??\ _€_-;_-@_-"/>
    <numFmt numFmtId="172" formatCode="0.0%"/>
    <numFmt numFmtId="173" formatCode="#,##0.0"/>
    <numFmt numFmtId="174" formatCode="#,##0.000000"/>
    <numFmt numFmtId="175" formatCode="_-* #,##0.00\ [$€]_-;\-* #,##0.00\ [$€]_-;_-* &quot;-&quot;??\ [$€]_-;_-@_-"/>
    <numFmt numFmtId="176" formatCode="_-* #,##0.00\ [$€-1]_-;\-* #,##0.00\ [$€-1]_-;_-* &quot;-&quot;??\ [$€-1]_-"/>
    <numFmt numFmtId="177" formatCode="_-* #,##0.00\ &quot;Esc.&quot;_-;\-* #,##0.00\ &quot;Esc.&quot;_-;_-* &quot;-&quot;??\ &quot;Esc.&quot;_-;_-@_-"/>
    <numFmt numFmtId="178" formatCode="_-* #,##0.00\ _E_s_c_._-;\-* #,##0.00\ _E_s_c_._-;_-* &quot;-&quot;??\ _E_s_c_._-;_-@_-"/>
    <numFmt numFmtId="179" formatCode="0.0"/>
    <numFmt numFmtId="180" formatCode="_-* #,##0\ [$€-1]_-;\-* #,##0\ [$€-1]_-;_-* &quot;-&quot;??\ [$€-1]_-"/>
    <numFmt numFmtId="181" formatCode="[$-409]mmm\-yy;@"/>
    <numFmt numFmtId="182" formatCode="#,##0;\(#,##0\)"/>
    <numFmt numFmtId="183" formatCode="#,##0;\-#,##0;\-"/>
    <numFmt numFmtId="184" formatCode="&quot;$&quot;#,##0.00_);[Red]\(&quot;$&quot;#,##0.00\)"/>
    <numFmt numFmtId="185" formatCode="0.000"/>
    <numFmt numFmtId="186" formatCode="&quot;Perpetuidade (g= &quot;0.0%&quot;)&quot;"/>
    <numFmt numFmtId="187" formatCode="[$-409]mmm/yy;@"/>
    <numFmt numFmtId="188" formatCode="_-* #,##0.0\ &quot;€&quot;_-;\-* #,##0.0\ &quot;€&quot;_-;_-* &quot;-&quot;??\ &quot;€&quot;_-;_-@_-"/>
    <numFmt numFmtId="189" formatCode="_-* #,##0\ &quot;€&quot;_-;\-* #,##0\ &quot;€&quot;_-;_-* &quot;-&quot;??\ &quot;€&quot;_-;_-@_-"/>
    <numFmt numFmtId="191" formatCode="_(&quot;$&quot;* #,##0.00_);_(&quot;$&quot;* \(#,##0.00\);_(&quot;$&quot;* &quot;-&quot;??_);_(@_)"/>
    <numFmt numFmtId="192" formatCode="&quot;$&quot;#,##0_);\(&quot;$&quot;#,##0\)"/>
    <numFmt numFmtId="193" formatCode="mmmm\ d\,\ yyyy"/>
    <numFmt numFmtId="194" formatCode="#,##0.000"/>
    <numFmt numFmtId="195" formatCode="mmm\-d\-yyyy"/>
    <numFmt numFmtId="196" formatCode="#,##0.0_);[Red]\(#,##0.0\)"/>
    <numFmt numFmtId="197" formatCode="0.0%;[Red]\(0.0%\)"/>
    <numFmt numFmtId="198" formatCode="_-* #,##0.00\ _P_t_s_-;\-* #,##0.00\ _P_t_s_-;_-* &quot;-&quot;??\ _P_t_s_-;_-@_-"/>
    <numFmt numFmtId="199" formatCode="_-* #,##0.00\ &quot;Pts&quot;_-;\-* #,##0.00\ &quot;Pts&quot;_-;_-* &quot;-&quot;??\ &quot;Pts&quot;_-;_-@_-"/>
    <numFmt numFmtId="200" formatCode="#,##0\ "/>
    <numFmt numFmtId="201" formatCode="0.00_)"/>
    <numFmt numFmtId="202" formatCode="#,##0.000_);[Red]\(#,##0.000\)"/>
    <numFmt numFmtId="203" formatCode="_-* #,##0\ _€_-;\-* #,##0\ _€_-;_-* &quot;-&quot;??\ _€_-;_-@_-"/>
    <numFmt numFmtId="204" formatCode="0_)"/>
    <numFmt numFmtId="205" formatCode="0.00%;[Red]\(0.00%\)"/>
    <numFmt numFmtId="206" formatCode="0.0%&quot;Sales&quot;"/>
    <numFmt numFmtId="207" formatCode="#,##0.00000000000"/>
    <numFmt numFmtId="208" formatCode="#,##0.00000000000000"/>
    <numFmt numFmtId="209" formatCode="#,##0.00000000"/>
    <numFmt numFmtId="210" formatCode="#,##0.0000000"/>
    <numFmt numFmtId="211" formatCode="[$-816]dd/mmm/yy;@"/>
    <numFmt numFmtId="212" formatCode="[$-816]d/mmm/yy;@"/>
    <numFmt numFmtId="213" formatCode="#,##0.000;[Red]&quot;-&quot;#,##0.000"/>
    <numFmt numFmtId="214" formatCode="#,##0.00;[Red]&quot;-&quot;#,##0.00"/>
    <numFmt numFmtId="215" formatCode="_-* #,##0.000\ _€_-;\-* #,##0.000\ _€_-;_-* &quot;-&quot;??\ _€_-;_-@_-"/>
    <numFmt numFmtId="216" formatCode="_-* #,##0.0000\ _€_-;\-* #,##0.0000\ _€_-;_-* &quot;-&quot;??\ _€_-;_-@_-"/>
    <numFmt numFmtId="217" formatCode="h:mm:ss;@"/>
    <numFmt numFmtId="218" formatCode="#,##0;\-#,##0;&quot;-&quot;"/>
    <numFmt numFmtId="219" formatCode="#,##0.00;\-#,##0.00;&quot;-&quot;"/>
    <numFmt numFmtId="220" formatCode="#,##0%;\-#,##0%;&quot;- &quot;"/>
    <numFmt numFmtId="221" formatCode="#,##0.0%;\-#,##0.0%;&quot;- &quot;"/>
    <numFmt numFmtId="222" formatCode="#,##0.00%;\-#,##0.00%;&quot;- &quot;"/>
    <numFmt numFmtId="223" formatCode="#,##0.0;\-#,##0.0;&quot;-&quot;"/>
    <numFmt numFmtId="224" formatCode="[Blue]#,##0.0\ \ \ \ \ \ \ "/>
    <numFmt numFmtId="225" formatCode="0%;\(0%\)"/>
    <numFmt numFmtId="226" formatCode="\ \ @"/>
    <numFmt numFmtId="227" formatCode="\ \ \ \ @"/>
    <numFmt numFmtId="228" formatCode="m\o\n\th\ d\,\ \y\y\y\y"/>
    <numFmt numFmtId="229" formatCode="#,##0.000000000"/>
  </numFmts>
  <fonts count="156">
    <font>
      <sz val="10"/>
      <name val="Arial"/>
      <family val="2"/>
    </font>
    <font>
      <sz val="12"/>
      <name val="Times New Roman"/>
      <family val="1"/>
    </font>
    <font>
      <sz val="9"/>
      <name val="Calibri"/>
      <family val="2"/>
    </font>
    <font>
      <b/>
      <sz val="14"/>
      <color indexed="9"/>
      <name val="Calibri"/>
      <family val="2"/>
    </font>
    <font>
      <sz val="8"/>
      <name val="Calibri"/>
      <family val="2"/>
    </font>
    <font>
      <b/>
      <sz val="9"/>
      <name val="Calibri"/>
      <family val="2"/>
    </font>
    <font>
      <sz val="10"/>
      <name val="Times New Roman"/>
      <family val="1"/>
    </font>
    <font>
      <b/>
      <sz val="8"/>
      <name val="Calibri"/>
      <family val="2"/>
    </font>
    <font>
      <sz val="10"/>
      <name val="Arial"/>
      <family val="2"/>
    </font>
    <font>
      <b/>
      <sz val="9"/>
      <color indexed="9"/>
      <name val="Calibri"/>
      <family val="2"/>
    </font>
    <font>
      <b/>
      <sz val="8"/>
      <color indexed="12"/>
      <name val="Calibri"/>
      <family val="2"/>
    </font>
    <font>
      <sz val="11"/>
      <color indexed="8"/>
      <name val="Calibri"/>
      <family val="2"/>
    </font>
    <font>
      <sz val="11"/>
      <color indexed="9"/>
      <name val="Calibri"/>
      <family val="2"/>
    </font>
    <font>
      <sz val="10"/>
      <color indexed="9"/>
      <name val="Arial"/>
      <family val="2"/>
    </font>
    <font>
      <sz val="10"/>
      <color indexed="8"/>
      <name val="Arial"/>
      <family val="2"/>
    </font>
    <font>
      <sz val="10"/>
      <color indexed="16"/>
      <name val="Arial"/>
      <family val="2"/>
    </font>
    <font>
      <b/>
      <sz val="15"/>
      <color indexed="56"/>
      <name val="Calibri"/>
      <family val="2"/>
    </font>
    <font>
      <b/>
      <sz val="13"/>
      <color indexed="56"/>
      <name val="Calibri"/>
      <family val="2"/>
    </font>
    <font>
      <b/>
      <sz val="11"/>
      <color indexed="56"/>
      <name val="Calibri"/>
      <family val="2"/>
    </font>
    <font>
      <b/>
      <sz val="10"/>
      <color indexed="53"/>
      <name val="Arial"/>
      <family val="2"/>
    </font>
    <font>
      <sz val="11"/>
      <color indexed="52"/>
      <name val="Calibri"/>
      <family val="2"/>
    </font>
    <font>
      <b/>
      <sz val="10"/>
      <color indexed="9"/>
      <name val="Arial"/>
      <family val="2"/>
    </font>
    <font>
      <b/>
      <sz val="10"/>
      <color indexed="8"/>
      <name val="Arial"/>
      <family val="2"/>
    </font>
    <font>
      <i/>
      <sz val="11"/>
      <color indexed="23"/>
      <name val="Calibri"/>
      <family val="2"/>
    </font>
    <font>
      <sz val="11"/>
      <color indexed="17"/>
      <name val="Calibri"/>
      <family val="2"/>
    </font>
    <font>
      <u/>
      <sz val="11"/>
      <color indexed="12"/>
      <name val="Calibri"/>
      <family val="2"/>
    </font>
    <font>
      <sz val="11"/>
      <color indexed="20"/>
      <name val="Calibri"/>
      <family val="2"/>
    </font>
    <font>
      <sz val="11"/>
      <color indexed="62"/>
      <name val="Calibri"/>
      <family val="2"/>
    </font>
    <font>
      <sz val="10"/>
      <color indexed="60"/>
      <name val="Arial"/>
      <family val="2"/>
    </font>
    <font>
      <sz val="10"/>
      <name val="MS Sans Serif"/>
      <family val="2"/>
    </font>
    <font>
      <b/>
      <sz val="10"/>
      <color indexed="63"/>
      <name val="Arial"/>
      <family val="2"/>
    </font>
    <font>
      <b/>
      <sz val="11"/>
      <color indexed="63"/>
      <name val="Calibri"/>
      <family val="2"/>
    </font>
    <font>
      <b/>
      <sz val="18"/>
      <color indexed="62"/>
      <name val="Cambria"/>
      <family val="2"/>
    </font>
    <font>
      <sz val="11"/>
      <color indexed="10"/>
      <name val="Calibri"/>
      <family val="2"/>
    </font>
    <font>
      <b/>
      <sz val="18"/>
      <color indexed="56"/>
      <name val="Cambria"/>
      <family val="2"/>
    </font>
    <font>
      <b/>
      <sz val="11"/>
      <color indexed="8"/>
      <name val="Calibri"/>
      <family val="2"/>
    </font>
    <font>
      <b/>
      <sz val="11"/>
      <color indexed="9"/>
      <name val="Calibri"/>
      <family val="2"/>
    </font>
    <font>
      <sz val="10"/>
      <name val="Tahoma"/>
      <family val="2"/>
    </font>
    <font>
      <b/>
      <sz val="9"/>
      <name val="Helv"/>
    </font>
    <font>
      <b/>
      <sz val="18"/>
      <name val="Arial"/>
      <family val="2"/>
    </font>
    <font>
      <b/>
      <sz val="15"/>
      <color indexed="62"/>
      <name val="Calibri"/>
      <family val="2"/>
    </font>
    <font>
      <b/>
      <sz val="15"/>
      <color indexed="56"/>
      <name val="Arial"/>
      <family val="2"/>
    </font>
    <font>
      <b/>
      <sz val="13"/>
      <color indexed="62"/>
      <name val="Calibri"/>
      <family val="2"/>
    </font>
    <font>
      <b/>
      <sz val="13"/>
      <color indexed="56"/>
      <name val="Arial"/>
      <family val="2"/>
    </font>
    <font>
      <b/>
      <sz val="11"/>
      <color indexed="62"/>
      <name val="Calibri"/>
      <family val="2"/>
    </font>
    <font>
      <b/>
      <sz val="11"/>
      <color indexed="56"/>
      <name val="Arial"/>
      <family val="2"/>
    </font>
    <font>
      <b/>
      <sz val="10"/>
      <color indexed="52"/>
      <name val="Arial"/>
      <family val="2"/>
    </font>
    <font>
      <sz val="10"/>
      <color indexed="52"/>
      <name val="Arial"/>
      <family val="2"/>
    </font>
    <font>
      <sz val="12"/>
      <name val="Arial"/>
      <family val="2"/>
    </font>
    <font>
      <sz val="10"/>
      <color indexed="17"/>
      <name val="Arial"/>
      <family val="2"/>
    </font>
    <font>
      <b/>
      <sz val="8"/>
      <name val="Arial"/>
      <family val="2"/>
    </font>
    <font>
      <sz val="8"/>
      <name val="Tahoma"/>
      <family val="2"/>
    </font>
    <font>
      <sz val="10"/>
      <color indexed="62"/>
      <name val="Arial"/>
      <family val="2"/>
    </font>
    <font>
      <sz val="11"/>
      <name val="Times New Roman"/>
      <family val="1"/>
    </font>
    <font>
      <sz val="8"/>
      <name val="Arial"/>
      <family val="2"/>
    </font>
    <font>
      <sz val="10"/>
      <color indexed="23"/>
      <name val="Arial"/>
      <family val="2"/>
    </font>
    <font>
      <b/>
      <sz val="12"/>
      <name val="Arial"/>
      <family val="2"/>
    </font>
    <font>
      <sz val="10"/>
      <color indexed="20"/>
      <name val="Arial"/>
      <family val="2"/>
    </font>
    <font>
      <sz val="10"/>
      <color indexed="24"/>
      <name val="Arial"/>
      <family val="2"/>
    </font>
    <font>
      <sz val="8"/>
      <color indexed="10"/>
      <name val="Arial"/>
      <family val="2"/>
    </font>
    <font>
      <b/>
      <i/>
      <sz val="16"/>
      <name val="Helv"/>
    </font>
    <font>
      <sz val="10"/>
      <name val="Courier"/>
      <family val="3"/>
    </font>
    <font>
      <sz val="12"/>
      <name val="Courier"/>
      <family val="3"/>
    </font>
    <font>
      <sz val="10"/>
      <name val="Arial CE"/>
      <charset val="238"/>
    </font>
    <font>
      <sz val="10"/>
      <name val="Times New Roman CE"/>
      <family val="1"/>
      <charset val="238"/>
    </font>
    <font>
      <sz val="10"/>
      <name val="Helv"/>
    </font>
    <font>
      <sz val="10"/>
      <color indexed="10"/>
      <name val="Arial"/>
      <family val="2"/>
    </font>
    <font>
      <i/>
      <sz val="10"/>
      <color indexed="23"/>
      <name val="Arial"/>
      <family val="2"/>
    </font>
    <font>
      <b/>
      <sz val="16"/>
      <color indexed="9"/>
      <name val="Arial"/>
      <family val="2"/>
    </font>
    <font>
      <b/>
      <sz val="14"/>
      <name val="Arial"/>
      <family val="2"/>
    </font>
    <font>
      <b/>
      <sz val="11"/>
      <name val="Arial"/>
      <family val="2"/>
    </font>
    <font>
      <b/>
      <sz val="10"/>
      <name val="Helv"/>
    </font>
    <font>
      <b/>
      <sz val="8"/>
      <name val="Times New Roman"/>
      <family val="1"/>
    </font>
    <font>
      <b/>
      <sz val="11"/>
      <color indexed="52"/>
      <name val="Calibri"/>
      <family val="2"/>
    </font>
    <font>
      <sz val="9"/>
      <name val="UniversCondLight"/>
    </font>
    <font>
      <b/>
      <sz val="10"/>
      <color indexed="12"/>
      <name val="Calibri"/>
      <family val="2"/>
    </font>
    <font>
      <sz val="10"/>
      <name val="Calibri"/>
      <family val="2"/>
    </font>
    <font>
      <i/>
      <sz val="10"/>
      <name val="Calibri"/>
      <family val="2"/>
    </font>
    <font>
      <b/>
      <sz val="10"/>
      <name val="Calibri"/>
      <family val="2"/>
    </font>
    <font>
      <sz val="11"/>
      <color indexed="60"/>
      <name val="Calibri"/>
      <family val="2"/>
    </font>
    <font>
      <sz val="10"/>
      <name val="Arial"/>
      <family val="2"/>
    </font>
    <font>
      <u/>
      <sz val="8"/>
      <color indexed="12"/>
      <name val="Arial"/>
      <family val="2"/>
    </font>
    <font>
      <sz val="10"/>
      <name val="Arial"/>
      <family val="2"/>
    </font>
    <font>
      <b/>
      <i/>
      <sz val="8"/>
      <color indexed="56"/>
      <name val="Segoe UI"/>
      <family val="2"/>
    </font>
    <font>
      <b/>
      <sz val="10"/>
      <name val="Arial"/>
      <family val="2"/>
    </font>
    <font>
      <u/>
      <sz val="8"/>
      <name val="Arial"/>
      <family val="2"/>
    </font>
    <font>
      <i/>
      <sz val="8"/>
      <name val="Arial"/>
      <family val="2"/>
    </font>
    <font>
      <b/>
      <sz val="8"/>
      <color indexed="56"/>
      <name val="Segoe UI"/>
      <family val="2"/>
    </font>
    <font>
      <b/>
      <i/>
      <sz val="8"/>
      <name val="Arial"/>
      <family val="2"/>
    </font>
    <font>
      <i/>
      <sz val="10"/>
      <name val="Arial"/>
      <family val="2"/>
    </font>
    <font>
      <i/>
      <u/>
      <sz val="8"/>
      <name val="Arial"/>
      <family val="2"/>
    </font>
    <font>
      <i/>
      <sz val="8"/>
      <name val="Calibri"/>
      <family val="2"/>
    </font>
    <font>
      <sz val="12"/>
      <color indexed="8"/>
      <name val="Arial MT"/>
      <family val="2"/>
    </font>
    <font>
      <sz val="1"/>
      <color indexed="8"/>
      <name val="Courier"/>
      <family val="3"/>
    </font>
    <font>
      <sz val="10"/>
      <color indexed="12"/>
      <name val="Arial"/>
      <family val="2"/>
    </font>
    <font>
      <u/>
      <sz val="8"/>
      <color indexed="12"/>
      <name val="Calibri"/>
      <family val="2"/>
    </font>
    <font>
      <u/>
      <sz val="10"/>
      <color indexed="12"/>
      <name val="Arial"/>
      <family val="2"/>
    </font>
    <font>
      <sz val="10"/>
      <color indexed="14"/>
      <name val="Arial"/>
      <family val="2"/>
    </font>
    <font>
      <sz val="11"/>
      <color indexed="8"/>
      <name val="Arial Narrow"/>
      <family val="2"/>
    </font>
    <font>
      <sz val="10"/>
      <color indexed="8"/>
      <name val="Calibri"/>
      <family val="2"/>
    </font>
    <font>
      <sz val="11"/>
      <name val="Calibri"/>
      <family val="2"/>
    </font>
    <font>
      <sz val="11"/>
      <color theme="1"/>
      <name val="Calibri"/>
      <family val="2"/>
    </font>
    <font>
      <b/>
      <sz val="15"/>
      <color theme="3"/>
      <name val="Calibri"/>
      <family val="2"/>
      <scheme val="minor"/>
    </font>
    <font>
      <b/>
      <sz val="13"/>
      <color theme="3"/>
      <name val="Calibri"/>
      <family val="2"/>
      <scheme val="minor"/>
    </font>
    <font>
      <b/>
      <sz val="11"/>
      <color theme="3"/>
      <name val="Calibri"/>
      <family val="2"/>
      <scheme val="minor"/>
    </font>
    <font>
      <sz val="9"/>
      <name val="Calibri"/>
      <family val="2"/>
      <scheme val="minor"/>
    </font>
    <font>
      <b/>
      <sz val="11"/>
      <color rgb="FFFA7D00"/>
      <name val="Calibri"/>
      <family val="2"/>
    </font>
    <font>
      <sz val="11"/>
      <color rgb="FFFA7D00"/>
      <name val="Calibri"/>
      <family val="2"/>
      <scheme val="minor"/>
    </font>
    <font>
      <sz val="11"/>
      <color theme="1"/>
      <name val="Calibri"/>
      <family val="2"/>
      <scheme val="minor"/>
    </font>
    <font>
      <sz val="11"/>
      <color rgb="FF006100"/>
      <name val="Calibri"/>
      <family val="2"/>
      <scheme val="minor"/>
    </font>
    <font>
      <sz val="11"/>
      <color rgb="FF006100"/>
      <name val="Calibri"/>
      <family val="2"/>
    </font>
    <font>
      <sz val="11"/>
      <color rgb="FF3F3F76"/>
      <name val="Calibri"/>
      <family val="2"/>
      <scheme val="minor"/>
    </font>
    <font>
      <sz val="11"/>
      <color rgb="FF3F3F76"/>
      <name val="Calibri"/>
      <family val="2"/>
    </font>
    <font>
      <u/>
      <sz val="11"/>
      <color theme="10"/>
      <name val="Calibri"/>
      <family val="2"/>
    </font>
    <font>
      <u/>
      <sz val="11"/>
      <color theme="10"/>
      <name val="Calibri"/>
      <family val="2"/>
      <scheme val="minor"/>
    </font>
    <font>
      <u/>
      <sz val="8"/>
      <color rgb="FF0000FF"/>
      <name val="Calibri"/>
      <family val="2"/>
      <scheme val="minor"/>
    </font>
    <font>
      <sz val="11"/>
      <color rgb="FF9C6500"/>
      <name val="Calibri"/>
      <family val="2"/>
    </font>
    <font>
      <sz val="11"/>
      <color theme="1"/>
      <name val="Arial Narrow"/>
      <family val="2"/>
    </font>
    <font>
      <sz val="10"/>
      <color theme="1"/>
      <name val="Calibri"/>
      <family val="2"/>
      <scheme val="minor"/>
    </font>
    <font>
      <sz val="11"/>
      <color rgb="FFFF0000"/>
      <name val="Calibri"/>
      <family val="2"/>
      <scheme val="minor"/>
    </font>
    <font>
      <sz val="9"/>
      <color theme="0"/>
      <name val="Calibri"/>
      <family val="2"/>
    </font>
    <font>
      <sz val="8"/>
      <color rgb="FF0000FF"/>
      <name val="Calibri"/>
      <family val="2"/>
    </font>
    <font>
      <b/>
      <sz val="9"/>
      <color rgb="FF0000FF"/>
      <name val="Calibri"/>
      <family val="2"/>
    </font>
    <font>
      <sz val="8"/>
      <color theme="3"/>
      <name val="Calibri"/>
      <family val="2"/>
    </font>
    <font>
      <b/>
      <sz val="9"/>
      <color theme="3"/>
      <name val="Calibri"/>
      <family val="2"/>
    </font>
    <font>
      <sz val="10"/>
      <name val="Calibri"/>
      <family val="2"/>
      <scheme val="minor"/>
    </font>
    <font>
      <b/>
      <sz val="10"/>
      <color theme="3"/>
      <name val="Calibri"/>
      <family val="2"/>
      <scheme val="minor"/>
    </font>
    <font>
      <sz val="10"/>
      <color theme="3"/>
      <name val="Calibri"/>
      <family val="2"/>
      <scheme val="minor"/>
    </font>
    <font>
      <sz val="10"/>
      <color rgb="FF000099"/>
      <name val="Calibri"/>
      <family val="2"/>
      <scheme val="minor"/>
    </font>
    <font>
      <b/>
      <sz val="10"/>
      <name val="Calibri"/>
      <family val="2"/>
      <scheme val="minor"/>
    </font>
    <font>
      <b/>
      <sz val="10"/>
      <color indexed="12"/>
      <name val="Calibri"/>
      <family val="2"/>
      <scheme val="minor"/>
    </font>
    <font>
      <sz val="10"/>
      <color indexed="12"/>
      <name val="Calibri"/>
      <family val="2"/>
      <scheme val="minor"/>
    </font>
    <font>
      <b/>
      <sz val="14"/>
      <color theme="3"/>
      <name val="Calibri"/>
      <family val="2"/>
      <scheme val="minor"/>
    </font>
    <font>
      <b/>
      <sz val="14"/>
      <color theme="3"/>
      <name val="Calibri"/>
      <family val="2"/>
    </font>
    <font>
      <sz val="8"/>
      <color rgb="FFFF0000"/>
      <name val="Calibri"/>
      <family val="2"/>
    </font>
    <font>
      <sz val="8"/>
      <color theme="1"/>
      <name val="Calibri"/>
      <family val="2"/>
    </font>
    <font>
      <b/>
      <sz val="10"/>
      <color theme="9" tint="-0.499984740745262"/>
      <name val="Arial"/>
      <family val="2"/>
    </font>
    <font>
      <b/>
      <sz val="14"/>
      <color rgb="FF002060"/>
      <name val="Calibri"/>
      <family val="2"/>
      <scheme val="minor"/>
    </font>
    <font>
      <sz val="10"/>
      <color rgb="FF002060"/>
      <name val="Arial"/>
      <family val="2"/>
    </font>
    <font>
      <b/>
      <sz val="11"/>
      <color rgb="FF002060"/>
      <name val="Calibri"/>
      <family val="2"/>
      <scheme val="minor"/>
    </font>
    <font>
      <u/>
      <sz val="14"/>
      <color rgb="FF002060"/>
      <name val="Calibri"/>
      <family val="2"/>
    </font>
    <font>
      <sz val="11"/>
      <color rgb="FF002060"/>
      <name val="Calibri"/>
      <family val="2"/>
      <scheme val="minor"/>
    </font>
    <font>
      <sz val="10"/>
      <color rgb="FFFF0000"/>
      <name val="Arial"/>
      <family val="2"/>
    </font>
    <font>
      <sz val="9"/>
      <color rgb="FFFF0000"/>
      <name val="Calibri"/>
      <family val="2"/>
    </font>
    <font>
      <sz val="10"/>
      <color rgb="FFFF0000"/>
      <name val="Calibri"/>
      <family val="2"/>
    </font>
    <font>
      <b/>
      <sz val="10"/>
      <color theme="3"/>
      <name val="Calibri"/>
      <family val="2"/>
    </font>
    <font>
      <sz val="10"/>
      <color theme="3"/>
      <name val="Calibri"/>
      <family val="2"/>
    </font>
    <font>
      <sz val="8"/>
      <name val="Calibri"/>
      <family val="2"/>
      <scheme val="minor"/>
    </font>
    <font>
      <sz val="8"/>
      <color theme="0"/>
      <name val="Arial"/>
      <family val="2"/>
    </font>
    <font>
      <i/>
      <sz val="8"/>
      <color theme="0"/>
      <name val="Arial"/>
      <family val="2"/>
    </font>
    <font>
      <b/>
      <i/>
      <sz val="8"/>
      <color rgb="FF002060"/>
      <name val="Segoe UI"/>
      <family val="2"/>
    </font>
    <font>
      <i/>
      <sz val="10"/>
      <name val="Calibri"/>
      <family val="2"/>
      <scheme val="minor"/>
    </font>
    <font>
      <i/>
      <sz val="10"/>
      <color rgb="FFFF0000"/>
      <name val="Calibri"/>
      <family val="2"/>
    </font>
    <font>
      <i/>
      <sz val="9"/>
      <color rgb="FFFF0000"/>
      <name val="Calibri"/>
      <family val="2"/>
    </font>
    <font>
      <i/>
      <sz val="8"/>
      <color rgb="FFFF0000"/>
      <name val="Calibri"/>
      <family val="2"/>
    </font>
    <font>
      <b/>
      <sz val="12"/>
      <color theme="1"/>
      <name val="Calibri"/>
      <family val="2"/>
      <scheme val="minor"/>
    </font>
  </fonts>
  <fills count="6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4"/>
        <bgColor indexed="54"/>
      </patternFill>
    </fill>
    <fill>
      <patternFill patternType="solid">
        <fgColor indexed="31"/>
        <bgColor indexed="31"/>
      </patternFill>
    </fill>
    <fill>
      <patternFill patternType="solid">
        <fgColor indexed="44"/>
        <bgColor indexed="44"/>
      </patternFill>
    </fill>
    <fill>
      <patternFill patternType="solid">
        <fgColor indexed="62"/>
      </patternFill>
    </fill>
    <fill>
      <patternFill patternType="solid">
        <fgColor indexed="25"/>
        <bgColor indexed="25"/>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10"/>
      </patternFill>
    </fill>
    <fill>
      <patternFill patternType="solid">
        <fgColor indexed="42"/>
        <bgColor indexed="42"/>
      </patternFill>
    </fill>
    <fill>
      <patternFill patternType="solid">
        <fgColor indexed="57"/>
      </patternFill>
    </fill>
    <fill>
      <patternFill patternType="solid">
        <fgColor indexed="49"/>
        <bgColor indexed="49"/>
      </patternFill>
    </fill>
    <fill>
      <patternFill patternType="solid">
        <fgColor indexed="27"/>
        <bgColor indexed="27"/>
      </patternFill>
    </fill>
    <fill>
      <patternFill patternType="solid">
        <fgColor indexed="52"/>
        <bgColor indexed="52"/>
      </patternFill>
    </fill>
    <fill>
      <patternFill patternType="solid">
        <fgColor indexed="47"/>
        <bgColor indexed="47"/>
      </patternFill>
    </fill>
    <fill>
      <patternFill patternType="solid">
        <fgColor indexed="53"/>
      </patternFill>
    </fill>
    <fill>
      <patternFill patternType="solid">
        <fgColor indexed="45"/>
        <bgColor indexed="45"/>
      </patternFill>
    </fill>
    <fill>
      <patternFill patternType="solid">
        <fgColor indexed="27"/>
        <bgColor indexed="64"/>
      </patternFill>
    </fill>
    <fill>
      <patternFill patternType="solid">
        <fgColor indexed="26"/>
        <bgColor indexed="64"/>
      </patternFill>
    </fill>
    <fill>
      <patternFill patternType="solid">
        <fgColor indexed="28"/>
        <bgColor indexed="64"/>
      </patternFill>
    </fill>
    <fill>
      <patternFill patternType="solid">
        <fgColor indexed="22"/>
        <bgColor indexed="64"/>
      </patternFill>
    </fill>
    <fill>
      <patternFill patternType="solid">
        <fgColor indexed="9"/>
        <bgColor indexed="9"/>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patternFill>
    </fill>
    <fill>
      <patternFill patternType="solid">
        <fgColor indexed="51"/>
        <bgColor indexed="64"/>
      </patternFill>
    </fill>
    <fill>
      <patternFill patternType="solid">
        <fgColor indexed="43"/>
        <bgColor indexed="64"/>
      </patternFill>
    </fill>
    <fill>
      <patternFill patternType="solid">
        <fgColor indexed="43"/>
        <bgColor indexed="43"/>
      </patternFill>
    </fill>
    <fill>
      <patternFill patternType="solid">
        <fgColor indexed="26"/>
      </patternFill>
    </fill>
    <fill>
      <patternFill patternType="mediumGray"/>
    </fill>
    <fill>
      <patternFill patternType="solid">
        <fgColor indexed="42"/>
        <bgColor indexed="64"/>
      </patternFill>
    </fill>
    <fill>
      <patternFill patternType="solid">
        <fgColor indexed="24"/>
        <bgColor indexed="64"/>
      </patternFill>
    </fill>
    <fill>
      <patternFill patternType="solid">
        <fgColor indexed="9"/>
        <bgColor indexed="64"/>
      </patternFill>
    </fill>
    <fill>
      <patternFill patternType="solid">
        <fgColor theme="6" tint="0.79998168889431442"/>
        <bgColor indexed="6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lightVertical">
        <fgColor theme="6" tint="0.39994506668294322"/>
        <bgColor theme="0"/>
      </patternFill>
    </fill>
    <fill>
      <patternFill patternType="solid">
        <fgColor theme="0"/>
        <bgColor rgb="FF000000"/>
      </patternFill>
    </fill>
    <fill>
      <patternFill patternType="solid">
        <fgColor theme="3"/>
        <bgColor indexed="64"/>
      </patternFill>
    </fill>
    <fill>
      <patternFill patternType="solid">
        <fgColor rgb="FFFFFF00"/>
        <bgColor indexed="64"/>
      </patternFill>
    </fill>
    <fill>
      <patternFill patternType="solid">
        <fgColor theme="4" tint="-0.249977111117893"/>
        <bgColor indexed="64"/>
      </patternFill>
    </fill>
  </fills>
  <borders count="6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thick">
        <color indexed="47"/>
      </bottom>
      <diagonal/>
    </border>
    <border>
      <left/>
      <right/>
      <top/>
      <bottom style="medium">
        <color indexed="30"/>
      </bottom>
      <diagonal/>
    </border>
    <border>
      <left/>
      <right/>
      <top/>
      <bottom style="medium">
        <color indexed="47"/>
      </bottom>
      <diagonal/>
    </border>
    <border>
      <left style="medium">
        <color indexed="64"/>
      </left>
      <right style="medium">
        <color indexed="64"/>
      </right>
      <top/>
      <bottom style="hair">
        <color indexed="62"/>
      </bottom>
      <diagonal/>
    </border>
    <border>
      <left style="dashed">
        <color indexed="63"/>
      </left>
      <right style="dashed">
        <color indexed="63"/>
      </right>
      <top style="dashed">
        <color indexed="63"/>
      </top>
      <bottom style="dashed">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dotted">
        <color indexed="28"/>
      </left>
      <right style="dotted">
        <color indexed="28"/>
      </right>
      <top style="dotted">
        <color indexed="28"/>
      </top>
      <bottom style="dotted">
        <color indexed="28"/>
      </bottom>
      <diagonal/>
    </border>
    <border>
      <left style="thin">
        <color indexed="63"/>
      </left>
      <right style="thin">
        <color indexed="63"/>
      </right>
      <top style="thin">
        <color indexed="63"/>
      </top>
      <bottom style="thin">
        <color indexed="63"/>
      </bottom>
      <diagonal/>
    </border>
    <border>
      <left style="dashed">
        <color indexed="55"/>
      </left>
      <right style="dashed">
        <color indexed="55"/>
      </right>
      <top style="dashed">
        <color indexed="55"/>
      </top>
      <bottom style="dashed">
        <color indexed="55"/>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ashed">
        <color indexed="28"/>
      </left>
      <right style="dashed">
        <color indexed="28"/>
      </right>
      <top style="dashed">
        <color indexed="28"/>
      </top>
      <bottom style="dashed">
        <color indexed="28"/>
      </bottom>
      <diagonal/>
    </border>
    <border>
      <left/>
      <right/>
      <top/>
      <bottom style="thin">
        <color indexed="12"/>
      </bottom>
      <diagonal/>
    </border>
    <border>
      <left style="dotted">
        <color indexed="10"/>
      </left>
      <right style="dotted">
        <color indexed="10"/>
      </right>
      <top style="dotted">
        <color indexed="10"/>
      </top>
      <bottom style="dotted">
        <color indexed="10"/>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dashed">
        <color indexed="64"/>
      </top>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medium">
        <color indexed="64"/>
      </left>
      <right style="medium">
        <color indexed="64"/>
      </right>
      <top/>
      <bottom style="hair">
        <color theme="3" tint="0.3999450666829432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dotted">
        <color theme="3"/>
      </left>
      <right style="dotted">
        <color theme="3"/>
      </right>
      <top style="thin">
        <color theme="3"/>
      </top>
      <bottom style="thin">
        <color theme="3"/>
      </bottom>
      <diagonal/>
    </border>
    <border>
      <left style="dotted">
        <color theme="3"/>
      </left>
      <right/>
      <top style="thin">
        <color theme="3"/>
      </top>
      <bottom style="thin">
        <color theme="3"/>
      </bottom>
      <diagonal/>
    </border>
    <border>
      <left style="dotted">
        <color theme="3"/>
      </left>
      <right style="dotted">
        <color theme="3"/>
      </right>
      <top/>
      <bottom style="thin">
        <color theme="3"/>
      </bottom>
      <diagonal/>
    </border>
    <border>
      <left style="dotted">
        <color theme="3"/>
      </left>
      <right/>
      <top/>
      <bottom style="thin">
        <color theme="3"/>
      </bottom>
      <diagonal/>
    </border>
    <border>
      <left/>
      <right/>
      <top/>
      <bottom style="thin">
        <color theme="3"/>
      </bottom>
      <diagonal/>
    </border>
    <border>
      <left/>
      <right/>
      <top style="thin">
        <color theme="3"/>
      </top>
      <bottom/>
      <diagonal/>
    </border>
    <border>
      <left/>
      <right/>
      <top style="thin">
        <color theme="3"/>
      </top>
      <bottom style="thin">
        <color theme="3"/>
      </bottom>
      <diagonal/>
    </border>
    <border>
      <left style="dotted">
        <color theme="3"/>
      </left>
      <right style="dotted">
        <color theme="3"/>
      </right>
      <top style="thin">
        <color theme="3"/>
      </top>
      <bottom/>
      <diagonal/>
    </border>
    <border>
      <left/>
      <right/>
      <top/>
      <bottom style="medium">
        <color theme="3"/>
      </bottom>
      <diagonal/>
    </border>
    <border>
      <left/>
      <right/>
      <top/>
      <bottom style="thin">
        <color rgb="FF000099"/>
      </bottom>
      <diagonal/>
    </border>
    <border>
      <left/>
      <right/>
      <top/>
      <bottom style="thin">
        <color rgb="FF002060"/>
      </bottom>
      <diagonal/>
    </border>
    <border>
      <left/>
      <right/>
      <top style="thin">
        <color theme="4"/>
      </top>
      <bottom style="thin">
        <color theme="4"/>
      </bottom>
      <diagonal/>
    </border>
    <border>
      <left/>
      <right/>
      <top/>
      <bottom style="thin">
        <color theme="4"/>
      </bottom>
      <diagonal/>
    </border>
    <border>
      <left/>
      <right/>
      <top style="thin">
        <color theme="4"/>
      </top>
      <bottom/>
      <diagonal/>
    </border>
    <border>
      <left style="thin">
        <color rgb="FF2A4B74"/>
      </left>
      <right/>
      <top/>
      <bottom style="thin">
        <color rgb="FF2A4B74"/>
      </bottom>
      <diagonal/>
    </border>
    <border>
      <left/>
      <right style="thin">
        <color rgb="FF2A4B74"/>
      </right>
      <top/>
      <bottom style="thin">
        <color rgb="FF2A4B74"/>
      </bottom>
      <diagonal/>
    </border>
    <border>
      <left style="thin">
        <color rgb="FF2A4B74"/>
      </left>
      <right/>
      <top style="thin">
        <color rgb="FF2A4B74"/>
      </top>
      <bottom/>
      <diagonal/>
    </border>
    <border>
      <left style="thin">
        <color rgb="FF2A4B74"/>
      </left>
      <right/>
      <top/>
      <bottom/>
      <diagonal/>
    </border>
    <border>
      <left/>
      <right style="thin">
        <color rgb="FF2A4B74"/>
      </right>
      <top style="thin">
        <color rgb="FF2A4B74"/>
      </top>
      <bottom/>
      <diagonal/>
    </border>
    <border>
      <left/>
      <right style="thin">
        <color rgb="FF2A4B74"/>
      </right>
      <top/>
      <bottom/>
      <diagonal/>
    </border>
    <border>
      <left style="thin">
        <color rgb="FF2A4B74"/>
      </left>
      <right style="thin">
        <color rgb="FF2A4B74"/>
      </right>
      <top style="thin">
        <color rgb="FF2A4B74"/>
      </top>
      <bottom/>
      <diagonal/>
    </border>
    <border>
      <left style="thin">
        <color rgb="FF2A4B74"/>
      </left>
      <right style="thin">
        <color rgb="FF2A4B74"/>
      </right>
      <top/>
      <bottom/>
      <diagonal/>
    </border>
    <border>
      <left style="thin">
        <color rgb="FF2A4B74"/>
      </left>
      <right style="thin">
        <color rgb="FF2A4B74"/>
      </right>
      <top/>
      <bottom style="thin">
        <color rgb="FF2A4B74"/>
      </bottom>
      <diagonal/>
    </border>
    <border>
      <left style="dotted">
        <color theme="3"/>
      </left>
      <right/>
      <top style="thin">
        <color theme="3"/>
      </top>
      <bottom/>
      <diagonal/>
    </border>
    <border>
      <left/>
      <right style="dotted">
        <color theme="3"/>
      </right>
      <top style="thin">
        <color theme="3"/>
      </top>
      <bottom/>
      <diagonal/>
    </border>
    <border>
      <left/>
      <right style="dotted">
        <color theme="3"/>
      </right>
      <top/>
      <bottom style="thin">
        <color theme="3"/>
      </bottom>
      <diagonal/>
    </border>
    <border>
      <left/>
      <right style="dotted">
        <color theme="3"/>
      </right>
      <top style="thin">
        <color theme="3"/>
      </top>
      <bottom style="thin">
        <color theme="3"/>
      </bottom>
      <diagonal/>
    </border>
  </borders>
  <cellStyleXfs count="2476">
    <xf numFmtId="0" fontId="0" fillId="0" borderId="0"/>
    <xf numFmtId="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0" fontId="8" fillId="0" borderId="0"/>
    <xf numFmtId="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0" fontId="8" fillId="0" borderId="0"/>
    <xf numFmtId="0" fontId="8" fillId="0" borderId="0"/>
    <xf numFmtId="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2" borderId="0" applyNumberFormat="0" applyBorder="0" applyAlignment="0" applyProtection="0"/>
    <xf numFmtId="0" fontId="14" fillId="2" borderId="0" applyNumberFormat="0" applyBorder="0" applyAlignment="0" applyProtection="0"/>
    <xf numFmtId="0" fontId="14" fillId="2" borderId="0" applyNumberFormat="0" applyBorder="0" applyAlignment="0" applyProtection="0"/>
    <xf numFmtId="0" fontId="11"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01" fillId="52" borderId="0" applyNumberFormat="0" applyBorder="0" applyAlignment="0" applyProtection="0"/>
    <xf numFmtId="0" fontId="101" fillId="52" borderId="0" applyNumberFormat="0" applyBorder="0" applyAlignment="0" applyProtection="0"/>
    <xf numFmtId="0" fontId="11" fillId="4" borderId="0" applyNumberFormat="0" applyBorder="0" applyAlignment="0" applyProtection="0"/>
    <xf numFmtId="0" fontId="101" fillId="52" borderId="0" applyNumberFormat="0" applyBorder="0" applyAlignment="0" applyProtection="0"/>
    <xf numFmtId="0" fontId="14" fillId="4" borderId="0" applyNumberFormat="0" applyBorder="0" applyAlignment="0" applyProtection="0"/>
    <xf numFmtId="0" fontId="14" fillId="4" borderId="0" applyNumberFormat="0" applyBorder="0" applyAlignment="0" applyProtection="0"/>
    <xf numFmtId="0" fontId="11"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1" fillId="6" borderId="0" applyNumberFormat="0" applyBorder="0" applyAlignment="0" applyProtection="0"/>
    <xf numFmtId="0" fontId="14" fillId="6" borderId="0" applyNumberFormat="0" applyBorder="0" applyAlignment="0" applyProtection="0"/>
    <xf numFmtId="0" fontId="14" fillId="6" borderId="0" applyNumberFormat="0" applyBorder="0" applyAlignment="0" applyProtection="0"/>
    <xf numFmtId="0" fontId="11" fillId="7" borderId="0" applyNumberFormat="0" applyBorder="0" applyAlignment="0" applyProtection="0"/>
    <xf numFmtId="0" fontId="14" fillId="7" borderId="0" applyNumberFormat="0" applyBorder="0" applyAlignment="0" applyProtection="0"/>
    <xf numFmtId="0" fontId="14" fillId="7" borderId="0" applyNumberFormat="0" applyBorder="0" applyAlignment="0" applyProtection="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1" fillId="8"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1" fillId="9"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1" fillId="10" borderId="0" applyNumberFormat="0" applyBorder="0" applyAlignment="0" applyProtection="0"/>
    <xf numFmtId="0" fontId="14" fillId="10" borderId="0" applyNumberFormat="0" applyBorder="0" applyAlignment="0" applyProtection="0"/>
    <xf numFmtId="0" fontId="14" fillId="10" borderId="0" applyNumberFormat="0" applyBorder="0" applyAlignment="0" applyProtection="0"/>
    <xf numFmtId="0" fontId="11" fillId="5" borderId="0" applyNumberFormat="0" applyBorder="0" applyAlignment="0" applyProtection="0"/>
    <xf numFmtId="0" fontId="14" fillId="5" borderId="0" applyNumberFormat="0" applyBorder="0" applyAlignment="0" applyProtection="0"/>
    <xf numFmtId="0" fontId="14" fillId="5" borderId="0" applyNumberFormat="0" applyBorder="0" applyAlignment="0" applyProtection="0"/>
    <xf numFmtId="0" fontId="11" fillId="8" borderId="0" applyNumberFormat="0" applyBorder="0" applyAlignment="0" applyProtection="0"/>
    <xf numFmtId="0" fontId="14" fillId="8" borderId="0" applyNumberFormat="0" applyBorder="0" applyAlignment="0" applyProtection="0"/>
    <xf numFmtId="0" fontId="14" fillId="8" borderId="0" applyNumberFormat="0" applyBorder="0" applyAlignment="0" applyProtection="0"/>
    <xf numFmtId="0" fontId="11" fillId="11" borderId="0" applyNumberFormat="0" applyBorder="0" applyAlignment="0" applyProtection="0"/>
    <xf numFmtId="0" fontId="14" fillId="11" borderId="0" applyNumberFormat="0" applyBorder="0" applyAlignment="0" applyProtection="0"/>
    <xf numFmtId="0" fontId="14" fillId="11"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2" borderId="0" applyNumberFormat="0" applyBorder="0" applyAlignment="0" applyProtection="0"/>
    <xf numFmtId="0" fontId="13" fillId="12" borderId="0" applyNumberFormat="0" applyBorder="0" applyAlignment="0" applyProtection="0"/>
    <xf numFmtId="0" fontId="13" fillId="12" borderId="0" applyNumberFormat="0" applyBorder="0" applyAlignment="0" applyProtection="0"/>
    <xf numFmtId="0" fontId="12" fillId="9"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2" fillId="10" borderId="0" applyNumberFormat="0" applyBorder="0" applyAlignment="0" applyProtection="0"/>
    <xf numFmtId="0" fontId="13" fillId="10" borderId="0" applyNumberFormat="0" applyBorder="0" applyAlignment="0" applyProtection="0"/>
    <xf numFmtId="0" fontId="13" fillId="10" borderId="0" applyNumberFormat="0" applyBorder="0" applyAlignment="0" applyProtection="0"/>
    <xf numFmtId="0" fontId="12"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2"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2" fillId="15" borderId="0" applyNumberFormat="0" applyBorder="0" applyAlignment="0" applyProtection="0"/>
    <xf numFmtId="0" fontId="13" fillId="15" borderId="0" applyNumberFormat="0" applyBorder="0" applyAlignment="0" applyProtection="0"/>
    <xf numFmtId="0" fontId="13" fillId="15"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92" fillId="0" borderId="0"/>
    <xf numFmtId="0" fontId="92" fillId="0" borderId="0"/>
    <xf numFmtId="0" fontId="92" fillId="0" borderId="0"/>
    <xf numFmtId="0" fontId="92" fillId="0" borderId="0"/>
    <xf numFmtId="0" fontId="92" fillId="0" borderId="0"/>
    <xf numFmtId="0" fontId="13" fillId="16" borderId="0" applyNumberFormat="0" applyBorder="0" applyAlignment="0" applyProtection="0"/>
    <xf numFmtId="0" fontId="14" fillId="17" borderId="0" applyNumberFormat="0" applyBorder="0" applyAlignment="0" applyProtection="0"/>
    <xf numFmtId="0" fontId="14" fillId="17" borderId="0" applyNumberFormat="0" applyBorder="0" applyAlignment="0" applyProtection="0"/>
    <xf numFmtId="0" fontId="13" fillId="18" borderId="0" applyNumberFormat="0" applyBorder="0" applyAlignment="0" applyProtection="0"/>
    <xf numFmtId="0" fontId="12" fillId="19" borderId="0" applyNumberFormat="0" applyBorder="0" applyAlignment="0" applyProtection="0"/>
    <xf numFmtId="0" fontId="13"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3" fillId="23" borderId="0" applyNumberFormat="0" applyBorder="0" applyAlignment="0" applyProtection="0"/>
    <xf numFmtId="0" fontId="12" fillId="24" borderId="0" applyNumberFormat="0" applyBorder="0" applyAlignment="0" applyProtection="0"/>
    <xf numFmtId="0" fontId="13" fillId="23" borderId="0" applyNumberFormat="0" applyBorder="0" applyAlignment="0" applyProtection="0"/>
    <xf numFmtId="0" fontId="14" fillId="21" borderId="0" applyNumberFormat="0" applyBorder="0" applyAlignment="0" applyProtection="0"/>
    <xf numFmtId="0" fontId="14" fillId="25" borderId="0" applyNumberFormat="0" applyBorder="0" applyAlignment="0" applyProtection="0"/>
    <xf numFmtId="0" fontId="13" fillId="22" borderId="0" applyNumberFormat="0" applyBorder="0" applyAlignment="0" applyProtection="0"/>
    <xf numFmtId="0" fontId="12" fillId="26" borderId="0" applyNumberFormat="0" applyBorder="0" applyAlignment="0" applyProtection="0"/>
    <xf numFmtId="0" fontId="13" fillId="16" borderId="0" applyNumberFormat="0" applyBorder="0" applyAlignment="0" applyProtection="0"/>
    <xf numFmtId="0" fontId="14" fillId="17" borderId="0" applyNumberFormat="0" applyBorder="0" applyAlignment="0" applyProtection="0"/>
    <xf numFmtId="0" fontId="14" fillId="22" borderId="0" applyNumberFormat="0" applyBorder="0" applyAlignment="0" applyProtection="0"/>
    <xf numFmtId="0" fontId="13" fillId="22" borderId="0" applyNumberFormat="0" applyBorder="0" applyAlignment="0" applyProtection="0"/>
    <xf numFmtId="0" fontId="12" fillId="13" borderId="0" applyNumberFormat="0" applyBorder="0" applyAlignment="0" applyProtection="0"/>
    <xf numFmtId="0" fontId="13" fillId="27" borderId="0" applyNumberFormat="0" applyBorder="0" applyAlignment="0" applyProtection="0"/>
    <xf numFmtId="0" fontId="14" fillId="28" borderId="0" applyNumberFormat="0" applyBorder="0" applyAlignment="0" applyProtection="0"/>
    <xf numFmtId="0" fontId="14" fillId="17" borderId="0" applyNumberFormat="0" applyBorder="0" applyAlignment="0" applyProtection="0"/>
    <xf numFmtId="0" fontId="13" fillId="18" borderId="0" applyNumberFormat="0" applyBorder="0" applyAlignment="0" applyProtection="0"/>
    <xf numFmtId="0" fontId="12" fillId="14" borderId="0" applyNumberFormat="0" applyBorder="0" applyAlignment="0" applyProtection="0"/>
    <xf numFmtId="0" fontId="13" fillId="29" borderId="0" applyNumberFormat="0" applyBorder="0" applyAlignment="0" applyProtection="0"/>
    <xf numFmtId="0" fontId="14" fillId="21" borderId="0" applyNumberFormat="0" applyBorder="0" applyAlignment="0" applyProtection="0"/>
    <xf numFmtId="0" fontId="14" fillId="30" borderId="0" applyNumberFormat="0" applyBorder="0" applyAlignment="0" applyProtection="0"/>
    <xf numFmtId="0" fontId="13" fillId="30" borderId="0" applyNumberFormat="0" applyBorder="0" applyAlignment="0" applyProtection="0"/>
    <xf numFmtId="0" fontId="12" fillId="31" borderId="0" applyNumberFormat="0" applyBorder="0" applyAlignment="0" applyProtection="0"/>
    <xf numFmtId="181" fontId="38" fillId="0" borderId="1">
      <alignment horizontal="center" vertical="center"/>
    </xf>
    <xf numFmtId="0" fontId="15" fillId="32" borderId="0" applyNumberFormat="0" applyBorder="0" applyAlignment="0" applyProtection="0"/>
    <xf numFmtId="0" fontId="24" fillId="4" borderId="0" applyNumberFormat="0" applyBorder="0" applyAlignment="0" applyProtection="0"/>
    <xf numFmtId="0" fontId="72" fillId="0" borderId="2" applyNumberFormat="0" applyBorder="0" applyProtection="0">
      <alignment horizontal="center"/>
    </xf>
    <xf numFmtId="180" fontId="102" fillId="0" borderId="30" applyNumberFormat="0" applyFill="0" applyAlignment="0" applyProtection="0"/>
    <xf numFmtId="180" fontId="16" fillId="0" borderId="3" applyNumberFormat="0" applyFill="0" applyAlignment="0" applyProtection="0"/>
    <xf numFmtId="180" fontId="102" fillId="0" borderId="30" applyNumberFormat="0" applyFill="0" applyAlignment="0" applyProtection="0"/>
    <xf numFmtId="180" fontId="16" fillId="0" borderId="3" applyNumberFormat="0" applyFill="0" applyAlignment="0" applyProtection="0"/>
    <xf numFmtId="0" fontId="39" fillId="0" borderId="0" applyNumberFormat="0" applyFill="0" applyBorder="0" applyAlignment="0" applyProtection="0"/>
    <xf numFmtId="0" fontId="16" fillId="0" borderId="3" applyNumberFormat="0" applyFill="0" applyAlignment="0" applyProtection="0"/>
    <xf numFmtId="180" fontId="40" fillId="0" borderId="4" applyNumberFormat="0" applyFill="0" applyAlignment="0" applyProtection="0"/>
    <xf numFmtId="180" fontId="40" fillId="0" borderId="4" applyNumberFormat="0" applyFill="0" applyAlignment="0" applyProtection="0"/>
    <xf numFmtId="180" fontId="40" fillId="0" borderId="4" applyNumberFormat="0" applyFill="0" applyAlignment="0" applyProtection="0"/>
    <xf numFmtId="180" fontId="40" fillId="0" borderId="4" applyNumberFormat="0" applyFill="0" applyAlignment="0" applyProtection="0"/>
    <xf numFmtId="180" fontId="40" fillId="0" borderId="4" applyNumberFormat="0" applyFill="0" applyAlignment="0" applyProtection="0"/>
    <xf numFmtId="180" fontId="40" fillId="0" borderId="4" applyNumberFormat="0" applyFill="0" applyAlignment="0" applyProtection="0"/>
    <xf numFmtId="180" fontId="40" fillId="0" borderId="4" applyNumberFormat="0" applyFill="0" applyAlignment="0" applyProtection="0"/>
    <xf numFmtId="180" fontId="40" fillId="0" borderId="4" applyNumberFormat="0" applyFill="0" applyAlignment="0" applyProtection="0"/>
    <xf numFmtId="180" fontId="40" fillId="0" borderId="4" applyNumberFormat="0" applyFill="0" applyAlignment="0" applyProtection="0"/>
    <xf numFmtId="180" fontId="40" fillId="0" borderId="4" applyNumberFormat="0" applyFill="0" applyAlignment="0" applyProtection="0"/>
    <xf numFmtId="0" fontId="16" fillId="0" borderId="3" applyNumberFormat="0" applyFill="0" applyAlignment="0" applyProtection="0"/>
    <xf numFmtId="0" fontId="41" fillId="0" borderId="3" applyNumberFormat="0" applyFill="0" applyAlignment="0" applyProtection="0"/>
    <xf numFmtId="0" fontId="41" fillId="0" borderId="3" applyNumberFormat="0" applyFill="0" applyAlignment="0" applyProtection="0"/>
    <xf numFmtId="0" fontId="102" fillId="0" borderId="30" applyNumberFormat="0" applyFill="0" applyAlignment="0" applyProtection="0"/>
    <xf numFmtId="0" fontId="16" fillId="0" borderId="3" applyNumberFormat="0" applyFill="0" applyAlignment="0" applyProtection="0"/>
    <xf numFmtId="180" fontId="102" fillId="0" borderId="30" applyNumberFormat="0" applyFill="0" applyAlignment="0" applyProtection="0"/>
    <xf numFmtId="180" fontId="16" fillId="0" borderId="3" applyNumberFormat="0" applyFill="0" applyAlignment="0" applyProtection="0"/>
    <xf numFmtId="180" fontId="102" fillId="0" borderId="30" applyNumberFormat="0" applyFill="0" applyAlignment="0" applyProtection="0"/>
    <xf numFmtId="180" fontId="16" fillId="0" borderId="3" applyNumberFormat="0" applyFill="0" applyAlignment="0" applyProtection="0"/>
    <xf numFmtId="180" fontId="102" fillId="0" borderId="30" applyNumberFormat="0" applyFill="0" applyAlignment="0" applyProtection="0"/>
    <xf numFmtId="180" fontId="16" fillId="0" borderId="3" applyNumberFormat="0" applyFill="0" applyAlignment="0" applyProtection="0"/>
    <xf numFmtId="180" fontId="102" fillId="0" borderId="30" applyNumberFormat="0" applyFill="0" applyAlignment="0" applyProtection="0"/>
    <xf numFmtId="180" fontId="16" fillId="0" borderId="3" applyNumberFormat="0" applyFill="0" applyAlignment="0" applyProtection="0"/>
    <xf numFmtId="0" fontId="72" fillId="0" borderId="2" applyNumberFormat="0" applyBorder="0" applyProtection="0">
      <alignment horizontal="center"/>
    </xf>
    <xf numFmtId="180" fontId="103" fillId="0" borderId="31" applyNumberFormat="0" applyFill="0" applyAlignment="0" applyProtection="0"/>
    <xf numFmtId="180" fontId="17" fillId="0" borderId="5" applyNumberFormat="0" applyFill="0" applyAlignment="0" applyProtection="0"/>
    <xf numFmtId="180" fontId="103" fillId="0" borderId="31" applyNumberFormat="0" applyFill="0" applyAlignment="0" applyProtection="0"/>
    <xf numFmtId="180" fontId="17" fillId="0" borderId="5" applyNumberFormat="0" applyFill="0" applyAlignment="0" applyProtection="0"/>
    <xf numFmtId="0" fontId="17" fillId="0" borderId="5" applyNumberFormat="0" applyFill="0" applyAlignment="0" applyProtection="0"/>
    <xf numFmtId="0" fontId="72" fillId="0" borderId="2" applyNumberFormat="0" applyBorder="0" applyProtection="0">
      <alignment horizontal="center"/>
    </xf>
    <xf numFmtId="0" fontId="17" fillId="0" borderId="5" applyNumberFormat="0" applyFill="0" applyAlignment="0" applyProtection="0"/>
    <xf numFmtId="180" fontId="42" fillId="0" borderId="6" applyNumberFormat="0" applyFill="0" applyAlignment="0" applyProtection="0"/>
    <xf numFmtId="180" fontId="42" fillId="0" borderId="6" applyNumberFormat="0" applyFill="0" applyAlignment="0" applyProtection="0"/>
    <xf numFmtId="0" fontId="72" fillId="0" borderId="2" applyNumberFormat="0" applyBorder="0" applyProtection="0">
      <alignment horizontal="center"/>
    </xf>
    <xf numFmtId="180" fontId="42" fillId="0" borderId="6" applyNumberFormat="0" applyFill="0" applyAlignment="0" applyProtection="0"/>
    <xf numFmtId="0" fontId="72" fillId="0" borderId="2" applyNumberFormat="0" applyBorder="0" applyProtection="0">
      <alignment horizontal="center"/>
    </xf>
    <xf numFmtId="180" fontId="42" fillId="0" borderId="6" applyNumberFormat="0" applyFill="0" applyAlignment="0" applyProtection="0"/>
    <xf numFmtId="180" fontId="42" fillId="0" borderId="6" applyNumberFormat="0" applyFill="0" applyAlignment="0" applyProtection="0"/>
    <xf numFmtId="180" fontId="42" fillId="0" borderId="6" applyNumberFormat="0" applyFill="0" applyAlignment="0" applyProtection="0"/>
    <xf numFmtId="180" fontId="42" fillId="0" borderId="6" applyNumberFormat="0" applyFill="0" applyAlignment="0" applyProtection="0"/>
    <xf numFmtId="180" fontId="42" fillId="0" borderId="6" applyNumberFormat="0" applyFill="0" applyAlignment="0" applyProtection="0"/>
    <xf numFmtId="180" fontId="42" fillId="0" borderId="6" applyNumberFormat="0" applyFill="0" applyAlignment="0" applyProtection="0"/>
    <xf numFmtId="180" fontId="42" fillId="0" borderId="6" applyNumberFormat="0" applyFill="0" applyAlignment="0" applyProtection="0"/>
    <xf numFmtId="0" fontId="17" fillId="0" borderId="5" applyNumberFormat="0" applyFill="0" applyAlignment="0" applyProtection="0"/>
    <xf numFmtId="0" fontId="72" fillId="0" borderId="2" applyNumberFormat="0" applyBorder="0" applyProtection="0">
      <alignment horizontal="center"/>
    </xf>
    <xf numFmtId="0" fontId="43" fillId="0" borderId="5" applyNumberFormat="0" applyFill="0" applyAlignment="0" applyProtection="0"/>
    <xf numFmtId="0" fontId="72" fillId="0" borderId="2" applyNumberFormat="0" applyBorder="0" applyProtection="0">
      <alignment horizontal="center"/>
    </xf>
    <xf numFmtId="0" fontId="43" fillId="0" borderId="5" applyNumberFormat="0" applyFill="0" applyAlignment="0" applyProtection="0"/>
    <xf numFmtId="180" fontId="103" fillId="0" borderId="31" applyNumberFormat="0" applyFill="0" applyAlignment="0" applyProtection="0"/>
    <xf numFmtId="180" fontId="17" fillId="0" borderId="5" applyNumberFormat="0" applyFill="0" applyAlignment="0" applyProtection="0"/>
    <xf numFmtId="180" fontId="103" fillId="0" borderId="31" applyNumberFormat="0" applyFill="0" applyAlignment="0" applyProtection="0"/>
    <xf numFmtId="180" fontId="17" fillId="0" borderId="5" applyNumberFormat="0" applyFill="0" applyAlignment="0" applyProtection="0"/>
    <xf numFmtId="180" fontId="103" fillId="0" borderId="31" applyNumberFormat="0" applyFill="0" applyAlignment="0" applyProtection="0"/>
    <xf numFmtId="180" fontId="17" fillId="0" borderId="5" applyNumberFormat="0" applyFill="0" applyAlignment="0" applyProtection="0"/>
    <xf numFmtId="180" fontId="103" fillId="0" borderId="31" applyNumberFormat="0" applyFill="0" applyAlignment="0" applyProtection="0"/>
    <xf numFmtId="180" fontId="17" fillId="0" borderId="5" applyNumberFormat="0" applyFill="0" applyAlignment="0" applyProtection="0"/>
    <xf numFmtId="180" fontId="103" fillId="0" borderId="31" applyNumberFormat="0" applyFill="0" applyAlignment="0" applyProtection="0"/>
    <xf numFmtId="180" fontId="17" fillId="0" borderId="5" applyNumberFormat="0" applyFill="0" applyAlignment="0" applyProtection="0"/>
    <xf numFmtId="0" fontId="72" fillId="0" borderId="2" applyNumberFormat="0" applyBorder="0" applyProtection="0">
      <alignment horizontal="center"/>
    </xf>
    <xf numFmtId="180" fontId="104" fillId="0" borderId="32" applyNumberFormat="0" applyFill="0" applyAlignment="0" applyProtection="0"/>
    <xf numFmtId="180" fontId="18" fillId="0" borderId="7" applyNumberFormat="0" applyFill="0" applyAlignment="0" applyProtection="0"/>
    <xf numFmtId="180" fontId="104" fillId="0" borderId="32" applyNumberFormat="0" applyFill="0" applyAlignment="0" applyProtection="0"/>
    <xf numFmtId="180" fontId="18" fillId="0" borderId="7" applyNumberFormat="0" applyFill="0" applyAlignment="0" applyProtection="0"/>
    <xf numFmtId="0" fontId="18" fillId="0" borderId="7" applyNumberFormat="0" applyFill="0" applyAlignment="0" applyProtection="0"/>
    <xf numFmtId="0" fontId="72" fillId="0" borderId="2" applyNumberFormat="0" applyBorder="0" applyProtection="0">
      <alignment horizontal="center"/>
    </xf>
    <xf numFmtId="0" fontId="18" fillId="0" borderId="7" applyNumberFormat="0" applyFill="0" applyAlignment="0" applyProtection="0"/>
    <xf numFmtId="180" fontId="44" fillId="0" borderId="8" applyNumberFormat="0" applyFill="0" applyAlignment="0" applyProtection="0"/>
    <xf numFmtId="180" fontId="44" fillId="0" borderId="8" applyNumberFormat="0" applyFill="0" applyAlignment="0" applyProtection="0"/>
    <xf numFmtId="0" fontId="72" fillId="0" borderId="2" applyNumberFormat="0" applyBorder="0" applyProtection="0">
      <alignment horizontal="center"/>
    </xf>
    <xf numFmtId="180" fontId="44" fillId="0" borderId="8" applyNumberFormat="0" applyFill="0" applyAlignment="0" applyProtection="0"/>
    <xf numFmtId="0" fontId="72" fillId="0" borderId="2" applyNumberFormat="0" applyBorder="0" applyProtection="0">
      <alignment horizontal="center"/>
    </xf>
    <xf numFmtId="180" fontId="44" fillId="0" borderId="8" applyNumberFormat="0" applyFill="0" applyAlignment="0" applyProtection="0"/>
    <xf numFmtId="180" fontId="44" fillId="0" borderId="8" applyNumberFormat="0" applyFill="0" applyAlignment="0" applyProtection="0"/>
    <xf numFmtId="180" fontId="44" fillId="0" borderId="8" applyNumberFormat="0" applyFill="0" applyAlignment="0" applyProtection="0"/>
    <xf numFmtId="180" fontId="44" fillId="0" borderId="8" applyNumberFormat="0" applyFill="0" applyAlignment="0" applyProtection="0"/>
    <xf numFmtId="180" fontId="44" fillId="0" borderId="8" applyNumberFormat="0" applyFill="0" applyAlignment="0" applyProtection="0"/>
    <xf numFmtId="180" fontId="44" fillId="0" borderId="8" applyNumberFormat="0" applyFill="0" applyAlignment="0" applyProtection="0"/>
    <xf numFmtId="180" fontId="44" fillId="0" borderId="8" applyNumberFormat="0" applyFill="0" applyAlignment="0" applyProtection="0"/>
    <xf numFmtId="0" fontId="18" fillId="0" borderId="7" applyNumberFormat="0" applyFill="0" applyAlignment="0" applyProtection="0"/>
    <xf numFmtId="0" fontId="72" fillId="0" borderId="2" applyNumberFormat="0" applyBorder="0" applyProtection="0">
      <alignment horizontal="center"/>
    </xf>
    <xf numFmtId="0" fontId="45" fillId="0" borderId="7" applyNumberFormat="0" applyFill="0" applyAlignment="0" applyProtection="0"/>
    <xf numFmtId="0" fontId="72" fillId="0" borderId="2" applyNumberFormat="0" applyBorder="0" applyProtection="0">
      <alignment horizontal="center"/>
    </xf>
    <xf numFmtId="0" fontId="45" fillId="0" borderId="7" applyNumberFormat="0" applyFill="0" applyAlignment="0" applyProtection="0"/>
    <xf numFmtId="180" fontId="104" fillId="0" borderId="32" applyNumberFormat="0" applyFill="0" applyAlignment="0" applyProtection="0"/>
    <xf numFmtId="180" fontId="18" fillId="0" borderId="7" applyNumberFormat="0" applyFill="0" applyAlignment="0" applyProtection="0"/>
    <xf numFmtId="180" fontId="104" fillId="0" borderId="32" applyNumberFormat="0" applyFill="0" applyAlignment="0" applyProtection="0"/>
    <xf numFmtId="180" fontId="18" fillId="0" borderId="7" applyNumberFormat="0" applyFill="0" applyAlignment="0" applyProtection="0"/>
    <xf numFmtId="180" fontId="104" fillId="0" borderId="32" applyNumberFormat="0" applyFill="0" applyAlignment="0" applyProtection="0"/>
    <xf numFmtId="180" fontId="18" fillId="0" borderId="7" applyNumberFormat="0" applyFill="0" applyAlignment="0" applyProtection="0"/>
    <xf numFmtId="180" fontId="104" fillId="0" borderId="32" applyNumberFormat="0" applyFill="0" applyAlignment="0" applyProtection="0"/>
    <xf numFmtId="180" fontId="18" fillId="0" borderId="7" applyNumberFormat="0" applyFill="0" applyAlignment="0" applyProtection="0"/>
    <xf numFmtId="180" fontId="104" fillId="0" borderId="32" applyNumberFormat="0" applyFill="0" applyAlignment="0" applyProtection="0"/>
    <xf numFmtId="180" fontId="18" fillId="0" borderId="7" applyNumberFormat="0" applyFill="0" applyAlignment="0" applyProtection="0"/>
    <xf numFmtId="0" fontId="72" fillId="0" borderId="2" applyNumberFormat="0" applyBorder="0" applyProtection="0">
      <alignment horizontal="center"/>
    </xf>
    <xf numFmtId="180" fontId="104" fillId="0" borderId="0" applyNumberFormat="0" applyFill="0" applyBorder="0" applyAlignment="0" applyProtection="0"/>
    <xf numFmtId="180" fontId="18" fillId="0" borderId="0" applyNumberFormat="0" applyFill="0" applyBorder="0" applyAlignment="0" applyProtection="0"/>
    <xf numFmtId="180" fontId="104" fillId="0" borderId="0" applyNumberFormat="0" applyFill="0" applyBorder="0" applyAlignment="0" applyProtection="0"/>
    <xf numFmtId="180" fontId="18" fillId="0" borderId="0" applyNumberFormat="0" applyFill="0" applyBorder="0" applyAlignment="0" applyProtection="0"/>
    <xf numFmtId="0" fontId="18" fillId="0" borderId="0" applyNumberFormat="0" applyFill="0" applyBorder="0" applyAlignment="0" applyProtection="0"/>
    <xf numFmtId="0" fontId="72" fillId="0" borderId="2" applyNumberFormat="0" applyBorder="0" applyProtection="0">
      <alignment horizontal="center"/>
    </xf>
    <xf numFmtId="0" fontId="18" fillId="0" borderId="0" applyNumberFormat="0" applyFill="0" applyBorder="0" applyAlignment="0" applyProtection="0"/>
    <xf numFmtId="180" fontId="44" fillId="0" borderId="0" applyNumberFormat="0" applyFill="0" applyBorder="0" applyAlignment="0" applyProtection="0"/>
    <xf numFmtId="180" fontId="44" fillId="0" borderId="0" applyNumberFormat="0" applyFill="0" applyBorder="0" applyAlignment="0" applyProtection="0"/>
    <xf numFmtId="0" fontId="72" fillId="0" borderId="2" applyNumberFormat="0" applyBorder="0" applyProtection="0">
      <alignment horizontal="center"/>
    </xf>
    <xf numFmtId="180" fontId="44" fillId="0" borderId="0" applyNumberFormat="0" applyFill="0" applyBorder="0" applyAlignment="0" applyProtection="0"/>
    <xf numFmtId="0" fontId="72" fillId="0" borderId="2" applyNumberFormat="0" applyBorder="0" applyProtection="0">
      <alignment horizontal="center"/>
    </xf>
    <xf numFmtId="180" fontId="44" fillId="0" borderId="0" applyNumberFormat="0" applyFill="0" applyBorder="0" applyAlignment="0" applyProtection="0"/>
    <xf numFmtId="180" fontId="44" fillId="0" borderId="0" applyNumberFormat="0" applyFill="0" applyBorder="0" applyAlignment="0" applyProtection="0"/>
    <xf numFmtId="180" fontId="44" fillId="0" borderId="0" applyNumberFormat="0" applyFill="0" applyBorder="0" applyAlignment="0" applyProtection="0"/>
    <xf numFmtId="180" fontId="44" fillId="0" borderId="0" applyNumberFormat="0" applyFill="0" applyBorder="0" applyAlignment="0" applyProtection="0"/>
    <xf numFmtId="180" fontId="44" fillId="0" borderId="0" applyNumberFormat="0" applyFill="0" applyBorder="0" applyAlignment="0" applyProtection="0"/>
    <xf numFmtId="180" fontId="44" fillId="0" borderId="0" applyNumberFormat="0" applyFill="0" applyBorder="0" applyAlignment="0" applyProtection="0"/>
    <xf numFmtId="180" fontId="44" fillId="0" borderId="0" applyNumberFormat="0" applyFill="0" applyBorder="0" applyAlignment="0" applyProtection="0"/>
    <xf numFmtId="0" fontId="18" fillId="0" borderId="0" applyNumberFormat="0" applyFill="0" applyBorder="0" applyAlignment="0" applyProtection="0"/>
    <xf numFmtId="0" fontId="72" fillId="0" borderId="2" applyNumberFormat="0" applyBorder="0" applyProtection="0">
      <alignment horizontal="center"/>
    </xf>
    <xf numFmtId="0" fontId="45" fillId="0" borderId="0" applyNumberFormat="0" applyFill="0" applyBorder="0" applyAlignment="0" applyProtection="0"/>
    <xf numFmtId="0" fontId="72" fillId="0" borderId="2" applyNumberFormat="0" applyBorder="0" applyProtection="0">
      <alignment horizontal="center"/>
    </xf>
    <xf numFmtId="0" fontId="45" fillId="0" borderId="0" applyNumberFormat="0" applyFill="0" applyBorder="0" applyAlignment="0" applyProtection="0"/>
    <xf numFmtId="180" fontId="104" fillId="0" borderId="0" applyNumberFormat="0" applyFill="0" applyBorder="0" applyAlignment="0" applyProtection="0"/>
    <xf numFmtId="180" fontId="18" fillId="0" borderId="0" applyNumberFormat="0" applyFill="0" applyBorder="0" applyAlignment="0" applyProtection="0"/>
    <xf numFmtId="180" fontId="104" fillId="0" borderId="0" applyNumberFormat="0" applyFill="0" applyBorder="0" applyAlignment="0" applyProtection="0"/>
    <xf numFmtId="180" fontId="18" fillId="0" borderId="0" applyNumberFormat="0" applyFill="0" applyBorder="0" applyAlignment="0" applyProtection="0"/>
    <xf numFmtId="180" fontId="104" fillId="0" borderId="0" applyNumberFormat="0" applyFill="0" applyBorder="0" applyAlignment="0" applyProtection="0"/>
    <xf numFmtId="180" fontId="18" fillId="0" borderId="0" applyNumberFormat="0" applyFill="0" applyBorder="0" applyAlignment="0" applyProtection="0"/>
    <xf numFmtId="180" fontId="104" fillId="0" borderId="0" applyNumberFormat="0" applyFill="0" applyBorder="0" applyAlignment="0" applyProtection="0"/>
    <xf numFmtId="180" fontId="18" fillId="0" borderId="0" applyNumberFormat="0" applyFill="0" applyBorder="0" applyAlignment="0" applyProtection="0"/>
    <xf numFmtId="180" fontId="104" fillId="0" borderId="0" applyNumberFormat="0" applyFill="0" applyBorder="0" applyAlignment="0" applyProtection="0"/>
    <xf numFmtId="180" fontId="18" fillId="0" borderId="0" applyNumberFormat="0" applyFill="0" applyBorder="0" applyAlignment="0" applyProtection="0"/>
    <xf numFmtId="0" fontId="72" fillId="0" borderId="2" applyNumberFormat="0" applyBorder="0" applyProtection="0">
      <alignment horizontal="center"/>
    </xf>
    <xf numFmtId="0" fontId="72" fillId="0" borderId="2" applyNumberFormat="0" applyBorder="0" applyProtection="0">
      <alignment horizontal="center"/>
    </xf>
    <xf numFmtId="0" fontId="72" fillId="0" borderId="2" applyNumberFormat="0" applyBorder="0" applyProtection="0">
      <alignment horizontal="center"/>
    </xf>
    <xf numFmtId="0" fontId="72" fillId="0" borderId="2" applyNumberFormat="0" applyBorder="0" applyProtection="0">
      <alignment horizontal="center"/>
    </xf>
    <xf numFmtId="0" fontId="72" fillId="0" borderId="2" applyNumberFormat="0" applyBorder="0" applyProtection="0">
      <alignment horizontal="center"/>
    </xf>
    <xf numFmtId="173" fontId="105" fillId="0" borderId="33"/>
    <xf numFmtId="173" fontId="2" fillId="0" borderId="9"/>
    <xf numFmtId="182" fontId="8" fillId="33" borderId="10" applyNumberFormat="0">
      <alignment vertical="center"/>
    </xf>
    <xf numFmtId="183" fontId="8" fillId="34" borderId="10" applyNumberFormat="0">
      <alignment vertical="center"/>
    </xf>
    <xf numFmtId="183" fontId="8" fillId="34" borderId="10" applyNumberFormat="0">
      <alignment vertical="center"/>
    </xf>
    <xf numFmtId="182" fontId="8" fillId="35" borderId="10" applyNumberFormat="0">
      <alignment vertical="center"/>
    </xf>
    <xf numFmtId="182" fontId="8" fillId="35" borderId="10" applyNumberFormat="0">
      <alignment vertical="center"/>
    </xf>
    <xf numFmtId="182" fontId="8" fillId="36" borderId="10" applyNumberFormat="0">
      <alignment vertical="center"/>
    </xf>
    <xf numFmtId="182" fontId="8" fillId="36" borderId="10" applyNumberFormat="0">
      <alignment vertical="center"/>
    </xf>
    <xf numFmtId="3" fontId="8" fillId="0" borderId="10" applyNumberFormat="0">
      <alignment vertical="center"/>
    </xf>
    <xf numFmtId="3" fontId="8" fillId="0" borderId="10" applyNumberFormat="0">
      <alignment vertical="center"/>
    </xf>
    <xf numFmtId="182" fontId="8" fillId="33" borderId="10" applyNumberFormat="0">
      <alignment vertical="center"/>
    </xf>
    <xf numFmtId="218" fontId="14" fillId="0" borderId="0" applyFill="0" applyBorder="0" applyAlignment="0"/>
    <xf numFmtId="219" fontId="14" fillId="0" borderId="0" applyFill="0" applyBorder="0" applyAlignment="0"/>
    <xf numFmtId="220" fontId="14" fillId="0" borderId="0" applyFill="0" applyBorder="0" applyAlignment="0"/>
    <xf numFmtId="221" fontId="14" fillId="0" borderId="0" applyFill="0" applyBorder="0" applyAlignment="0"/>
    <xf numFmtId="222" fontId="14" fillId="0" borderId="0" applyFill="0" applyBorder="0" applyAlignment="0"/>
    <xf numFmtId="218" fontId="14" fillId="0" borderId="0" applyFill="0" applyBorder="0" applyAlignment="0"/>
    <xf numFmtId="223" fontId="14" fillId="0" borderId="0" applyFill="0" applyBorder="0" applyAlignment="0"/>
    <xf numFmtId="219" fontId="14" fillId="0" borderId="0" applyFill="0" applyBorder="0" applyAlignment="0"/>
    <xf numFmtId="0" fontId="19" fillId="37" borderId="11" applyNumberFormat="0" applyAlignment="0" applyProtection="0"/>
    <xf numFmtId="0" fontId="19" fillId="37" borderId="11" applyNumberFormat="0" applyAlignment="0" applyProtection="0"/>
    <xf numFmtId="0" fontId="19" fillId="37" borderId="11" applyNumberFormat="0" applyAlignment="0" applyProtection="0"/>
    <xf numFmtId="0" fontId="19" fillId="37" borderId="11" applyNumberFormat="0" applyAlignment="0" applyProtection="0"/>
    <xf numFmtId="0" fontId="19" fillId="37" borderId="11" applyNumberFormat="0" applyAlignment="0" applyProtection="0"/>
    <xf numFmtId="0" fontId="19" fillId="37" borderId="11" applyNumberFormat="0" applyAlignment="0" applyProtection="0"/>
    <xf numFmtId="0" fontId="19" fillId="37" borderId="11" applyNumberFormat="0" applyAlignment="0" applyProtection="0"/>
    <xf numFmtId="0" fontId="19" fillId="37" borderId="11" applyNumberFormat="0" applyAlignment="0" applyProtection="0"/>
    <xf numFmtId="0" fontId="73" fillId="38" borderId="11" applyNumberFormat="0" applyAlignment="0" applyProtection="0"/>
    <xf numFmtId="0" fontId="106" fillId="53" borderId="34" applyNumberFormat="0" applyAlignment="0" applyProtection="0"/>
    <xf numFmtId="0" fontId="73" fillId="38" borderId="11" applyNumberFormat="0" applyAlignment="0" applyProtection="0"/>
    <xf numFmtId="0" fontId="73" fillId="38" borderId="11" applyNumberFormat="0" applyAlignment="0" applyProtection="0"/>
    <xf numFmtId="0" fontId="73" fillId="38" borderId="11" applyNumberFormat="0" applyAlignment="0" applyProtection="0"/>
    <xf numFmtId="0" fontId="73" fillId="38" borderId="11" applyNumberFormat="0" applyAlignment="0" applyProtection="0"/>
    <xf numFmtId="0" fontId="73" fillId="38" borderId="11" applyNumberFormat="0" applyAlignment="0" applyProtection="0"/>
    <xf numFmtId="0" fontId="46" fillId="38" borderId="11" applyNumberFormat="0" applyAlignment="0" applyProtection="0"/>
    <xf numFmtId="0" fontId="46" fillId="38" borderId="11" applyNumberFormat="0" applyAlignment="0" applyProtection="0"/>
    <xf numFmtId="0" fontId="36" fillId="39" borderId="12" applyNumberFormat="0" applyAlignment="0" applyProtection="0"/>
    <xf numFmtId="180" fontId="107" fillId="0" borderId="35" applyNumberFormat="0" applyFill="0" applyAlignment="0" applyProtection="0"/>
    <xf numFmtId="180" fontId="20" fillId="0" borderId="13" applyNumberFormat="0" applyFill="0" applyAlignment="0" applyProtection="0"/>
    <xf numFmtId="180" fontId="107" fillId="0" borderId="35" applyNumberFormat="0" applyFill="0" applyAlignment="0" applyProtection="0"/>
    <xf numFmtId="180" fontId="20" fillId="0" borderId="13" applyNumberFormat="0" applyFill="0" applyAlignment="0" applyProtection="0"/>
    <xf numFmtId="0" fontId="20" fillId="0" borderId="13" applyNumberFormat="0" applyFill="0" applyAlignment="0" applyProtection="0"/>
    <xf numFmtId="180" fontId="20" fillId="0" borderId="13" applyNumberFormat="0" applyFill="0" applyAlignment="0" applyProtection="0"/>
    <xf numFmtId="180" fontId="20" fillId="0" borderId="13" applyNumberFormat="0" applyFill="0" applyAlignment="0" applyProtection="0"/>
    <xf numFmtId="180" fontId="20" fillId="0" borderId="13" applyNumberFormat="0" applyFill="0" applyAlignment="0" applyProtection="0"/>
    <xf numFmtId="180" fontId="20" fillId="0" borderId="13" applyNumberFormat="0" applyFill="0" applyAlignment="0" applyProtection="0"/>
    <xf numFmtId="180" fontId="20" fillId="0" borderId="13" applyNumberFormat="0" applyFill="0" applyAlignment="0" applyProtection="0"/>
    <xf numFmtId="180" fontId="20" fillId="0" borderId="13" applyNumberFormat="0" applyFill="0" applyAlignment="0" applyProtection="0"/>
    <xf numFmtId="180" fontId="20" fillId="0" borderId="13" applyNumberFormat="0" applyFill="0" applyAlignment="0" applyProtection="0"/>
    <xf numFmtId="180" fontId="20" fillId="0" borderId="13" applyNumberFormat="0" applyFill="0" applyAlignment="0" applyProtection="0"/>
    <xf numFmtId="180" fontId="20" fillId="0" borderId="13" applyNumberFormat="0" applyFill="0" applyAlignment="0" applyProtection="0"/>
    <xf numFmtId="180" fontId="20" fillId="0" borderId="13" applyNumberFormat="0" applyFill="0" applyAlignment="0" applyProtection="0"/>
    <xf numFmtId="0" fontId="20" fillId="0" borderId="13" applyNumberFormat="0" applyFill="0" applyAlignment="0" applyProtection="0"/>
    <xf numFmtId="0" fontId="47" fillId="0" borderId="13" applyNumberFormat="0" applyFill="0" applyAlignment="0" applyProtection="0"/>
    <xf numFmtId="0" fontId="47" fillId="0" borderId="13" applyNumberFormat="0" applyFill="0" applyAlignment="0" applyProtection="0"/>
    <xf numFmtId="180" fontId="107" fillId="0" borderId="35" applyNumberFormat="0" applyFill="0" applyAlignment="0" applyProtection="0"/>
    <xf numFmtId="180" fontId="20" fillId="0" borderId="13" applyNumberFormat="0" applyFill="0" applyAlignment="0" applyProtection="0"/>
    <xf numFmtId="180" fontId="107" fillId="0" borderId="35" applyNumberFormat="0" applyFill="0" applyAlignment="0" applyProtection="0"/>
    <xf numFmtId="180" fontId="20" fillId="0" borderId="13" applyNumberFormat="0" applyFill="0" applyAlignment="0" applyProtection="0"/>
    <xf numFmtId="180" fontId="107" fillId="0" borderId="35" applyNumberFormat="0" applyFill="0" applyAlignment="0" applyProtection="0"/>
    <xf numFmtId="180" fontId="20" fillId="0" borderId="13" applyNumberFormat="0" applyFill="0" applyAlignment="0" applyProtection="0"/>
    <xf numFmtId="180" fontId="107" fillId="0" borderId="35" applyNumberFormat="0" applyFill="0" applyAlignment="0" applyProtection="0"/>
    <xf numFmtId="180" fontId="20" fillId="0" borderId="13" applyNumberFormat="0" applyFill="0" applyAlignment="0" applyProtection="0"/>
    <xf numFmtId="180" fontId="107" fillId="0" borderId="35" applyNumberFormat="0" applyFill="0" applyAlignment="0" applyProtection="0"/>
    <xf numFmtId="180" fontId="20" fillId="0" borderId="13" applyNumberFormat="0" applyFill="0" applyAlignment="0" applyProtection="0"/>
    <xf numFmtId="0" fontId="20" fillId="0" borderId="13" applyNumberFormat="0" applyFill="0" applyAlignment="0" applyProtection="0"/>
    <xf numFmtId="0" fontId="21" fillId="23" borderId="12" applyNumberFormat="0" applyAlignment="0" applyProtection="0"/>
    <xf numFmtId="224" fontId="8" fillId="0" borderId="0"/>
    <xf numFmtId="224" fontId="8" fillId="0" borderId="0"/>
    <xf numFmtId="224" fontId="8" fillId="0" borderId="0"/>
    <xf numFmtId="224" fontId="8" fillId="0" borderId="0"/>
    <xf numFmtId="224" fontId="8" fillId="0" borderId="0"/>
    <xf numFmtId="224" fontId="8" fillId="0" borderId="0"/>
    <xf numFmtId="224" fontId="8" fillId="0" borderId="0"/>
    <xf numFmtId="224" fontId="8" fillId="0" borderId="0"/>
    <xf numFmtId="184"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43"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43"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43"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7" fontId="8" fillId="0" borderId="0" applyFont="0" applyFill="0" applyBorder="0" applyAlignment="0" applyProtection="0"/>
    <xf numFmtId="187"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8"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8" fontId="8" fillId="0" borderId="0" applyFont="0" applyFill="0" applyBorder="0" applyAlignment="0" applyProtection="0"/>
    <xf numFmtId="181" fontId="8" fillId="0" borderId="0" applyFont="0" applyFill="0" applyBorder="0" applyAlignment="0" applyProtection="0"/>
    <xf numFmtId="181" fontId="8" fillId="0" borderId="0" applyFont="0" applyFill="0" applyBorder="0" applyAlignment="0" applyProtection="0"/>
    <xf numFmtId="187" fontId="8" fillId="0" borderId="0" applyFont="0" applyFill="0" applyBorder="0" applyAlignment="0" applyProtection="0"/>
    <xf numFmtId="187"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4" fontId="8" fillId="0" borderId="0" applyFont="0" applyFill="0" applyBorder="0" applyAlignment="0" applyProtection="0"/>
    <xf numFmtId="218" fontId="8" fillId="0" borderId="0" applyFont="0" applyFill="0" applyBorder="0" applyAlignment="0" applyProtection="0"/>
    <xf numFmtId="218" fontId="8" fillId="0" borderId="0" applyFont="0" applyFill="0" applyBorder="0" applyAlignment="0" applyProtection="0"/>
    <xf numFmtId="171" fontId="11"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71" fontId="108" fillId="0" borderId="0" applyFont="0" applyFill="0" applyBorder="0" applyAlignment="0" applyProtection="0"/>
    <xf numFmtId="43" fontId="108" fillId="0" borderId="0" applyFont="0" applyFill="0" applyBorder="0" applyAlignment="0" applyProtection="0"/>
    <xf numFmtId="171" fontId="108" fillId="0" borderId="0" applyFont="0" applyFill="0" applyBorder="0" applyAlignment="0" applyProtection="0"/>
    <xf numFmtId="171" fontId="11" fillId="0" borderId="0" applyFont="0" applyFill="0" applyBorder="0" applyAlignment="0" applyProtection="0"/>
    <xf numFmtId="171"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71" fontId="108" fillId="0" borderId="0" applyFont="0" applyFill="0" applyBorder="0" applyAlignment="0" applyProtection="0"/>
    <xf numFmtId="43" fontId="108" fillId="0" borderId="0" applyFont="0" applyFill="0" applyBorder="0" applyAlignment="0" applyProtection="0"/>
    <xf numFmtId="171" fontId="108" fillId="0" borderId="0" applyFont="0" applyFill="0" applyBorder="0" applyAlignment="0" applyProtection="0"/>
    <xf numFmtId="171" fontId="11" fillId="0" borderId="0" applyFont="0" applyFill="0" applyBorder="0" applyAlignment="0" applyProtection="0"/>
    <xf numFmtId="171"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71" fontId="108" fillId="0" borderId="0" applyFont="0" applyFill="0" applyBorder="0" applyAlignment="0" applyProtection="0"/>
    <xf numFmtId="43" fontId="108" fillId="0" borderId="0" applyFont="0" applyFill="0" applyBorder="0" applyAlignment="0" applyProtection="0"/>
    <xf numFmtId="171" fontId="108" fillId="0" borderId="0" applyFont="0" applyFill="0" applyBorder="0" applyAlignment="0" applyProtection="0"/>
    <xf numFmtId="171" fontId="11" fillId="0" borderId="0" applyFont="0" applyFill="0" applyBorder="0" applyAlignment="0" applyProtection="0"/>
    <xf numFmtId="171"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71" fontId="108" fillId="0" borderId="0" applyFont="0" applyFill="0" applyBorder="0" applyAlignment="0" applyProtection="0"/>
    <xf numFmtId="43" fontId="108" fillId="0" borderId="0" applyFont="0" applyFill="0" applyBorder="0" applyAlignment="0" applyProtection="0"/>
    <xf numFmtId="171" fontId="108" fillId="0" borderId="0" applyFont="0" applyFill="0" applyBorder="0" applyAlignment="0" applyProtection="0"/>
    <xf numFmtId="171" fontId="11" fillId="0" borderId="0" applyFont="0" applyFill="0" applyBorder="0" applyAlignment="0" applyProtection="0"/>
    <xf numFmtId="171"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71" fontId="108" fillId="0" borderId="0" applyFont="0" applyFill="0" applyBorder="0" applyAlignment="0" applyProtection="0"/>
    <xf numFmtId="43" fontId="108" fillId="0" borderId="0" applyFont="0" applyFill="0" applyBorder="0" applyAlignment="0" applyProtection="0"/>
    <xf numFmtId="171" fontId="108" fillId="0" borderId="0" applyFont="0" applyFill="0" applyBorder="0" applyAlignment="0" applyProtection="0"/>
    <xf numFmtId="171" fontId="11" fillId="0" borderId="0" applyFont="0" applyFill="0" applyBorder="0" applyAlignment="0" applyProtection="0"/>
    <xf numFmtId="171" fontId="108" fillId="0" borderId="0" applyFont="0" applyFill="0" applyBorder="0" applyAlignment="0" applyProtection="0"/>
    <xf numFmtId="43" fontId="10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43" fontId="108" fillId="0" borderId="0" applyFont="0" applyFill="0" applyBorder="0" applyAlignment="0" applyProtection="0"/>
    <xf numFmtId="171" fontId="108" fillId="0" borderId="0" applyFont="0" applyFill="0" applyBorder="0" applyAlignment="0" applyProtection="0"/>
    <xf numFmtId="43" fontId="108" fillId="0" borderId="0" applyFont="0" applyFill="0" applyBorder="0" applyAlignment="0" applyProtection="0"/>
    <xf numFmtId="171" fontId="108" fillId="0" borderId="0" applyFont="0" applyFill="0" applyBorder="0" applyAlignment="0" applyProtection="0"/>
    <xf numFmtId="171" fontId="11" fillId="0" borderId="0" applyFont="0" applyFill="0" applyBorder="0" applyAlignment="0" applyProtection="0"/>
    <xf numFmtId="171" fontId="108" fillId="0" borderId="0" applyFont="0" applyFill="0" applyBorder="0" applyAlignment="0" applyProtection="0"/>
    <xf numFmtId="43" fontId="108" fillId="0" borderId="0" applyFont="0" applyFill="0" applyBorder="0" applyAlignment="0" applyProtection="0"/>
    <xf numFmtId="43" fontId="108" fillId="0" borderId="0" applyFont="0" applyFill="0" applyBorder="0" applyAlignment="0" applyProtection="0"/>
    <xf numFmtId="171" fontId="108" fillId="0" borderId="0" applyFont="0" applyFill="0" applyBorder="0" applyAlignment="0" applyProtection="0"/>
    <xf numFmtId="43" fontId="108" fillId="0" borderId="0" applyFont="0" applyFill="0" applyBorder="0" applyAlignment="0" applyProtection="0"/>
    <xf numFmtId="171" fontId="108" fillId="0" borderId="0" applyFont="0" applyFill="0" applyBorder="0" applyAlignment="0" applyProtection="0"/>
    <xf numFmtId="171" fontId="11" fillId="0" borderId="0" applyFont="0" applyFill="0" applyBorder="0" applyAlignment="0" applyProtection="0"/>
    <xf numFmtId="171" fontId="108" fillId="0" borderId="0" applyFont="0" applyFill="0" applyBorder="0" applyAlignment="0" applyProtection="0"/>
    <xf numFmtId="171" fontId="11" fillId="0" borderId="0" applyFont="0" applyFill="0" applyBorder="0" applyAlignment="0" applyProtection="0"/>
    <xf numFmtId="171"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3" fontId="8" fillId="0" borderId="0" applyFill="0" applyBorder="0" applyAlignment="0" applyProtection="0"/>
    <xf numFmtId="3" fontId="8" fillId="0" borderId="0" applyFill="0" applyBorder="0" applyAlignment="0" applyProtection="0"/>
    <xf numFmtId="0" fontId="12" fillId="19" borderId="0" applyNumberFormat="0" applyBorder="0" applyAlignment="0" applyProtection="0"/>
    <xf numFmtId="0" fontId="13" fillId="19" borderId="0" applyNumberFormat="0" applyBorder="0" applyAlignment="0" applyProtection="0"/>
    <xf numFmtId="0" fontId="13" fillId="19" borderId="0" applyNumberFormat="0" applyBorder="0" applyAlignment="0" applyProtection="0"/>
    <xf numFmtId="0" fontId="12" fillId="24" borderId="0" applyNumberFormat="0" applyBorder="0" applyAlignment="0" applyProtection="0"/>
    <xf numFmtId="0" fontId="13" fillId="24" borderId="0" applyNumberFormat="0" applyBorder="0" applyAlignment="0" applyProtection="0"/>
    <xf numFmtId="0" fontId="13" fillId="24" borderId="0" applyNumberFormat="0" applyBorder="0" applyAlignment="0" applyProtection="0"/>
    <xf numFmtId="0" fontId="12" fillId="26" borderId="0" applyNumberFormat="0" applyBorder="0" applyAlignment="0" applyProtection="0"/>
    <xf numFmtId="0" fontId="13" fillId="26" borderId="0" applyNumberFormat="0" applyBorder="0" applyAlignment="0" applyProtection="0"/>
    <xf numFmtId="0" fontId="13" fillId="26" borderId="0" applyNumberFormat="0" applyBorder="0" applyAlignment="0" applyProtection="0"/>
    <xf numFmtId="0" fontId="12" fillId="13" borderId="0" applyNumberFormat="0" applyBorder="0" applyAlignment="0" applyProtection="0"/>
    <xf numFmtId="0" fontId="13" fillId="13" borderId="0" applyNumberFormat="0" applyBorder="0" applyAlignment="0" applyProtection="0"/>
    <xf numFmtId="0" fontId="13" fillId="13" borderId="0" applyNumberFormat="0" applyBorder="0" applyAlignment="0" applyProtection="0"/>
    <xf numFmtId="0" fontId="12" fillId="14" borderId="0" applyNumberFormat="0" applyBorder="0" applyAlignment="0" applyProtection="0"/>
    <xf numFmtId="0" fontId="13" fillId="14" borderId="0" applyNumberFormat="0" applyBorder="0" applyAlignment="0" applyProtection="0"/>
    <xf numFmtId="0" fontId="13" fillId="14" borderId="0" applyNumberFormat="0" applyBorder="0" applyAlignment="0" applyProtection="0"/>
    <xf numFmtId="0" fontId="12" fillId="31" borderId="0" applyNumberFormat="0" applyBorder="0" applyAlignment="0" applyProtection="0"/>
    <xf numFmtId="0" fontId="13" fillId="31" borderId="0" applyNumberFormat="0" applyBorder="0" applyAlignment="0" applyProtection="0"/>
    <xf numFmtId="0" fontId="13" fillId="31" borderId="0" applyNumberFormat="0" applyBorder="0" applyAlignment="0" applyProtection="0"/>
    <xf numFmtId="180" fontId="109" fillId="54" borderId="0" applyNumberFormat="0" applyBorder="0" applyAlignment="0" applyProtection="0"/>
    <xf numFmtId="180" fontId="24" fillId="4" borderId="0" applyNumberFormat="0" applyBorder="0" applyAlignment="0" applyProtection="0"/>
    <xf numFmtId="180" fontId="109" fillId="54" borderId="0" applyNumberFormat="0" applyBorder="0" applyAlignment="0" applyProtection="0"/>
    <xf numFmtId="180" fontId="24" fillId="4" borderId="0" applyNumberFormat="0" applyBorder="0" applyAlignment="0" applyProtection="0"/>
    <xf numFmtId="0" fontId="110" fillId="54" borderId="0" applyNumberFormat="0" applyBorder="0" applyAlignment="0" applyProtection="0"/>
    <xf numFmtId="180" fontId="24" fillId="4" borderId="0" applyNumberFormat="0" applyBorder="0" applyAlignment="0" applyProtection="0"/>
    <xf numFmtId="180" fontId="24" fillId="4" borderId="0" applyNumberFormat="0" applyBorder="0" applyAlignment="0" applyProtection="0"/>
    <xf numFmtId="0" fontId="24" fillId="4" borderId="0" applyNumberFormat="0" applyBorder="0" applyAlignment="0" applyProtection="0"/>
    <xf numFmtId="180" fontId="24" fillId="4" borderId="0" applyNumberFormat="0" applyBorder="0" applyAlignment="0" applyProtection="0"/>
    <xf numFmtId="180" fontId="24" fillId="4" borderId="0" applyNumberFormat="0" applyBorder="0" applyAlignment="0" applyProtection="0"/>
    <xf numFmtId="180" fontId="24" fillId="4" borderId="0" applyNumberFormat="0" applyBorder="0" applyAlignment="0" applyProtection="0"/>
    <xf numFmtId="180" fontId="24" fillId="4" borderId="0" applyNumberFormat="0" applyBorder="0" applyAlignment="0" applyProtection="0"/>
    <xf numFmtId="180" fontId="24" fillId="4" borderId="0" applyNumberFormat="0" applyBorder="0" applyAlignment="0" applyProtection="0"/>
    <xf numFmtId="180" fontId="24" fillId="4" borderId="0" applyNumberFormat="0" applyBorder="0" applyAlignment="0" applyProtection="0"/>
    <xf numFmtId="180" fontId="24" fillId="4" borderId="0" applyNumberFormat="0" applyBorder="0" applyAlignment="0" applyProtection="0"/>
    <xf numFmtId="180" fontId="24" fillId="4" borderId="0" applyNumberFormat="0" applyBorder="0" applyAlignment="0" applyProtection="0"/>
    <xf numFmtId="0" fontId="24" fillId="4" borderId="0" applyNumberFormat="0" applyBorder="0" applyAlignment="0" applyProtection="0"/>
    <xf numFmtId="0" fontId="49" fillId="4" borderId="0" applyNumberFormat="0" applyBorder="0" applyAlignment="0" applyProtection="0"/>
    <xf numFmtId="0" fontId="49" fillId="4" borderId="0" applyNumberFormat="0" applyBorder="0" applyAlignment="0" applyProtection="0"/>
    <xf numFmtId="180" fontId="109" fillId="54" borderId="0" applyNumberFormat="0" applyBorder="0" applyAlignment="0" applyProtection="0"/>
    <xf numFmtId="180" fontId="24" fillId="4" borderId="0" applyNumberFormat="0" applyBorder="0" applyAlignment="0" applyProtection="0"/>
    <xf numFmtId="180" fontId="109" fillId="54" borderId="0" applyNumberFormat="0" applyBorder="0" applyAlignment="0" applyProtection="0"/>
    <xf numFmtId="180" fontId="24" fillId="4" borderId="0" applyNumberFormat="0" applyBorder="0" applyAlignment="0" applyProtection="0"/>
    <xf numFmtId="180" fontId="109" fillId="54" borderId="0" applyNumberFormat="0" applyBorder="0" applyAlignment="0" applyProtection="0"/>
    <xf numFmtId="180" fontId="24" fillId="4" borderId="0" applyNumberFormat="0" applyBorder="0" applyAlignment="0" applyProtection="0"/>
    <xf numFmtId="180" fontId="109" fillId="54" borderId="0" applyNumberFormat="0" applyBorder="0" applyAlignment="0" applyProtection="0"/>
    <xf numFmtId="180" fontId="24" fillId="4" borderId="0" applyNumberFormat="0" applyBorder="0" applyAlignment="0" applyProtection="0"/>
    <xf numFmtId="180" fontId="109" fillId="54" borderId="0" applyNumberFormat="0" applyBorder="0" applyAlignment="0" applyProtection="0"/>
    <xf numFmtId="180" fontId="24" fillId="4" borderId="0" applyNumberFormat="0" applyBorder="0" applyAlignment="0" applyProtection="0"/>
    <xf numFmtId="219" fontId="8" fillId="0" borderId="0" applyFont="0" applyFill="0" applyBorder="0" applyAlignment="0" applyProtection="0"/>
    <xf numFmtId="219" fontId="8" fillId="0" borderId="0" applyFont="0" applyFill="0" applyBorder="0" applyAlignment="0" applyProtection="0"/>
    <xf numFmtId="184" fontId="8" fillId="0" borderId="0" applyFont="0" applyFill="0" applyBorder="0" applyAlignment="0"/>
    <xf numFmtId="184" fontId="8" fillId="0" borderId="0" applyFont="0" applyFill="0" applyBorder="0" applyAlignment="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1"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1"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1"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1"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1"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1"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1"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1"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1" fontId="108" fillId="0" borderId="0" applyFont="0" applyFill="0" applyBorder="0" applyAlignment="0" applyProtection="0"/>
    <xf numFmtId="192" fontId="8" fillId="0" borderId="0" applyFill="0" applyBorder="0" applyAlignment="0" applyProtection="0"/>
    <xf numFmtId="192" fontId="8" fillId="0" borderId="0" applyFill="0" applyBorder="0" applyAlignment="0" applyProtection="0"/>
    <xf numFmtId="193" fontId="48" fillId="0" borderId="0" applyFill="0" applyBorder="0" applyAlignment="0" applyProtection="0"/>
    <xf numFmtId="17" fontId="50" fillId="0" borderId="0" applyFill="0" applyBorder="0">
      <alignment horizontal="right"/>
    </xf>
    <xf numFmtId="14" fontId="14" fillId="0" borderId="0" applyFill="0" applyBorder="0" applyAlignment="0"/>
    <xf numFmtId="228" fontId="93" fillId="0" borderId="0">
      <protection locked="0"/>
    </xf>
    <xf numFmtId="181" fontId="51" fillId="0" borderId="2" applyBorder="0">
      <alignment vertical="center"/>
    </xf>
    <xf numFmtId="181" fontId="51" fillId="0" borderId="2" applyBorder="0">
      <alignment vertical="center"/>
    </xf>
    <xf numFmtId="0" fontId="22" fillId="40"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12" fillId="19" borderId="0" applyNumberFormat="0" applyBorder="0" applyAlignment="0" applyProtection="0"/>
    <xf numFmtId="0" fontId="12" fillId="24" borderId="0" applyNumberFormat="0" applyBorder="0" applyAlignment="0" applyProtection="0"/>
    <xf numFmtId="0" fontId="12" fillId="26"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31" borderId="0" applyNumberFormat="0" applyBorder="0" applyAlignment="0" applyProtection="0"/>
    <xf numFmtId="218" fontId="94" fillId="0" borderId="0" applyFill="0" applyBorder="0" applyAlignment="0"/>
    <xf numFmtId="219" fontId="94" fillId="0" borderId="0" applyFill="0" applyBorder="0" applyAlignment="0"/>
    <xf numFmtId="218" fontId="94" fillId="0" borderId="0" applyFill="0" applyBorder="0" applyAlignment="0"/>
    <xf numFmtId="223" fontId="94" fillId="0" borderId="0" applyFill="0" applyBorder="0" applyAlignment="0"/>
    <xf numFmtId="219" fontId="94" fillId="0" borderId="0" applyFill="0" applyBorder="0" applyAlignment="0"/>
    <xf numFmtId="180" fontId="111" fillId="55" borderId="34" applyNumberFormat="0" applyAlignment="0" applyProtection="0"/>
    <xf numFmtId="180" fontId="27" fillId="7" borderId="11" applyNumberFormat="0" applyAlignment="0" applyProtection="0"/>
    <xf numFmtId="180" fontId="111" fillId="55" borderId="34" applyNumberFormat="0" applyAlignment="0" applyProtection="0"/>
    <xf numFmtId="180" fontId="27" fillId="7" borderId="11" applyNumberFormat="0" applyAlignment="0" applyProtection="0"/>
    <xf numFmtId="0" fontId="112" fillId="55" borderId="34" applyNumberFormat="0" applyAlignment="0" applyProtection="0"/>
    <xf numFmtId="180" fontId="27" fillId="43" borderId="11" applyNumberFormat="0" applyAlignment="0" applyProtection="0"/>
    <xf numFmtId="180" fontId="27" fillId="43" borderId="11" applyNumberFormat="0" applyAlignment="0" applyProtection="0"/>
    <xf numFmtId="0" fontId="27" fillId="7" borderId="11" applyNumberFormat="0" applyAlignment="0" applyProtection="0"/>
    <xf numFmtId="0" fontId="27" fillId="7" borderId="11" applyNumberFormat="0" applyAlignment="0" applyProtection="0"/>
    <xf numFmtId="180" fontId="27" fillId="43" borderId="11" applyNumberFormat="0" applyAlignment="0" applyProtection="0"/>
    <xf numFmtId="180" fontId="27" fillId="43" borderId="11" applyNumberFormat="0" applyAlignment="0" applyProtection="0"/>
    <xf numFmtId="180" fontId="27" fillId="43" borderId="11" applyNumberFormat="0" applyAlignment="0" applyProtection="0"/>
    <xf numFmtId="180" fontId="27" fillId="43" borderId="11" applyNumberFormat="0" applyAlignment="0" applyProtection="0"/>
    <xf numFmtId="180" fontId="27" fillId="43" borderId="11" applyNumberFormat="0" applyAlignment="0" applyProtection="0"/>
    <xf numFmtId="180" fontId="27" fillId="43" borderId="11" applyNumberFormat="0" applyAlignment="0" applyProtection="0"/>
    <xf numFmtId="180" fontId="27" fillId="43" borderId="11" applyNumberFormat="0" applyAlignment="0" applyProtection="0"/>
    <xf numFmtId="180" fontId="27" fillId="43" borderId="11" applyNumberFormat="0" applyAlignment="0" applyProtection="0"/>
    <xf numFmtId="0" fontId="27" fillId="7" borderId="11" applyNumberFormat="0" applyAlignment="0" applyProtection="0"/>
    <xf numFmtId="0" fontId="52" fillId="7" borderId="11" applyNumberFormat="0" applyAlignment="0" applyProtection="0"/>
    <xf numFmtId="0" fontId="52" fillId="7" borderId="11" applyNumberFormat="0" applyAlignment="0" applyProtection="0"/>
    <xf numFmtId="180" fontId="111" fillId="55" borderId="34" applyNumberFormat="0" applyAlignment="0" applyProtection="0"/>
    <xf numFmtId="180" fontId="27" fillId="7" borderId="11" applyNumberFormat="0" applyAlignment="0" applyProtection="0"/>
    <xf numFmtId="180" fontId="111" fillId="55" borderId="34" applyNumberFormat="0" applyAlignment="0" applyProtection="0"/>
    <xf numFmtId="180" fontId="27" fillId="7" borderId="11" applyNumberFormat="0" applyAlignment="0" applyProtection="0"/>
    <xf numFmtId="180" fontId="111" fillId="55" borderId="34" applyNumberFormat="0" applyAlignment="0" applyProtection="0"/>
    <xf numFmtId="180" fontId="27" fillId="7" borderId="11" applyNumberFormat="0" applyAlignment="0" applyProtection="0"/>
    <xf numFmtId="180" fontId="111" fillId="55" borderId="34" applyNumberFormat="0" applyAlignment="0" applyProtection="0"/>
    <xf numFmtId="180" fontId="27" fillId="7" borderId="11" applyNumberFormat="0" applyAlignment="0" applyProtection="0"/>
    <xf numFmtId="180" fontId="111" fillId="55" borderId="34" applyNumberFormat="0" applyAlignment="0" applyProtection="0"/>
    <xf numFmtId="180" fontId="27" fillId="7" borderId="11" applyNumberFormat="0" applyAlignment="0" applyProtection="0"/>
    <xf numFmtId="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0" fontId="8" fillId="0" borderId="0"/>
    <xf numFmtId="175" fontId="8"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0" fontId="1"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0" fontId="8" fillId="0" borderId="0" applyFont="0" applyFill="0" applyBorder="0" applyAlignment="0" applyProtection="0"/>
    <xf numFmtId="194" fontId="8" fillId="0" borderId="0" applyFont="0" applyFill="0" applyBorder="0" applyAlignment="0" applyProtection="0"/>
    <xf numFmtId="194" fontId="8" fillId="0" borderId="0" applyFont="0" applyFill="0" applyBorder="0" applyAlignment="0" applyProtection="0"/>
    <xf numFmtId="170" fontId="8" fillId="0" borderId="0" applyFont="0" applyFill="0" applyBorder="0" applyAlignment="0" applyProtection="0"/>
    <xf numFmtId="181" fontId="53" fillId="44" borderId="14" applyNumberFormat="0"/>
    <xf numFmtId="0" fontId="23" fillId="0" borderId="0" applyNumberFormat="0" applyFill="0" applyBorder="0" applyAlignment="0" applyProtection="0"/>
    <xf numFmtId="181" fontId="6" fillId="36" borderId="15" applyNumberFormat="0">
      <alignment vertical="center"/>
    </xf>
    <xf numFmtId="2" fontId="48" fillId="0" borderId="0" applyFill="0" applyBorder="0" applyAlignment="0" applyProtection="0"/>
    <xf numFmtId="38" fontId="54" fillId="36" borderId="0" applyNumberFormat="0" applyFont="0" applyBorder="0" applyAlignment="0">
      <protection hidden="1"/>
    </xf>
    <xf numFmtId="38" fontId="54" fillId="36" borderId="0" applyNumberFormat="0" applyFont="0" applyBorder="0" applyAlignment="0">
      <protection hidden="1"/>
    </xf>
    <xf numFmtId="181" fontId="55" fillId="36" borderId="16" applyNumberFormat="0">
      <alignment vertical="center"/>
    </xf>
    <xf numFmtId="0" fontId="56" fillId="0" borderId="17" applyNumberFormat="0" applyAlignment="0" applyProtection="0">
      <alignment horizontal="left" vertical="center"/>
    </xf>
    <xf numFmtId="0" fontId="56" fillId="0" borderId="18">
      <alignment horizontal="left" vertical="center"/>
    </xf>
    <xf numFmtId="0" fontId="16" fillId="0" borderId="3" applyNumberFormat="0" applyFill="0" applyAlignment="0" applyProtection="0"/>
    <xf numFmtId="0" fontId="39" fillId="0" borderId="0" applyNumberFormat="0" applyFill="0" applyBorder="0" applyAlignment="0" applyProtection="0"/>
    <xf numFmtId="0" fontId="56" fillId="0" borderId="0" applyNumberFormat="0" applyFill="0" applyBorder="0" applyAlignment="0" applyProtection="0"/>
    <xf numFmtId="0" fontId="113"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114" fillId="0" borderId="0" applyNumberFormat="0" applyFill="0" applyBorder="0" applyAlignment="0" applyProtection="0"/>
    <xf numFmtId="0" fontId="25" fillId="0" borderId="0" applyNumberFormat="0" applyFill="0" applyBorder="0" applyAlignment="0" applyProtection="0"/>
    <xf numFmtId="0" fontId="81" fillId="0" borderId="0" applyNumberFormat="0" applyFill="0" applyBorder="0" applyAlignment="0" applyProtection="0">
      <alignment vertical="top"/>
      <protection locked="0"/>
    </xf>
    <xf numFmtId="0" fontId="115" fillId="0" borderId="0" applyNumberFormat="0" applyFill="0" applyBorder="0" applyAlignment="0" applyProtection="0"/>
    <xf numFmtId="0" fontId="95" fillId="0" borderId="0" applyNumberFormat="0" applyFill="0" applyBorder="0" applyAlignment="0" applyProtection="0"/>
    <xf numFmtId="0" fontId="26" fillId="3" borderId="0" applyNumberFormat="0" applyBorder="0" applyAlignment="0" applyProtection="0"/>
    <xf numFmtId="0" fontId="57" fillId="3" borderId="0" applyNumberFormat="0" applyBorder="0" applyAlignment="0" applyProtection="0"/>
    <xf numFmtId="0" fontId="57" fillId="3" borderId="0" applyNumberFormat="0" applyBorder="0" applyAlignment="0" applyProtection="0"/>
    <xf numFmtId="0" fontId="26" fillId="3" borderId="0" applyNumberFormat="0" applyBorder="0" applyAlignment="0" applyProtection="0"/>
    <xf numFmtId="10" fontId="54" fillId="34" borderId="19" applyNumberFormat="0" applyBorder="0" applyAlignment="0" applyProtection="0"/>
    <xf numFmtId="10" fontId="54" fillId="34" borderId="19" applyNumberFormat="0" applyBorder="0" applyAlignment="0" applyProtection="0"/>
    <xf numFmtId="182" fontId="58" fillId="45" borderId="20" applyNumberFormat="0">
      <alignment vertical="center"/>
    </xf>
    <xf numFmtId="0" fontId="27" fillId="7" borderId="11" applyNumberFormat="0" applyAlignment="0" applyProtection="0"/>
    <xf numFmtId="0" fontId="27" fillId="7" borderId="11" applyNumberFormat="0" applyAlignment="0" applyProtection="0"/>
    <xf numFmtId="0" fontId="27" fillId="7" borderId="11" applyNumberFormat="0" applyAlignment="0" applyProtection="0"/>
    <xf numFmtId="0" fontId="52" fillId="30" borderId="11" applyNumberFormat="0" applyAlignment="0" applyProtection="0"/>
    <xf numFmtId="0" fontId="52" fillId="30" borderId="11" applyNumberFormat="0" applyAlignment="0" applyProtection="0"/>
    <xf numFmtId="0" fontId="27" fillId="7" borderId="11" applyNumberFormat="0" applyAlignment="0" applyProtection="0"/>
    <xf numFmtId="0" fontId="27" fillId="7" borderId="11" applyNumberFormat="0" applyAlignment="0" applyProtection="0"/>
    <xf numFmtId="195" fontId="54" fillId="34" borderId="0" applyFont="0" applyBorder="0" applyAlignment="0" applyProtection="0">
      <protection locked="0"/>
    </xf>
    <xf numFmtId="195" fontId="54" fillId="34" borderId="0" applyFont="0" applyBorder="0" applyAlignment="0" applyProtection="0">
      <protection locked="0"/>
    </xf>
    <xf numFmtId="196" fontId="54" fillId="34" borderId="0">
      <protection locked="0"/>
    </xf>
    <xf numFmtId="196" fontId="54" fillId="34" borderId="0">
      <protection locked="0"/>
    </xf>
    <xf numFmtId="197" fontId="54" fillId="34" borderId="0" applyFont="0" applyBorder="0" applyAlignment="0">
      <protection locked="0"/>
    </xf>
    <xf numFmtId="10" fontId="54" fillId="34" borderId="0">
      <protection locked="0"/>
    </xf>
    <xf numFmtId="10" fontId="54" fillId="34" borderId="0">
      <protection locked="0"/>
    </xf>
    <xf numFmtId="197" fontId="54" fillId="34" borderId="0" applyFont="0" applyBorder="0" applyAlignment="0">
      <protection locked="0"/>
    </xf>
    <xf numFmtId="204" fontId="74" fillId="0" borderId="21" applyNumberFormat="0" applyFont="0" applyFill="0" applyAlignment="0" applyProtection="0"/>
    <xf numFmtId="218" fontId="97" fillId="0" borderId="0" applyFill="0" applyBorder="0" applyAlignment="0"/>
    <xf numFmtId="219" fontId="97" fillId="0" borderId="0" applyFill="0" applyBorder="0" applyAlignment="0"/>
    <xf numFmtId="218" fontId="97" fillId="0" borderId="0" applyFill="0" applyBorder="0" applyAlignment="0"/>
    <xf numFmtId="223" fontId="97" fillId="0" borderId="0" applyFill="0" applyBorder="0" applyAlignment="0"/>
    <xf numFmtId="219" fontId="97" fillId="0" borderId="0" applyFill="0" applyBorder="0" applyAlignment="0"/>
    <xf numFmtId="198" fontId="8" fillId="0" borderId="0" applyFont="0" applyFill="0" applyBorder="0" applyAlignment="0" applyProtection="0"/>
    <xf numFmtId="177" fontId="8" fillId="0" borderId="0" applyFont="0" applyFill="0" applyBorder="0" applyAlignment="0" applyProtection="0"/>
    <xf numFmtId="170" fontId="108" fillId="0" borderId="0" applyFont="0" applyFill="0" applyBorder="0" applyAlignment="0" applyProtection="0"/>
    <xf numFmtId="170" fontId="108" fillId="0" borderId="0" applyFont="0" applyFill="0" applyBorder="0" applyAlignment="0" applyProtection="0"/>
    <xf numFmtId="170" fontId="108" fillId="0" borderId="0" applyFont="0" applyFill="0" applyBorder="0" applyAlignment="0" applyProtection="0"/>
    <xf numFmtId="170" fontId="108" fillId="0" borderId="0" applyFont="0" applyFill="0" applyBorder="0" applyAlignment="0" applyProtection="0"/>
    <xf numFmtId="170" fontId="108" fillId="0" borderId="0" applyFont="0" applyFill="0" applyBorder="0" applyAlignment="0" applyProtection="0"/>
    <xf numFmtId="170" fontId="11" fillId="0" borderId="0" applyFont="0" applyFill="0" applyBorder="0" applyAlignment="0" applyProtection="0"/>
    <xf numFmtId="170" fontId="108" fillId="0" borderId="0" applyFont="0" applyFill="0" applyBorder="0" applyAlignment="0" applyProtection="0"/>
    <xf numFmtId="177" fontId="8" fillId="0" borderId="0" applyFont="0" applyFill="0" applyBorder="0" applyAlignment="0" applyProtection="0"/>
    <xf numFmtId="170" fontId="108" fillId="0" borderId="0" applyFont="0" applyFill="0" applyBorder="0" applyAlignment="0" applyProtection="0"/>
    <xf numFmtId="170" fontId="108" fillId="0" borderId="0" applyFont="0" applyFill="0" applyBorder="0" applyAlignment="0" applyProtection="0"/>
    <xf numFmtId="170" fontId="108" fillId="0" borderId="0" applyFont="0" applyFill="0" applyBorder="0" applyAlignment="0" applyProtection="0"/>
    <xf numFmtId="170" fontId="108" fillId="0" borderId="0" applyFont="0" applyFill="0" applyBorder="0" applyAlignment="0" applyProtection="0"/>
    <xf numFmtId="170" fontId="108" fillId="0" borderId="0" applyFont="0" applyFill="0" applyBorder="0" applyAlignment="0" applyProtection="0"/>
    <xf numFmtId="170" fontId="11" fillId="0" borderId="0" applyFont="0" applyFill="0" applyBorder="0" applyAlignment="0" applyProtection="0"/>
    <xf numFmtId="170" fontId="10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117"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70" fontId="8" fillId="0" borderId="0" applyFont="0" applyFill="0" applyBorder="0" applyAlignment="0" applyProtection="0"/>
    <xf numFmtId="199" fontId="8" fillId="0" borderId="0" applyFont="0" applyFill="0" applyBorder="0" applyAlignment="0" applyProtection="0"/>
    <xf numFmtId="200" fontId="8" fillId="0" borderId="0"/>
    <xf numFmtId="200" fontId="8" fillId="0" borderId="0"/>
    <xf numFmtId="181" fontId="58" fillId="33" borderId="22" applyNumberFormat="0">
      <alignment vertical="center"/>
      <protection locked="0"/>
    </xf>
    <xf numFmtId="181" fontId="59" fillId="0" borderId="0" applyNumberFormat="0" applyBorder="0">
      <alignment horizontal="left" vertical="top"/>
    </xf>
    <xf numFmtId="0" fontId="79" fillId="43" borderId="0" applyNumberFormat="0" applyBorder="0" applyAlignment="0" applyProtection="0"/>
    <xf numFmtId="0" fontId="28" fillId="46" borderId="0" applyNumberFormat="0" applyBorder="0" applyAlignment="0" applyProtection="0"/>
    <xf numFmtId="0" fontId="116" fillId="56" borderId="0" applyNumberFormat="0" applyBorder="0" applyAlignment="0" applyProtection="0"/>
    <xf numFmtId="0" fontId="79" fillId="43" borderId="0" applyNumberFormat="0" applyBorder="0" applyAlignment="0" applyProtection="0"/>
    <xf numFmtId="0" fontId="28" fillId="43" borderId="0" applyNumberFormat="0" applyBorder="0" applyAlignment="0" applyProtection="0"/>
    <xf numFmtId="0" fontId="28" fillId="43" borderId="0" applyNumberFormat="0" applyBorder="0" applyAlignment="0" applyProtection="0"/>
    <xf numFmtId="0" fontId="61" fillId="0" borderId="0"/>
    <xf numFmtId="0" fontId="61" fillId="0" borderId="0"/>
    <xf numFmtId="201" fontId="60" fillId="0" borderId="0"/>
    <xf numFmtId="196" fontId="8" fillId="0" borderId="0" applyFont="0" applyFill="0" applyBorder="0" applyAlignment="0"/>
    <xf numFmtId="196" fontId="8" fillId="0" borderId="0" applyFont="0" applyFill="0" applyBorder="0" applyAlignment="0"/>
    <xf numFmtId="40" fontId="54" fillId="0" borderId="0" applyFont="0" applyFill="0" applyBorder="0" applyAlignment="0"/>
    <xf numFmtId="40" fontId="54" fillId="0" borderId="0" applyFont="0" applyFill="0" applyBorder="0" applyAlignment="0"/>
    <xf numFmtId="202" fontId="54" fillId="0" borderId="0" applyFont="0" applyFill="0" applyBorder="0" applyAlignment="0"/>
    <xf numFmtId="202" fontId="54" fillId="0" borderId="0" applyFont="0" applyFill="0" applyBorder="0" applyAlignment="0"/>
    <xf numFmtId="0" fontId="108" fillId="0" borderId="0"/>
    <xf numFmtId="203" fontId="8" fillId="0" borderId="0"/>
    <xf numFmtId="203" fontId="8" fillId="0" borderId="0"/>
    <xf numFmtId="180" fontId="8" fillId="0" borderId="0"/>
    <xf numFmtId="180" fontId="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8" fillId="0" borderId="0"/>
    <xf numFmtId="0" fontId="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8" fillId="0" borderId="0"/>
    <xf numFmtId="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0" fontId="11" fillId="0" borderId="0"/>
    <xf numFmtId="0" fontId="101" fillId="0" borderId="0"/>
    <xf numFmtId="0" fontId="8" fillId="0" borderId="0"/>
    <xf numFmtId="0" fontId="8" fillId="0" borderId="0"/>
    <xf numFmtId="1" fontId="61" fillId="0" borderId="0"/>
    <xf numFmtId="0" fontId="8" fillId="0" borderId="0"/>
    <xf numFmtId="0" fontId="8" fillId="0" borderId="0"/>
    <xf numFmtId="0" fontId="8" fillId="0" borderId="0"/>
    <xf numFmtId="0" fontId="8" fillId="0" borderId="0"/>
    <xf numFmtId="0" fontId="101" fillId="0" borderId="0"/>
    <xf numFmtId="0" fontId="108" fillId="0" borderId="0"/>
    <xf numFmtId="0" fontId="108" fillId="0" borderId="0"/>
    <xf numFmtId="0" fontId="101" fillId="0" borderId="0"/>
    <xf numFmtId="0" fontId="11"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1"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 fillId="0" borderId="0"/>
    <xf numFmtId="0" fontId="1" fillId="0" borderId="0"/>
    <xf numFmtId="0" fontId="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8" fillId="0" borderId="0"/>
    <xf numFmtId="0" fontId="11" fillId="0" borderId="0"/>
    <xf numFmtId="0" fontId="1" fillId="0" borderId="0"/>
    <xf numFmtId="0" fontId="1" fillId="0" borderId="0"/>
    <xf numFmtId="0" fontId="1" fillId="0" borderId="0"/>
    <xf numFmtId="0" fontId="8" fillId="0" borderId="0"/>
    <xf numFmtId="0" fontId="8" fillId="0" borderId="0"/>
    <xf numFmtId="0" fontId="1" fillId="0" borderId="0"/>
    <xf numFmtId="0" fontId="1" fillId="0" borderId="0"/>
    <xf numFmtId="0" fontId="108" fillId="0" borderId="0"/>
    <xf numFmtId="201" fontId="62" fillId="0" borderId="0"/>
    <xf numFmtId="201" fontId="62" fillId="0" borderId="0"/>
    <xf numFmtId="201" fontId="62"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 fillId="0" borderId="0"/>
    <xf numFmtId="0" fontId="1" fillId="0" borderId="0"/>
    <xf numFmtId="0" fontId="1" fillId="0" borderId="0"/>
    <xf numFmtId="0" fontId="8" fillId="0" borderId="0"/>
    <xf numFmtId="0" fontId="1" fillId="0" borderId="0"/>
    <xf numFmtId="0"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08" fillId="0" borderId="0"/>
    <xf numFmtId="0" fontId="8" fillId="0" borderId="0"/>
    <xf numFmtId="0" fontId="108" fillId="0" borderId="0"/>
    <xf numFmtId="0" fontId="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 fillId="0" borderId="0"/>
    <xf numFmtId="0" fontId="6" fillId="0" borderId="0"/>
    <xf numFmtId="0" fontId="6" fillId="0" borderId="0"/>
    <xf numFmtId="0" fontId="6" fillId="0" borderId="0"/>
    <xf numFmtId="0" fontId="6" fillId="0" borderId="0"/>
    <xf numFmtId="0" fontId="8" fillId="0" borderId="0"/>
    <xf numFmtId="0" fontId="8" fillId="0" borderId="0"/>
    <xf numFmtId="0" fontId="8" fillId="0" borderId="0"/>
    <xf numFmtId="0" fontId="1" fillId="0" borderId="0"/>
    <xf numFmtId="0" fontId="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29" fillId="0" borderId="0"/>
    <xf numFmtId="0" fontId="11"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11" fillId="0" borderId="0"/>
    <xf numFmtId="0" fontId="8" fillId="0" borderId="0"/>
    <xf numFmtId="0" fontId="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8" fillId="0" borderId="0"/>
    <xf numFmtId="0" fontId="8" fillId="0" borderId="0"/>
    <xf numFmtId="182" fontId="6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8" fillId="0" borderId="0"/>
    <xf numFmtId="0" fontId="108" fillId="0" borderId="0"/>
    <xf numFmtId="0" fontId="108" fillId="0" borderId="0"/>
    <xf numFmtId="0" fontId="11" fillId="0" borderId="0"/>
    <xf numFmtId="0" fontId="108" fillId="0" borderId="0"/>
    <xf numFmtId="0" fontId="8" fillId="0" borderId="0"/>
    <xf numFmtId="0" fontId="8" fillId="0" borderId="0"/>
    <xf numFmtId="0" fontId="8" fillId="0" borderId="0"/>
    <xf numFmtId="0" fontId="1" fillId="0" borderId="0"/>
    <xf numFmtId="172" fontId="62" fillId="0" borderId="0"/>
    <xf numFmtId="172" fontId="62" fillId="0" borderId="0"/>
    <xf numFmtId="172" fontId="62" fillId="0" borderId="0"/>
    <xf numFmtId="172" fontId="62" fillId="0" borderId="0"/>
    <xf numFmtId="172" fontId="62"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 fillId="0" borderId="0"/>
    <xf numFmtId="0" fontId="1" fillId="0" borderId="0"/>
    <xf numFmtId="0" fontId="1" fillId="0" borderId="0"/>
    <xf numFmtId="0" fontId="1" fillId="0" borderId="0"/>
    <xf numFmtId="0" fontId="8" fillId="0" borderId="0"/>
    <xf numFmtId="0" fontId="8" fillId="0" borderId="0"/>
    <xf numFmtId="172" fontId="62" fillId="0" borderId="0"/>
    <xf numFmtId="172" fontId="62" fillId="0" borderId="0"/>
    <xf numFmtId="172" fontId="62" fillId="0" borderId="0"/>
    <xf numFmtId="0" fontId="6"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0" fontId="6" fillId="0" borderId="0"/>
    <xf numFmtId="0" fontId="1" fillId="0" borderId="0"/>
    <xf numFmtId="0" fontId="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8" fillId="0" borderId="0"/>
    <xf numFmtId="0" fontId="108" fillId="0" borderId="0"/>
    <xf numFmtId="0" fontId="108" fillId="0" borderId="0"/>
    <xf numFmtId="0" fontId="11" fillId="0" borderId="0"/>
    <xf numFmtId="0" fontId="10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 fillId="0" borderId="0"/>
    <xf numFmtId="0" fontId="8" fillId="0" borderId="0"/>
    <xf numFmtId="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180" fontId="8" fillId="0" borderId="0"/>
    <xf numFmtId="0" fontId="8" fillId="0" borderId="0"/>
    <xf numFmtId="0" fontId="54" fillId="0" borderId="0"/>
    <xf numFmtId="0" fontId="1" fillId="0" borderId="0"/>
    <xf numFmtId="0" fontId="1" fillId="0" borderId="0"/>
    <xf numFmtId="0" fontId="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8" fillId="0" borderId="0"/>
    <xf numFmtId="0" fontId="8" fillId="0" borderId="0"/>
    <xf numFmtId="0" fontId="29"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7" fillId="0" borderId="0"/>
    <xf numFmtId="0" fontId="98" fillId="0" borderId="0"/>
    <xf numFmtId="0" fontId="118" fillId="0" borderId="0"/>
    <xf numFmtId="0" fontId="99" fillId="0" borderId="0"/>
    <xf numFmtId="0" fontId="108" fillId="0" borderId="0"/>
    <xf numFmtId="0" fontId="8" fillId="0" borderId="0"/>
    <xf numFmtId="0" fontId="8" fillId="0" borderId="0"/>
    <xf numFmtId="180" fontId="8" fillId="0" borderId="0"/>
    <xf numFmtId="180" fontId="8" fillId="0" borderId="0"/>
    <xf numFmtId="180" fontId="8" fillId="0" borderId="0"/>
    <xf numFmtId="180" fontId="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8" fillId="0" borderId="0"/>
    <xf numFmtId="0" fontId="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8" fillId="0" borderId="0"/>
    <xf numFmtId="0" fontId="8" fillId="0" borderId="0"/>
    <xf numFmtId="0" fontId="8" fillId="0" borderId="0"/>
    <xf numFmtId="0" fontId="8" fillId="0" borderId="0"/>
    <xf numFmtId="0" fontId="8" fillId="0" borderId="0"/>
    <xf numFmtId="0" fontId="8" fillId="0" borderId="0"/>
    <xf numFmtId="0" fontId="11" fillId="0" borderId="0"/>
    <xf numFmtId="0" fontId="1" fillId="0" borderId="0"/>
    <xf numFmtId="0" fontId="1" fillId="0" borderId="0"/>
    <xf numFmtId="0" fontId="1" fillId="0" borderId="0"/>
    <xf numFmtId="0" fontId="1" fillId="0" borderId="0"/>
    <xf numFmtId="0" fontId="8" fillId="0" borderId="0"/>
    <xf numFmtId="0" fontId="1" fillId="0" borderId="0"/>
    <xf numFmtId="0" fontId="108" fillId="0" borderId="0"/>
    <xf numFmtId="0" fontId="108" fillId="0" borderId="0"/>
    <xf numFmtId="0" fontId="80" fillId="0" borderId="0"/>
    <xf numFmtId="0" fontId="101" fillId="0" borderId="0"/>
    <xf numFmtId="0" fontId="80" fillId="0" borderId="0"/>
    <xf numFmtId="0" fontId="101" fillId="0" borderId="0"/>
    <xf numFmtId="0" fontId="82" fillId="0" borderId="0"/>
    <xf numFmtId="0" fontId="108" fillId="0" borderId="0"/>
    <xf numFmtId="0" fontId="108" fillId="0" borderId="0"/>
    <xf numFmtId="0" fontId="8" fillId="0" borderId="0"/>
    <xf numFmtId="0" fontId="108" fillId="0" borderId="0"/>
    <xf numFmtId="0" fontId="108" fillId="0" borderId="0"/>
    <xf numFmtId="0" fontId="108" fillId="0" borderId="0"/>
    <xf numFmtId="0" fontId="108" fillId="0" borderId="0"/>
    <xf numFmtId="0" fontId="1" fillId="0" borderId="0"/>
    <xf numFmtId="0" fontId="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 fillId="0" borderId="0"/>
    <xf numFmtId="0" fontId="10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1" fillId="0" borderId="0"/>
    <xf numFmtId="0" fontId="101" fillId="0" borderId="0"/>
    <xf numFmtId="0" fontId="11"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0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8" fillId="0" borderId="0"/>
    <xf numFmtId="0" fontId="8" fillId="0" borderId="0"/>
    <xf numFmtId="0" fontId="108" fillId="0" borderId="0"/>
    <xf numFmtId="0" fontId="108" fillId="0" borderId="0"/>
    <xf numFmtId="0" fontId="108" fillId="0" borderId="0"/>
    <xf numFmtId="0" fontId="108" fillId="0" borderId="0"/>
    <xf numFmtId="0" fontId="11" fillId="0" borderId="0"/>
    <xf numFmtId="0" fontId="108" fillId="0" borderId="0"/>
    <xf numFmtId="0" fontId="11" fillId="0" borderId="0"/>
    <xf numFmtId="0" fontId="1" fillId="0" borderId="0"/>
    <xf numFmtId="0" fontId="1" fillId="0" borderId="0"/>
    <xf numFmtId="0" fontId="29" fillId="0" borderId="0"/>
    <xf numFmtId="196" fontId="50" fillId="0" borderId="0" applyNumberFormat="0" applyFill="0" applyBorder="0" applyAlignment="0" applyProtection="0"/>
    <xf numFmtId="173" fontId="63" fillId="0" borderId="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1" fillId="47" borderId="23"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1" fillId="47" borderId="23" applyNumberFormat="0" applyFont="0" applyAlignment="0" applyProtection="0"/>
    <xf numFmtId="180" fontId="108" fillId="57" borderId="36"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0" fontId="8" fillId="47" borderId="23" applyNumberFormat="0" applyFont="0" applyAlignment="0" applyProtection="0"/>
    <xf numFmtId="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180" fontId="8" fillId="47" borderId="23" applyNumberFormat="0" applyFont="0" applyAlignment="0" applyProtection="0"/>
    <xf numFmtId="0" fontId="8" fillId="47" borderId="23" applyNumberFormat="0" applyFont="0" applyAlignment="0" applyProtection="0"/>
    <xf numFmtId="0" fontId="14" fillId="47" borderId="23" applyNumberFormat="0" applyFont="0" applyAlignment="0" applyProtection="0"/>
    <xf numFmtId="0" fontId="14" fillId="47" borderId="23"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1" fillId="47" borderId="23"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1" fillId="47" borderId="23"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1" fillId="47" borderId="23"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1" fillId="47" borderId="23"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08" fillId="57" borderId="36" applyNumberFormat="0" applyFont="0" applyAlignment="0" applyProtection="0"/>
    <xf numFmtId="180" fontId="11" fillId="47" borderId="23" applyNumberFormat="0" applyFont="0" applyAlignment="0" applyProtection="0"/>
    <xf numFmtId="180" fontId="108" fillId="57" borderId="36" applyNumberFormat="0" applyFont="0" applyAlignment="0" applyProtection="0"/>
    <xf numFmtId="0" fontId="8" fillId="47" borderId="23" applyNumberFormat="0" applyFont="0" applyAlignment="0" applyProtection="0"/>
    <xf numFmtId="0" fontId="8" fillId="47" borderId="23" applyNumberFormat="0" applyFont="0" applyAlignment="0" applyProtection="0"/>
    <xf numFmtId="0" fontId="8" fillId="47" borderId="23" applyNumberFormat="0" applyFont="0" applyAlignment="0" applyProtection="0"/>
    <xf numFmtId="0" fontId="8" fillId="21" borderId="23" applyNumberFormat="0" applyFont="0" applyAlignment="0" applyProtection="0"/>
    <xf numFmtId="0" fontId="8" fillId="21" borderId="23" applyNumberFormat="0" applyFont="0" applyAlignment="0" applyProtection="0"/>
    <xf numFmtId="0" fontId="8" fillId="21" borderId="23" applyNumberFormat="0" applyFont="0" applyAlignment="0" applyProtection="0"/>
    <xf numFmtId="0" fontId="8" fillId="21" borderId="23" applyNumberFormat="0" applyFont="0" applyAlignment="0" applyProtection="0"/>
    <xf numFmtId="0" fontId="8" fillId="47" borderId="23" applyNumberFormat="0" applyFont="0" applyAlignment="0" applyProtection="0"/>
    <xf numFmtId="0" fontId="8" fillId="47" borderId="23" applyNumberFormat="0" applyFont="0" applyAlignment="0" applyProtection="0"/>
    <xf numFmtId="3" fontId="8" fillId="0" borderId="0" applyFont="0" applyFill="0" applyBorder="0" applyAlignment="0" applyProtection="0">
      <alignment horizontal="right"/>
    </xf>
    <xf numFmtId="3" fontId="8" fillId="0" borderId="0" applyFont="0" applyFill="0" applyBorder="0" applyAlignment="0" applyProtection="0">
      <alignment horizontal="right"/>
    </xf>
    <xf numFmtId="0" fontId="72" fillId="48" borderId="19" applyNumberFormat="0" applyBorder="0" applyProtection="0">
      <alignment horizontal="center"/>
    </xf>
    <xf numFmtId="0" fontId="72" fillId="48" borderId="19" applyNumberFormat="0" applyBorder="0" applyProtection="0">
      <alignment horizontal="center"/>
    </xf>
    <xf numFmtId="0" fontId="64" fillId="0" borderId="24" applyNumberFormat="0" applyFill="0" applyBorder="0" applyProtection="0">
      <alignment vertical="top" wrapText="1"/>
    </xf>
    <xf numFmtId="0" fontId="30" fillId="37" borderId="15" applyNumberFormat="0" applyAlignment="0" applyProtection="0"/>
    <xf numFmtId="0" fontId="30" fillId="37" borderId="15" applyNumberFormat="0" applyAlignment="0" applyProtection="0"/>
    <xf numFmtId="0" fontId="30" fillId="37" borderId="15" applyNumberFormat="0" applyAlignment="0" applyProtection="0"/>
    <xf numFmtId="0" fontId="30" fillId="37" borderId="15" applyNumberFormat="0" applyAlignment="0" applyProtection="0"/>
    <xf numFmtId="0" fontId="30" fillId="37" borderId="15" applyNumberFormat="0" applyAlignment="0" applyProtection="0"/>
    <xf numFmtId="0" fontId="30" fillId="37" borderId="15" applyNumberFormat="0" applyAlignment="0" applyProtection="0"/>
    <xf numFmtId="0" fontId="30" fillId="37" borderId="15" applyNumberFormat="0" applyAlignment="0" applyProtection="0"/>
    <xf numFmtId="0" fontId="30" fillId="37" borderId="15" applyNumberFormat="0" applyAlignment="0" applyProtection="0"/>
    <xf numFmtId="0" fontId="31" fillId="38" borderId="15" applyNumberFormat="0" applyAlignment="0" applyProtection="0"/>
    <xf numFmtId="204" fontId="54" fillId="0" borderId="25" applyNumberFormat="0" applyFill="0" applyBorder="0" applyAlignment="0" applyProtection="0"/>
    <xf numFmtId="204" fontId="54" fillId="0" borderId="25" applyNumberFormat="0" applyFill="0" applyBorder="0" applyAlignment="0" applyProtection="0"/>
    <xf numFmtId="222" fontId="8" fillId="0" borderId="0" applyFont="0" applyFill="0" applyBorder="0" applyAlignment="0" applyProtection="0"/>
    <xf numFmtId="222" fontId="8" fillId="0" borderId="0" applyFont="0" applyFill="0" applyBorder="0" applyAlignment="0" applyProtection="0"/>
    <xf numFmtId="225" fontId="8" fillId="0" borderId="0" applyFont="0" applyFill="0" applyBorder="0" applyAlignment="0" applyProtection="0"/>
    <xf numFmtId="225" fontId="8" fillId="0" borderId="0" applyFont="0" applyFill="0" applyBorder="0" applyAlignment="0" applyProtection="0"/>
    <xf numFmtId="205" fontId="8" fillId="0" borderId="0" applyFont="0" applyFill="0" applyBorder="0" applyAlignment="0"/>
    <xf numFmtId="205" fontId="8" fillId="0" borderId="0" applyFont="0" applyFill="0" applyBorder="0" applyAlignment="0"/>
    <xf numFmtId="9" fontId="10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65" fillId="0" borderId="0" applyFont="0" applyFill="0" applyBorder="0" applyAlignment="0" applyProtection="0"/>
    <xf numFmtId="9" fontId="8" fillId="0" borderId="0" applyFont="0" applyFill="0" applyBorder="0" applyAlignment="0" applyProtection="0"/>
    <xf numFmtId="9" fontId="5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8" fillId="0" borderId="0" applyFont="0" applyFill="0" applyBorder="0" applyAlignment="0" applyProtection="0"/>
    <xf numFmtId="9" fontId="1"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8" fillId="0" borderId="0" applyFont="0" applyFill="0" applyBorder="0" applyAlignment="0" applyProtection="0"/>
    <xf numFmtId="9" fontId="29"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08" fillId="0" borderId="0" applyFont="0" applyFill="0" applyBorder="0" applyAlignment="0" applyProtection="0"/>
    <xf numFmtId="9" fontId="11" fillId="0" borderId="0" applyFont="0" applyFill="0" applyBorder="0" applyAlignment="0" applyProtection="0"/>
    <xf numFmtId="9" fontId="108" fillId="0" borderId="0" applyFont="0" applyFill="0" applyBorder="0" applyAlignment="0" applyProtection="0"/>
    <xf numFmtId="206" fontId="54" fillId="0" borderId="0" applyFont="0" applyFill="0" applyBorder="0" applyAlignment="0" applyProtection="0"/>
    <xf numFmtId="206" fontId="54" fillId="0" borderId="0" applyFont="0" applyFill="0" applyBorder="0" applyAlignment="0" applyProtection="0"/>
    <xf numFmtId="218" fontId="66" fillId="0" borderId="0" applyFill="0" applyBorder="0" applyAlignment="0"/>
    <xf numFmtId="219" fontId="66" fillId="0" borderId="0" applyFill="0" applyBorder="0" applyAlignment="0"/>
    <xf numFmtId="218" fontId="66" fillId="0" borderId="0" applyFill="0" applyBorder="0" applyAlignment="0"/>
    <xf numFmtId="223" fontId="66" fillId="0" borderId="0" applyFill="0" applyBorder="0" applyAlignment="0"/>
    <xf numFmtId="219" fontId="66" fillId="0" borderId="0" applyFill="0" applyBorder="0" applyAlignment="0"/>
    <xf numFmtId="181" fontId="48" fillId="0" borderId="0" applyFont="0" applyFill="0" applyBorder="0" applyAlignment="0" applyProtection="0">
      <alignment horizontal="right"/>
    </xf>
    <xf numFmtId="196" fontId="59" fillId="0" borderId="0" applyNumberFormat="0" applyFill="0" applyBorder="0" applyAlignment="0" applyProtection="0">
      <alignment horizontal="left"/>
    </xf>
    <xf numFmtId="0" fontId="50" fillId="49" borderId="19" applyNumberFormat="0" applyFont="0" applyBorder="0" applyAlignment="0">
      <alignment vertical="top" wrapText="1"/>
    </xf>
    <xf numFmtId="0" fontId="31" fillId="38" borderId="15" applyNumberFormat="0" applyAlignment="0" applyProtection="0"/>
    <xf numFmtId="0" fontId="31" fillId="38" borderId="15" applyNumberFormat="0" applyAlignment="0" applyProtection="0"/>
    <xf numFmtId="0" fontId="31" fillId="38" borderId="15" applyNumberFormat="0" applyAlignment="0" applyProtection="0"/>
    <xf numFmtId="0" fontId="31" fillId="38" borderId="15" applyNumberFormat="0" applyAlignment="0" applyProtection="0"/>
    <xf numFmtId="0" fontId="31" fillId="38" borderId="15" applyNumberFormat="0" applyAlignment="0" applyProtection="0"/>
    <xf numFmtId="0" fontId="31" fillId="38" borderId="15" applyNumberFormat="0" applyAlignment="0" applyProtection="0"/>
    <xf numFmtId="0" fontId="30" fillId="38" borderId="15" applyNumberFormat="0" applyAlignment="0" applyProtection="0"/>
    <xf numFmtId="0" fontId="30" fillId="38" borderId="15" applyNumberFormat="0" applyAlignment="0" applyProtection="0"/>
    <xf numFmtId="0" fontId="32" fillId="0" borderId="0" applyNumberFormat="0" applyFill="0" applyBorder="0" applyAlignment="0" applyProtection="0"/>
    <xf numFmtId="181" fontId="8" fillId="36" borderId="0">
      <alignment horizontal="center" vertical="center"/>
    </xf>
    <xf numFmtId="181" fontId="8" fillId="36" borderId="0">
      <alignment horizontal="center" vertical="center"/>
    </xf>
    <xf numFmtId="204" fontId="7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9" fontId="14" fillId="0" borderId="0" applyFill="0" applyBorder="0" applyAlignment="0"/>
    <xf numFmtId="226" fontId="14" fillId="0" borderId="0" applyFill="0" applyBorder="0" applyAlignment="0"/>
    <xf numFmtId="227" fontId="14" fillId="0" borderId="0" applyFill="0" applyBorder="0" applyAlignment="0"/>
    <xf numFmtId="180" fontId="119" fillId="0" borderId="0" applyNumberFormat="0" applyFill="0" applyBorder="0" applyAlignment="0" applyProtection="0"/>
    <xf numFmtId="180" fontId="33" fillId="0" borderId="0" applyNumberFormat="0" applyFill="0" applyBorder="0" applyAlignment="0" applyProtection="0"/>
    <xf numFmtId="180" fontId="119" fillId="0" borderId="0" applyNumberFormat="0" applyFill="0" applyBorder="0" applyAlignment="0" applyProtection="0"/>
    <xf numFmtId="180" fontId="33" fillId="0" borderId="0" applyNumberFormat="0" applyFill="0" applyBorder="0" applyAlignment="0" applyProtection="0"/>
    <xf numFmtId="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180" fontId="33" fillId="0" borderId="0" applyNumberFormat="0" applyFill="0" applyBorder="0" applyAlignment="0" applyProtection="0"/>
    <xf numFmtId="0" fontId="33"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180" fontId="119" fillId="0" borderId="0" applyNumberFormat="0" applyFill="0" applyBorder="0" applyAlignment="0" applyProtection="0"/>
    <xf numFmtId="180" fontId="33" fillId="0" borderId="0" applyNumberFormat="0" applyFill="0" applyBorder="0" applyAlignment="0" applyProtection="0"/>
    <xf numFmtId="180" fontId="119" fillId="0" borderId="0" applyNumberFormat="0" applyFill="0" applyBorder="0" applyAlignment="0" applyProtection="0"/>
    <xf numFmtId="180" fontId="33" fillId="0" borderId="0" applyNumberFormat="0" applyFill="0" applyBorder="0" applyAlignment="0" applyProtection="0"/>
    <xf numFmtId="180" fontId="119" fillId="0" borderId="0" applyNumberFormat="0" applyFill="0" applyBorder="0" applyAlignment="0" applyProtection="0"/>
    <xf numFmtId="180" fontId="33" fillId="0" borderId="0" applyNumberFormat="0" applyFill="0" applyBorder="0" applyAlignment="0" applyProtection="0"/>
    <xf numFmtId="180" fontId="119" fillId="0" borderId="0" applyNumberFormat="0" applyFill="0" applyBorder="0" applyAlignment="0" applyProtection="0"/>
    <xf numFmtId="180" fontId="33" fillId="0" borderId="0" applyNumberFormat="0" applyFill="0" applyBorder="0" applyAlignment="0" applyProtection="0"/>
    <xf numFmtId="180" fontId="119" fillId="0" borderId="0" applyNumberFormat="0" applyFill="0" applyBorder="0" applyAlignment="0" applyProtection="0"/>
    <xf numFmtId="180" fontId="33" fillId="0" borderId="0" applyNumberFormat="0" applyFill="0" applyBorder="0" applyAlignment="0" applyProtection="0"/>
    <xf numFmtId="0" fontId="23"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34" fillId="0" borderId="0" applyNumberFormat="0" applyFill="0" applyBorder="0" applyAlignment="0" applyProtection="0"/>
    <xf numFmtId="182" fontId="68" fillId="50" borderId="0" applyNumberFormat="0">
      <alignment vertical="center"/>
    </xf>
    <xf numFmtId="182" fontId="69" fillId="0" borderId="0" applyNumberFormat="0">
      <alignment vertical="center"/>
    </xf>
    <xf numFmtId="182" fontId="70" fillId="0" borderId="0" applyNumberFormat="0">
      <alignment vertical="center"/>
    </xf>
    <xf numFmtId="0" fontId="32" fillId="0" borderId="0" applyNumberFormat="0" applyFill="0" applyBorder="0" applyAlignment="0" applyProtection="0"/>
    <xf numFmtId="181" fontId="71" fillId="0" borderId="0">
      <alignment vertical="center"/>
    </xf>
    <xf numFmtId="0" fontId="16" fillId="0" borderId="3"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1" fillId="0" borderId="27" applyNumberFormat="0" applyFill="0" applyAlignment="0" applyProtection="0"/>
    <xf numFmtId="0" fontId="31" fillId="0" borderId="27" applyNumberFormat="0" applyFill="0" applyAlignment="0" applyProtection="0"/>
    <xf numFmtId="0" fontId="31" fillId="0" borderId="27" applyNumberFormat="0" applyFill="0" applyAlignment="0" applyProtection="0"/>
    <xf numFmtId="0" fontId="31" fillId="0" borderId="27" applyNumberFormat="0" applyFill="0" applyAlignment="0" applyProtection="0"/>
    <xf numFmtId="0" fontId="31" fillId="0" borderId="27" applyNumberFormat="0" applyFill="0" applyAlignment="0" applyProtection="0"/>
    <xf numFmtId="0" fontId="31" fillId="0" borderId="27" applyNumberFormat="0" applyFill="0" applyAlignment="0" applyProtection="0"/>
    <xf numFmtId="0" fontId="31" fillId="0" borderId="27" applyNumberFormat="0" applyFill="0" applyAlignment="0" applyProtection="0"/>
    <xf numFmtId="0" fontId="31" fillId="0" borderId="27" applyNumberFormat="0" applyFill="0" applyAlignment="0" applyProtection="0"/>
    <xf numFmtId="0" fontId="31" fillId="0" borderId="27" applyNumberFormat="0" applyFill="0" applyAlignment="0" applyProtection="0"/>
    <xf numFmtId="0" fontId="35" fillId="0" borderId="26" applyNumberFormat="0" applyFill="0" applyAlignment="0" applyProtection="0"/>
    <xf numFmtId="180" fontId="31" fillId="0" borderId="27" applyNumberFormat="0" applyFill="0" applyAlignment="0" applyProtection="0"/>
    <xf numFmtId="180" fontId="31" fillId="0" borderId="27" applyNumberFormat="0" applyFill="0" applyAlignment="0" applyProtection="0"/>
    <xf numFmtId="0" fontId="35" fillId="0" borderId="26" applyNumberFormat="0" applyFill="0" applyAlignment="0" applyProtection="0"/>
    <xf numFmtId="0" fontId="35" fillId="0" borderId="26" applyNumberFormat="0" applyFill="0" applyAlignment="0" applyProtection="0"/>
    <xf numFmtId="0" fontId="31" fillId="0" borderId="27" applyNumberFormat="0" applyFill="0" applyAlignment="0" applyProtection="0"/>
    <xf numFmtId="0" fontId="35" fillId="0" borderId="27" applyNumberFormat="0" applyFill="0" applyAlignment="0" applyProtection="0"/>
    <xf numFmtId="0" fontId="35" fillId="0" borderId="27" applyNumberFormat="0" applyFill="0" applyAlignment="0" applyProtection="0"/>
    <xf numFmtId="0" fontId="31" fillId="0" borderId="27" applyNumberFormat="0" applyFill="0" applyAlignment="0" applyProtection="0"/>
    <xf numFmtId="180" fontId="31" fillId="0" borderId="27" applyNumberFormat="0" applyFill="0" applyAlignment="0" applyProtection="0"/>
    <xf numFmtId="180" fontId="31" fillId="0" borderId="27" applyNumberFormat="0" applyFill="0" applyAlignment="0" applyProtection="0"/>
    <xf numFmtId="180" fontId="31" fillId="0" borderId="27" applyNumberFormat="0" applyFill="0" applyAlignment="0" applyProtection="0"/>
    <xf numFmtId="180" fontId="31" fillId="0" borderId="27" applyNumberFormat="0" applyFill="0" applyAlignment="0" applyProtection="0"/>
    <xf numFmtId="180" fontId="31" fillId="0" borderId="27" applyNumberFormat="0" applyFill="0" applyAlignment="0" applyProtection="0"/>
    <xf numFmtId="180" fontId="31" fillId="0" borderId="27" applyNumberFormat="0" applyFill="0" applyAlignment="0" applyProtection="0"/>
    <xf numFmtId="0" fontId="35" fillId="0" borderId="26" applyNumberFormat="0" applyFill="0" applyAlignment="0" applyProtection="0"/>
    <xf numFmtId="0" fontId="22" fillId="0" borderId="26" applyNumberFormat="0" applyFill="0" applyAlignment="0" applyProtection="0"/>
    <xf numFmtId="0" fontId="22" fillId="0" borderId="26" applyNumberFormat="0" applyFill="0" applyAlignment="0" applyProtection="0"/>
    <xf numFmtId="0" fontId="31" fillId="0" borderId="27" applyNumberFormat="0" applyFill="0" applyAlignment="0" applyProtection="0"/>
    <xf numFmtId="0" fontId="31" fillId="0" borderId="27" applyNumberFormat="0" applyFill="0" applyAlignment="0" applyProtection="0"/>
    <xf numFmtId="0" fontId="31" fillId="0" borderId="27" applyNumberFormat="0" applyFill="0" applyAlignment="0" applyProtection="0"/>
    <xf numFmtId="0" fontId="31" fillId="0" borderId="27" applyNumberFormat="0" applyFill="0" applyAlignment="0" applyProtection="0"/>
    <xf numFmtId="0" fontId="31" fillId="0" borderId="27" applyNumberFormat="0" applyFill="0" applyAlignment="0" applyProtection="0"/>
    <xf numFmtId="0" fontId="36" fillId="39" borderId="12" applyNumberFormat="0" applyAlignment="0" applyProtection="0"/>
    <xf numFmtId="0" fontId="21" fillId="39" borderId="12" applyNumberFormat="0" applyAlignment="0" applyProtection="0"/>
    <xf numFmtId="0" fontId="21" fillId="39" borderId="12" applyNumberFormat="0" applyAlignment="0" applyProtection="0"/>
    <xf numFmtId="171" fontId="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08" fillId="0" borderId="0" applyFont="0" applyFill="0" applyBorder="0" applyAlignment="0" applyProtection="0"/>
    <xf numFmtId="171" fontId="108" fillId="0" borderId="0" applyFont="0" applyFill="0" applyBorder="0" applyAlignment="0" applyProtection="0"/>
    <xf numFmtId="171" fontId="108" fillId="0" borderId="0" applyFont="0" applyFill="0" applyBorder="0" applyAlignment="0" applyProtection="0"/>
    <xf numFmtId="171" fontId="108" fillId="0" borderId="0" applyFont="0" applyFill="0" applyBorder="0" applyAlignment="0" applyProtection="0"/>
    <xf numFmtId="171" fontId="108" fillId="0" borderId="0" applyFont="0" applyFill="0" applyBorder="0" applyAlignment="0" applyProtection="0"/>
    <xf numFmtId="171" fontId="11" fillId="0" borderId="0" applyFont="0" applyFill="0" applyBorder="0" applyAlignment="0" applyProtection="0"/>
    <xf numFmtId="171" fontId="10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1"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43" fontId="37" fillId="0" borderId="0" applyFont="0" applyFill="0" applyBorder="0" applyAlignment="0" applyProtection="0"/>
    <xf numFmtId="213" fontId="29"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1" fontId="108" fillId="0" borderId="0" applyFont="0" applyFill="0" applyBorder="0" applyAlignment="0" applyProtection="0"/>
    <xf numFmtId="171" fontId="108" fillId="0" borderId="0" applyFont="0" applyFill="0" applyBorder="0" applyAlignment="0" applyProtection="0"/>
    <xf numFmtId="171" fontId="37" fillId="0" borderId="0" applyFont="0" applyFill="0" applyBorder="0" applyAlignment="0" applyProtection="0"/>
    <xf numFmtId="178" fontId="1"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1" fontId="108" fillId="0" borderId="0" applyFont="0" applyFill="0" applyBorder="0" applyAlignment="0" applyProtection="0"/>
    <xf numFmtId="171" fontId="108" fillId="0" borderId="0" applyFont="0" applyFill="0" applyBorder="0" applyAlignment="0" applyProtection="0"/>
    <xf numFmtId="171" fontId="108" fillId="0" borderId="0" applyFont="0" applyFill="0" applyBorder="0" applyAlignment="0" applyProtection="0"/>
    <xf numFmtId="171" fontId="11" fillId="0" borderId="0" applyFont="0" applyFill="0" applyBorder="0" applyAlignment="0" applyProtection="0"/>
    <xf numFmtId="171" fontId="10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4" fontId="8"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214" fontId="29" fillId="0" borderId="0" applyFont="0" applyFill="0" applyBorder="0" applyAlignment="0" applyProtection="0"/>
    <xf numFmtId="194" fontId="29" fillId="0" borderId="0" applyFont="0" applyFill="0" applyBorder="0" applyAlignment="0" applyProtection="0"/>
    <xf numFmtId="171" fontId="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 fillId="0" borderId="0" applyFont="0" applyFill="0" applyBorder="0" applyAlignment="0" applyProtection="0"/>
    <xf numFmtId="171" fontId="8" fillId="0" borderId="0" applyFont="0" applyFill="0" applyBorder="0" applyAlignment="0" applyProtection="0"/>
    <xf numFmtId="171" fontId="29" fillId="0" borderId="0" applyFont="0" applyFill="0" applyBorder="0" applyAlignment="0" applyProtection="0"/>
    <xf numFmtId="171" fontId="29" fillId="0" borderId="0" applyFont="0" applyFill="0" applyBorder="0" applyAlignment="0" applyProtection="0"/>
    <xf numFmtId="171" fontId="8" fillId="0" borderId="0" applyFont="0" applyFill="0" applyBorder="0" applyAlignment="0" applyProtection="0"/>
    <xf numFmtId="171" fontId="8" fillId="0" borderId="0" applyFont="0" applyFill="0" applyBorder="0" applyAlignment="0" applyProtection="0"/>
    <xf numFmtId="171" fontId="10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08" fillId="0" borderId="0" applyFont="0" applyFill="0" applyBorder="0" applyAlignment="0" applyProtection="0"/>
    <xf numFmtId="171" fontId="108" fillId="0" borderId="0" applyFont="0" applyFill="0" applyBorder="0" applyAlignment="0" applyProtection="0"/>
    <xf numFmtId="171" fontId="108" fillId="0" borderId="0" applyFont="0" applyFill="0" applyBorder="0" applyAlignment="0" applyProtection="0"/>
    <xf numFmtId="171" fontId="11" fillId="0" borderId="0" applyFont="0" applyFill="0" applyBorder="0" applyAlignment="0" applyProtection="0"/>
    <xf numFmtId="171" fontId="108" fillId="0" borderId="0" applyFont="0" applyFill="0" applyBorder="0" applyAlignment="0" applyProtection="0"/>
    <xf numFmtId="171" fontId="108" fillId="0" borderId="0" applyFont="0" applyFill="0" applyBorder="0" applyAlignment="0" applyProtection="0"/>
    <xf numFmtId="171" fontId="108" fillId="0" borderId="0" applyFont="0" applyFill="0" applyBorder="0" applyAlignment="0" applyProtection="0"/>
    <xf numFmtId="171" fontId="108" fillId="0" borderId="0" applyFont="0" applyFill="0" applyBorder="0" applyAlignment="0" applyProtection="0"/>
    <xf numFmtId="171" fontId="108" fillId="0" borderId="0" applyFont="0" applyFill="0" applyBorder="0" applyAlignment="0" applyProtection="0"/>
    <xf numFmtId="171" fontId="108"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1" fontId="11"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xf numFmtId="172" fontId="8" fillId="0" borderId="0" applyFont="0" applyFill="0" applyBorder="0" applyAlignment="0" applyProtection="0"/>
  </cellStyleXfs>
  <cellXfs count="431">
    <xf numFmtId="0" fontId="0" fillId="0" borderId="0" xfId="0"/>
    <xf numFmtId="172" fontId="7" fillId="51" borderId="42" xfId="2162" applyNumberFormat="1" applyFont="1" applyFill="1" applyBorder="1" applyAlignment="1">
      <alignment horizontal="center" vertical="center"/>
    </xf>
    <xf numFmtId="173" fontId="7" fillId="51" borderId="39" xfId="1510" applyNumberFormat="1" applyFont="1" applyFill="1" applyBorder="1" applyAlignment="1">
      <alignment horizontal="center" vertical="center" wrapText="1"/>
    </xf>
    <xf numFmtId="173" fontId="7" fillId="51" borderId="44" xfId="1510" applyNumberFormat="1" applyFont="1" applyFill="1" applyBorder="1" applyAlignment="1">
      <alignment horizontal="center" vertical="center" wrapText="1"/>
    </xf>
    <xf numFmtId="173" fontId="7" fillId="51" borderId="37" xfId="1510" applyNumberFormat="1" applyFont="1" applyFill="1" applyBorder="1" applyAlignment="1">
      <alignment horizontal="center" vertical="center"/>
    </xf>
    <xf numFmtId="173" fontId="2" fillId="51" borderId="0" xfId="1510" applyNumberFormat="1" applyFont="1" applyFill="1" applyAlignment="1">
      <alignment horizontal="left" vertical="center" wrapText="1"/>
    </xf>
    <xf numFmtId="172" fontId="2" fillId="51" borderId="0" xfId="2163" applyNumberFormat="1" applyFont="1" applyFill="1" applyAlignment="1">
      <alignment horizontal="right" vertical="center" wrapText="1"/>
    </xf>
    <xf numFmtId="173" fontId="7" fillId="51" borderId="60" xfId="1510" applyNumberFormat="1" applyFont="1" applyFill="1" applyBorder="1" applyAlignment="1">
      <alignment horizontal="center" vertical="center" wrapText="1"/>
    </xf>
    <xf numFmtId="172" fontId="7" fillId="51" borderId="38" xfId="2162" applyNumberFormat="1" applyFont="1" applyFill="1" applyBorder="1" applyAlignment="1">
      <alignment horizontal="center" vertical="center"/>
    </xf>
    <xf numFmtId="173" fontId="7" fillId="51" borderId="63" xfId="1510" applyNumberFormat="1" applyFont="1" applyFill="1" applyBorder="1" applyAlignment="1">
      <alignment horizontal="center" vertical="center"/>
    </xf>
    <xf numFmtId="172" fontId="7" fillId="51" borderId="37" xfId="2162" applyNumberFormat="1" applyFont="1" applyFill="1" applyBorder="1" applyAlignment="1">
      <alignment horizontal="center" vertical="center"/>
    </xf>
    <xf numFmtId="173" fontId="7" fillId="51" borderId="37" xfId="1510" applyNumberFormat="1" applyFont="1" applyFill="1" applyBorder="1" applyAlignment="1">
      <alignment horizontal="center" vertical="center" wrapText="1"/>
    </xf>
    <xf numFmtId="173" fontId="5" fillId="58" borderId="0" xfId="1584" applyNumberFormat="1" applyFont="1" applyFill="1" applyAlignment="1">
      <alignment horizontal="left" wrapText="1"/>
    </xf>
    <xf numFmtId="172" fontId="2" fillId="51" borderId="0" xfId="2163" applyNumberFormat="1" applyFont="1" applyFill="1" applyAlignment="1">
      <alignment horizontal="right" vertical="center" wrapText="1"/>
    </xf>
    <xf numFmtId="173" fontId="2" fillId="51" borderId="0" xfId="1584" applyNumberFormat="1" applyFont="1" applyFill="1" applyAlignment="1">
      <alignment vertical="center"/>
    </xf>
    <xf numFmtId="172" fontId="2" fillId="51" borderId="0" xfId="2163" applyNumberFormat="1" applyFont="1" applyFill="1" applyAlignment="1">
      <alignment vertical="center"/>
    </xf>
    <xf numFmtId="173" fontId="2" fillId="58" borderId="0" xfId="1584" applyNumberFormat="1" applyFont="1" applyFill="1" applyAlignment="1">
      <alignment vertical="center"/>
    </xf>
    <xf numFmtId="173" fontId="2" fillId="59" borderId="0" xfId="1584" applyNumberFormat="1" applyFont="1" applyFill="1" applyAlignment="1">
      <alignment vertical="center"/>
    </xf>
    <xf numFmtId="173" fontId="3" fillId="58" borderId="0" xfId="764" applyNumberFormat="1" applyFont="1" applyFill="1" applyBorder="1" applyAlignment="1">
      <alignment vertical="center"/>
    </xf>
    <xf numFmtId="173" fontId="4" fillId="51" borderId="0" xfId="1510" applyNumberFormat="1" applyFont="1" applyFill="1" applyAlignment="1">
      <alignment vertical="center"/>
    </xf>
    <xf numFmtId="3" fontId="120" fillId="58" borderId="0" xfId="1584" applyNumberFormat="1" applyFont="1" applyFill="1" applyAlignment="1">
      <alignment vertical="center"/>
    </xf>
    <xf numFmtId="173" fontId="120" fillId="58" borderId="0" xfId="1584" applyNumberFormat="1" applyFont="1" applyFill="1" applyAlignment="1">
      <alignment vertical="center"/>
    </xf>
    <xf numFmtId="3" fontId="2" fillId="51" borderId="0" xfId="1584" applyNumberFormat="1" applyFont="1" applyFill="1" applyAlignment="1">
      <alignment vertical="center"/>
    </xf>
    <xf numFmtId="173" fontId="4" fillId="51" borderId="0" xfId="2162" applyNumberFormat="1" applyFont="1" applyFill="1" applyAlignment="1">
      <alignment vertical="center"/>
    </xf>
    <xf numFmtId="173" fontId="4" fillId="58" borderId="0" xfId="1510" applyNumberFormat="1" applyFont="1" applyFill="1" applyAlignment="1">
      <alignment vertical="center"/>
    </xf>
    <xf numFmtId="173" fontId="5" fillId="51" borderId="0" xfId="1510" applyNumberFormat="1" applyFont="1" applyFill="1" applyAlignment="1">
      <alignment vertical="center"/>
    </xf>
    <xf numFmtId="172" fontId="4" fillId="51" borderId="0" xfId="2162" applyNumberFormat="1" applyFont="1" applyFill="1" applyAlignment="1">
      <alignment vertical="center"/>
    </xf>
    <xf numFmtId="173" fontId="7" fillId="51" borderId="0" xfId="1510" applyNumberFormat="1" applyFont="1" applyFill="1" applyAlignment="1">
      <alignment vertical="center"/>
    </xf>
    <xf numFmtId="173" fontId="7" fillId="58" borderId="0" xfId="1510" applyNumberFormat="1" applyFont="1" applyFill="1" applyAlignment="1">
      <alignment vertical="center"/>
    </xf>
    <xf numFmtId="173" fontId="7" fillId="51" borderId="0" xfId="1510" applyNumberFormat="1" applyFont="1" applyFill="1" applyBorder="1" applyAlignment="1">
      <alignment horizontal="center" vertical="center"/>
    </xf>
    <xf numFmtId="173" fontId="7" fillId="51" borderId="0" xfId="1510" applyNumberFormat="1" applyFont="1" applyFill="1" applyBorder="1" applyAlignment="1">
      <alignment horizontal="center" vertical="center" wrapText="1"/>
    </xf>
    <xf numFmtId="172" fontId="7" fillId="51" borderId="0" xfId="2162" applyNumberFormat="1" applyFont="1" applyFill="1" applyBorder="1" applyAlignment="1">
      <alignment horizontal="center" vertical="center"/>
    </xf>
    <xf numFmtId="49" fontId="7" fillId="51" borderId="0" xfId="1510" applyNumberFormat="1" applyFont="1" applyFill="1" applyBorder="1" applyAlignment="1">
      <alignment vertical="center"/>
    </xf>
    <xf numFmtId="173" fontId="4" fillId="60" borderId="0" xfId="0" applyNumberFormat="1" applyFont="1" applyFill="1" applyAlignment="1">
      <alignment vertical="center"/>
    </xf>
    <xf numFmtId="172" fontId="4" fillId="51" borderId="0" xfId="2162" applyNumberFormat="1" applyFont="1" applyFill="1" applyAlignment="1">
      <alignment horizontal="right" vertical="center"/>
    </xf>
    <xf numFmtId="173" fontId="7" fillId="51" borderId="0" xfId="1510" applyNumberFormat="1" applyFont="1" applyFill="1" applyBorder="1" applyAlignment="1">
      <alignment vertical="center"/>
    </xf>
    <xf numFmtId="173" fontId="4" fillId="51" borderId="0" xfId="1510" applyNumberFormat="1" applyFont="1" applyFill="1" applyBorder="1" applyAlignment="1">
      <alignment vertical="center"/>
    </xf>
    <xf numFmtId="172" fontId="4" fillId="51" borderId="0" xfId="2162" applyNumberFormat="1" applyFont="1" applyFill="1" applyBorder="1" applyAlignment="1">
      <alignment horizontal="right" vertical="center"/>
    </xf>
    <xf numFmtId="173" fontId="2" fillId="51" borderId="0" xfId="1584" applyNumberFormat="1" applyFont="1" applyFill="1" applyAlignment="1"/>
    <xf numFmtId="173" fontId="4" fillId="58" borderId="0" xfId="0" applyNumberFormat="1" applyFont="1" applyFill="1" applyAlignment="1">
      <alignment vertical="center"/>
    </xf>
    <xf numFmtId="173" fontId="4" fillId="58" borderId="0" xfId="1510" applyNumberFormat="1" applyFont="1" applyFill="1" applyBorder="1" applyAlignment="1">
      <alignment vertical="center"/>
    </xf>
    <xf numFmtId="173" fontId="4" fillId="58" borderId="0" xfId="2162" applyNumberFormat="1" applyFont="1" applyFill="1" applyAlignment="1">
      <alignment vertical="center"/>
    </xf>
    <xf numFmtId="173" fontId="9" fillId="58" borderId="0" xfId="1584" applyNumberFormat="1" applyFont="1" applyFill="1" applyAlignment="1">
      <alignment horizontal="center" vertical="center"/>
    </xf>
    <xf numFmtId="172" fontId="4" fillId="51" borderId="0" xfId="2110" applyNumberFormat="1" applyFont="1" applyFill="1" applyAlignment="1">
      <alignment vertical="center"/>
    </xf>
    <xf numFmtId="173" fontId="4" fillId="0" borderId="0" xfId="1510" applyNumberFormat="1" applyFont="1" applyFill="1" applyAlignment="1">
      <alignment vertical="center"/>
    </xf>
    <xf numFmtId="173" fontId="4" fillId="0" borderId="0" xfId="1510" applyNumberFormat="1" applyFont="1" applyFill="1" applyBorder="1" applyAlignment="1">
      <alignment vertical="center"/>
    </xf>
    <xf numFmtId="172" fontId="4" fillId="0" borderId="0" xfId="2162" applyNumberFormat="1" applyFont="1" applyFill="1" applyAlignment="1">
      <alignment horizontal="right" vertical="center"/>
    </xf>
    <xf numFmtId="173" fontId="4" fillId="0" borderId="0" xfId="1510" applyNumberFormat="1" applyFont="1" applyAlignment="1">
      <alignment vertical="center"/>
    </xf>
    <xf numFmtId="173" fontId="10" fillId="51" borderId="0" xfId="1102" applyNumberFormat="1" applyFont="1" applyFill="1" applyAlignment="1">
      <alignment vertical="center"/>
    </xf>
    <xf numFmtId="173" fontId="4" fillId="51" borderId="0" xfId="1510" applyNumberFormat="1" applyFont="1" applyFill="1" applyAlignment="1"/>
    <xf numFmtId="172" fontId="4" fillId="51" borderId="0" xfId="2162" applyNumberFormat="1" applyFont="1" applyFill="1" applyAlignment="1"/>
    <xf numFmtId="172" fontId="4" fillId="0" borderId="0" xfId="2110" applyNumberFormat="1" applyFont="1" applyFill="1" applyAlignment="1">
      <alignment vertical="center"/>
    </xf>
    <xf numFmtId="173" fontId="9" fillId="0" borderId="0" xfId="1584" applyNumberFormat="1" applyFont="1" applyFill="1" applyAlignment="1">
      <alignment horizontal="center" vertical="center"/>
    </xf>
    <xf numFmtId="173" fontId="2" fillId="0" borderId="0" xfId="1584" applyNumberFormat="1" applyFont="1" applyFill="1" applyAlignment="1">
      <alignment vertical="center"/>
    </xf>
    <xf numFmtId="173" fontId="2" fillId="51" borderId="0" xfId="1584" applyNumberFormat="1" applyFont="1" applyFill="1" applyBorder="1" applyAlignment="1">
      <alignment vertical="center"/>
    </xf>
    <xf numFmtId="173" fontId="4" fillId="51" borderId="0" xfId="1510" applyNumberFormat="1" applyFont="1" applyFill="1" applyAlignment="1">
      <alignment horizontal="left" vertical="center" wrapText="1"/>
    </xf>
    <xf numFmtId="173" fontId="4" fillId="0" borderId="0" xfId="0" applyNumberFormat="1" applyFont="1" applyFill="1" applyAlignment="1">
      <alignment vertical="center"/>
    </xf>
    <xf numFmtId="172" fontId="4" fillId="51" borderId="0" xfId="2162" applyNumberFormat="1" applyFont="1" applyFill="1" applyAlignment="1">
      <alignment horizontal="center" vertical="center"/>
    </xf>
    <xf numFmtId="0" fontId="9" fillId="0" borderId="0" xfId="0" applyFont="1" applyAlignment="1">
      <alignment horizontal="center"/>
    </xf>
    <xf numFmtId="0" fontId="0" fillId="51" borderId="0" xfId="0" applyFill="1" applyAlignment="1">
      <alignment horizontal="center"/>
    </xf>
    <xf numFmtId="0" fontId="9" fillId="0" borderId="0" xfId="0" applyFont="1" applyFill="1" applyAlignment="1">
      <alignment horizontal="center"/>
    </xf>
    <xf numFmtId="49" fontId="7" fillId="0" borderId="0" xfId="1510" applyNumberFormat="1" applyFont="1" applyFill="1" applyBorder="1" applyAlignment="1">
      <alignment vertical="center"/>
    </xf>
    <xf numFmtId="0" fontId="0" fillId="58" borderId="0" xfId="0" applyFill="1" applyBorder="1" applyAlignment="1">
      <alignment horizontal="center"/>
    </xf>
    <xf numFmtId="172" fontId="4" fillId="58" borderId="0" xfId="2162" applyNumberFormat="1" applyFont="1" applyFill="1" applyAlignment="1">
      <alignment horizontal="right" vertical="center"/>
    </xf>
    <xf numFmtId="172" fontId="4" fillId="58" borderId="0" xfId="2110" applyNumberFormat="1" applyFont="1" applyFill="1" applyAlignment="1">
      <alignment horizontal="right" vertical="center"/>
    </xf>
    <xf numFmtId="173" fontId="4" fillId="51" borderId="0" xfId="1510" applyNumberFormat="1" applyFont="1" applyFill="1" applyAlignment="1">
      <alignment horizontal="justify" vertical="center" wrapText="1"/>
    </xf>
    <xf numFmtId="173" fontId="121" fillId="58" borderId="0" xfId="1510" applyNumberFormat="1" applyFont="1" applyFill="1" applyAlignment="1">
      <alignment vertical="center"/>
    </xf>
    <xf numFmtId="172" fontId="4" fillId="0" borderId="0" xfId="2162" applyNumberFormat="1" applyFont="1" applyFill="1" applyBorder="1" applyAlignment="1">
      <alignment horizontal="right" vertical="center"/>
    </xf>
    <xf numFmtId="173" fontId="122" fillId="58" borderId="0" xfId="1584" applyNumberFormat="1" applyFont="1" applyFill="1" applyAlignment="1">
      <alignment horizontal="center" vertical="center"/>
    </xf>
    <xf numFmtId="173" fontId="122" fillId="0" borderId="0" xfId="1584" applyNumberFormat="1" applyFont="1" applyFill="1" applyAlignment="1">
      <alignment horizontal="center" vertical="center"/>
    </xf>
    <xf numFmtId="173" fontId="4" fillId="51" borderId="0" xfId="1510" applyNumberFormat="1" applyFont="1" applyFill="1" applyAlignment="1">
      <alignment vertical="center" wrapText="1"/>
    </xf>
    <xf numFmtId="173" fontId="2" fillId="51" borderId="0" xfId="1584" applyNumberFormat="1" applyFont="1" applyFill="1" applyAlignment="1">
      <alignment vertical="center" wrapText="1"/>
    </xf>
    <xf numFmtId="172" fontId="4" fillId="0" borderId="0" xfId="2110" applyNumberFormat="1" applyFont="1" applyFill="1" applyAlignment="1">
      <alignment horizontal="right" vertical="center"/>
    </xf>
    <xf numFmtId="172" fontId="7" fillId="51" borderId="37" xfId="2162" applyNumberFormat="1" applyFont="1" applyFill="1" applyBorder="1" applyAlignment="1">
      <alignment horizontal="center" vertical="center"/>
    </xf>
    <xf numFmtId="172" fontId="7" fillId="51" borderId="38" xfId="2162" applyNumberFormat="1" applyFont="1" applyFill="1" applyBorder="1" applyAlignment="1">
      <alignment horizontal="center" vertical="center"/>
    </xf>
    <xf numFmtId="173" fontId="4" fillId="51" borderId="0" xfId="2162" applyNumberFormat="1" applyFont="1" applyFill="1" applyBorder="1" applyAlignment="1">
      <alignment vertical="center"/>
    </xf>
    <xf numFmtId="173" fontId="123" fillId="51" borderId="39" xfId="1510" applyNumberFormat="1" applyFont="1" applyFill="1" applyBorder="1" applyAlignment="1">
      <alignment vertical="center"/>
    </xf>
    <xf numFmtId="173" fontId="123" fillId="51" borderId="40" xfId="1510" applyNumberFormat="1" applyFont="1" applyFill="1" applyBorder="1" applyAlignment="1">
      <alignment vertical="center"/>
    </xf>
    <xf numFmtId="173" fontId="123" fillId="51" borderId="41" xfId="1510" applyNumberFormat="1" applyFont="1" applyFill="1" applyBorder="1" applyAlignment="1">
      <alignment vertical="center"/>
    </xf>
    <xf numFmtId="173" fontId="123" fillId="51" borderId="41" xfId="2162" applyNumberFormat="1" applyFont="1" applyFill="1" applyBorder="1" applyAlignment="1">
      <alignment vertical="center"/>
    </xf>
    <xf numFmtId="172" fontId="123" fillId="51" borderId="41" xfId="2162" applyNumberFormat="1" applyFont="1" applyFill="1" applyBorder="1" applyAlignment="1">
      <alignment vertical="center"/>
    </xf>
    <xf numFmtId="173" fontId="124" fillId="0" borderId="41" xfId="1102" applyNumberFormat="1" applyFont="1" applyBorder="1" applyAlignment="1">
      <alignment horizontal="right" vertical="center"/>
    </xf>
    <xf numFmtId="173" fontId="124" fillId="58" borderId="0" xfId="1584" applyNumberFormat="1" applyFont="1" applyFill="1" applyAlignment="1">
      <alignment horizontal="center" vertical="center"/>
    </xf>
    <xf numFmtId="173" fontId="123" fillId="58" borderId="0" xfId="1510" applyNumberFormat="1" applyFont="1" applyFill="1" applyAlignment="1">
      <alignment vertical="center"/>
    </xf>
    <xf numFmtId="173" fontId="124" fillId="0" borderId="0" xfId="1102" applyNumberFormat="1" applyFont="1" applyAlignment="1"/>
    <xf numFmtId="173" fontId="4" fillId="0" borderId="0" xfId="1510" applyNumberFormat="1" applyFont="1" applyBorder="1" applyAlignment="1">
      <alignment vertical="center"/>
    </xf>
    <xf numFmtId="173" fontId="7" fillId="51" borderId="42" xfId="1510" applyNumberFormat="1" applyFont="1" applyFill="1" applyBorder="1" applyAlignment="1">
      <alignment vertical="center"/>
    </xf>
    <xf numFmtId="173" fontId="7" fillId="51" borderId="41" xfId="1510" applyNumberFormat="1" applyFont="1" applyFill="1" applyBorder="1" applyAlignment="1">
      <alignment vertical="center"/>
    </xf>
    <xf numFmtId="172" fontId="7" fillId="51" borderId="43" xfId="2162" applyNumberFormat="1" applyFont="1" applyFill="1" applyBorder="1" applyAlignment="1">
      <alignment horizontal="center" vertical="center"/>
    </xf>
    <xf numFmtId="173" fontId="4" fillId="51" borderId="41" xfId="1510" applyNumberFormat="1" applyFont="1" applyFill="1" applyBorder="1" applyAlignment="1">
      <alignment vertical="center"/>
    </xf>
    <xf numFmtId="0" fontId="4" fillId="0" borderId="0" xfId="1102" applyFont="1" applyFill="1" applyBorder="1" applyAlignment="1">
      <alignment vertical="top"/>
    </xf>
    <xf numFmtId="173" fontId="124" fillId="51" borderId="0" xfId="1102" applyNumberFormat="1" applyFont="1" applyFill="1" applyAlignment="1"/>
    <xf numFmtId="173" fontId="7" fillId="51" borderId="44" xfId="1510" applyNumberFormat="1" applyFont="1" applyFill="1" applyBorder="1" applyAlignment="1">
      <alignment vertical="center"/>
    </xf>
    <xf numFmtId="173" fontId="4" fillId="51" borderId="39" xfId="1510" applyNumberFormat="1" applyFont="1" applyFill="1" applyBorder="1" applyAlignment="1">
      <alignment vertical="center"/>
    </xf>
    <xf numFmtId="173" fontId="124" fillId="0" borderId="0" xfId="1102" applyNumberFormat="1" applyFont="1" applyAlignment="1">
      <alignment horizontal="right" vertical="center"/>
    </xf>
    <xf numFmtId="173" fontId="124" fillId="0" borderId="0" xfId="1102" applyNumberFormat="1" applyFont="1" applyAlignment="1">
      <alignment horizontal="right"/>
    </xf>
    <xf numFmtId="173" fontId="124" fillId="0" borderId="0" xfId="1102" applyNumberFormat="1" applyFont="1" applyAlignment="1">
      <alignment vertical="center"/>
    </xf>
    <xf numFmtId="173" fontId="123" fillId="51" borderId="0" xfId="1510" applyNumberFormat="1" applyFont="1" applyFill="1" applyAlignment="1">
      <alignment vertical="center"/>
    </xf>
    <xf numFmtId="172" fontId="123" fillId="51" borderId="0" xfId="2162" applyNumberFormat="1" applyFont="1" applyFill="1" applyAlignment="1">
      <alignment vertical="center"/>
    </xf>
    <xf numFmtId="173" fontId="4" fillId="0" borderId="41" xfId="1510" applyNumberFormat="1" applyFont="1" applyFill="1" applyBorder="1" applyAlignment="1">
      <alignment vertical="center"/>
    </xf>
    <xf numFmtId="173" fontId="4" fillId="51" borderId="42" xfId="1016" applyNumberFormat="1" applyFont="1" applyFill="1" applyBorder="1" applyAlignment="1">
      <alignment vertical="center"/>
    </xf>
    <xf numFmtId="173" fontId="4" fillId="51" borderId="42" xfId="1510" applyNumberFormat="1" applyFont="1" applyFill="1" applyBorder="1" applyAlignment="1">
      <alignment vertical="center"/>
    </xf>
    <xf numFmtId="172" fontId="4" fillId="51" borderId="42" xfId="2162" applyNumberFormat="1" applyFont="1" applyFill="1" applyBorder="1" applyAlignment="1">
      <alignment horizontal="right" vertical="center"/>
    </xf>
    <xf numFmtId="173" fontId="125" fillId="59" borderId="0" xfId="1584" applyNumberFormat="1" applyFont="1" applyFill="1" applyAlignment="1">
      <alignment vertical="center"/>
    </xf>
    <xf numFmtId="173" fontId="126" fillId="0" borderId="45" xfId="764" applyNumberFormat="1" applyFont="1" applyFill="1" applyBorder="1" applyAlignment="1">
      <alignment vertical="center"/>
    </xf>
    <xf numFmtId="173" fontId="127" fillId="0" borderId="45" xfId="0" applyNumberFormat="1" applyFont="1" applyFill="1" applyBorder="1" applyAlignment="1">
      <alignment vertical="center"/>
    </xf>
    <xf numFmtId="173" fontId="125" fillId="0" borderId="0" xfId="0" applyNumberFormat="1" applyFont="1" applyFill="1" applyAlignment="1">
      <alignment vertical="center"/>
    </xf>
    <xf numFmtId="3" fontId="125" fillId="51" borderId="0" xfId="1584" applyNumberFormat="1" applyFont="1" applyFill="1" applyAlignment="1">
      <alignment vertical="center"/>
    </xf>
    <xf numFmtId="173" fontId="125" fillId="51" borderId="0" xfId="1584" applyNumberFormat="1" applyFont="1" applyFill="1" applyAlignment="1">
      <alignment vertical="center"/>
    </xf>
    <xf numFmtId="3" fontId="125" fillId="0" borderId="0" xfId="0" applyNumberFormat="1" applyFont="1" applyFill="1" applyAlignment="1">
      <alignment vertical="center"/>
    </xf>
    <xf numFmtId="173" fontId="125" fillId="51" borderId="0" xfId="1510" applyNumberFormat="1" applyFont="1" applyFill="1" applyAlignment="1">
      <alignment vertical="center"/>
    </xf>
    <xf numFmtId="173" fontId="128" fillId="51" borderId="46" xfId="1510" applyNumberFormat="1" applyFont="1" applyFill="1" applyBorder="1" applyAlignment="1">
      <alignment vertical="center"/>
    </xf>
    <xf numFmtId="173" fontId="128" fillId="51" borderId="0" xfId="1510" applyNumberFormat="1" applyFont="1" applyFill="1" applyBorder="1" applyAlignment="1">
      <alignment vertical="center"/>
    </xf>
    <xf numFmtId="173" fontId="125" fillId="51" borderId="0" xfId="1510" applyNumberFormat="1" applyFont="1" applyFill="1" applyAlignment="1">
      <alignment horizontal="center" vertical="center" wrapText="1"/>
    </xf>
    <xf numFmtId="0" fontId="125" fillId="0" borderId="0" xfId="0" applyFont="1"/>
    <xf numFmtId="173" fontId="125" fillId="58" borderId="0" xfId="1476" applyNumberFormat="1" applyFont="1" applyFill="1" applyAlignment="1">
      <alignment horizontal="center" vertical="center" wrapText="1"/>
    </xf>
    <xf numFmtId="173" fontId="125" fillId="51" borderId="0" xfId="1510" applyNumberFormat="1" applyFont="1" applyFill="1" applyAlignment="1">
      <alignment horizontal="center" vertical="center"/>
    </xf>
    <xf numFmtId="49" fontId="129" fillId="51" borderId="0" xfId="1510" applyNumberFormat="1" applyFont="1" applyFill="1" applyBorder="1" applyAlignment="1">
      <alignment vertical="center"/>
    </xf>
    <xf numFmtId="173" fontId="125" fillId="0" borderId="0" xfId="0" applyNumberFormat="1" applyFont="1"/>
    <xf numFmtId="173" fontId="125" fillId="58" borderId="0" xfId="1476" applyNumberFormat="1" applyFont="1" applyFill="1"/>
    <xf numFmtId="173" fontId="125" fillId="0" borderId="0" xfId="1510" applyNumberFormat="1" applyFont="1" applyFill="1" applyAlignment="1">
      <alignment vertical="center"/>
    </xf>
    <xf numFmtId="173" fontId="130" fillId="58" borderId="0" xfId="1476" applyNumberFormat="1" applyFont="1" applyFill="1"/>
    <xf numFmtId="173" fontId="125" fillId="58" borderId="0" xfId="1510" applyNumberFormat="1" applyFont="1" applyFill="1" applyAlignment="1">
      <alignment vertical="center"/>
    </xf>
    <xf numFmtId="173" fontId="125" fillId="58" borderId="0" xfId="1510" applyNumberFormat="1" applyFont="1" applyFill="1" applyBorder="1" applyAlignment="1">
      <alignment vertical="center"/>
    </xf>
    <xf numFmtId="173" fontId="125" fillId="51" borderId="0" xfId="2162" applyNumberFormat="1" applyFont="1" applyFill="1" applyAlignment="1">
      <alignment vertical="center"/>
    </xf>
    <xf numFmtId="179" fontId="125" fillId="0" borderId="0" xfId="0" applyNumberFormat="1" applyFont="1"/>
    <xf numFmtId="173" fontId="125" fillId="51" borderId="0" xfId="1510" applyNumberFormat="1" applyFont="1" applyFill="1" applyBorder="1" applyAlignment="1">
      <alignment vertical="center"/>
    </xf>
    <xf numFmtId="173" fontId="131" fillId="58" borderId="0" xfId="1476" applyNumberFormat="1" applyFont="1" applyFill="1"/>
    <xf numFmtId="173" fontId="127" fillId="51" borderId="0" xfId="1510" applyNumberFormat="1" applyFont="1" applyFill="1" applyBorder="1" applyAlignment="1">
      <alignment vertical="center"/>
    </xf>
    <xf numFmtId="173" fontId="127" fillId="51" borderId="46" xfId="1510" applyNumberFormat="1" applyFont="1" applyFill="1" applyBorder="1" applyAlignment="1">
      <alignment vertical="center"/>
    </xf>
    <xf numFmtId="173" fontId="127" fillId="51" borderId="0" xfId="2162" applyNumberFormat="1" applyFont="1" applyFill="1" applyBorder="1" applyAlignment="1">
      <alignment vertical="center"/>
    </xf>
    <xf numFmtId="172" fontId="127" fillId="51" borderId="0" xfId="2162" applyNumberFormat="1" applyFont="1" applyFill="1" applyBorder="1" applyAlignment="1">
      <alignment vertical="center"/>
    </xf>
    <xf numFmtId="173" fontId="127" fillId="58" borderId="0" xfId="1510" applyNumberFormat="1" applyFont="1" applyFill="1" applyBorder="1" applyAlignment="1">
      <alignment vertical="center"/>
    </xf>
    <xf numFmtId="173" fontId="127" fillId="58" borderId="46" xfId="1510" applyNumberFormat="1" applyFont="1" applyFill="1" applyBorder="1" applyAlignment="1">
      <alignment vertical="center"/>
    </xf>
    <xf numFmtId="173" fontId="126" fillId="0" borderId="0" xfId="1102" applyNumberFormat="1" applyFont="1" applyBorder="1" applyAlignment="1">
      <alignment horizontal="right" vertical="center"/>
    </xf>
    <xf numFmtId="173" fontId="132" fillId="0" borderId="45" xfId="764" applyNumberFormat="1" applyFont="1" applyFill="1" applyBorder="1" applyAlignment="1">
      <alignment vertical="center"/>
    </xf>
    <xf numFmtId="173" fontId="133" fillId="0" borderId="45" xfId="764" applyNumberFormat="1" applyFont="1" applyFill="1" applyBorder="1" applyAlignment="1">
      <alignment vertical="center"/>
    </xf>
    <xf numFmtId="173" fontId="4" fillId="0" borderId="0" xfId="1476" applyNumberFormat="1" applyFont="1" applyAlignment="1">
      <alignment vertical="center"/>
    </xf>
    <xf numFmtId="173" fontId="134" fillId="58" borderId="0" xfId="1476" applyNumberFormat="1" applyFont="1" applyFill="1" applyAlignment="1">
      <alignment vertical="center"/>
    </xf>
    <xf numFmtId="173" fontId="7" fillId="0" borderId="0" xfId="1476" applyNumberFormat="1" applyFont="1" applyAlignment="1">
      <alignment vertical="center"/>
    </xf>
    <xf numFmtId="173" fontId="4" fillId="0" borderId="0" xfId="1046" applyNumberFormat="1" applyFont="1" applyAlignment="1">
      <alignment vertical="center"/>
    </xf>
    <xf numFmtId="173" fontId="135" fillId="58" borderId="0" xfId="1476" applyNumberFormat="1" applyFont="1" applyFill="1" applyBorder="1" applyAlignment="1">
      <alignment vertical="center"/>
    </xf>
    <xf numFmtId="0" fontId="136" fillId="0" borderId="0" xfId="0" applyFont="1" applyAlignment="1">
      <alignment vertical="center"/>
    </xf>
    <xf numFmtId="0" fontId="0" fillId="51" borderId="0" xfId="0" applyFill="1" applyAlignment="1">
      <alignment vertical="center"/>
    </xf>
    <xf numFmtId="173" fontId="137" fillId="58" borderId="47" xfId="764" applyNumberFormat="1" applyFont="1" applyFill="1" applyBorder="1" applyAlignment="1">
      <alignment vertical="center"/>
    </xf>
    <xf numFmtId="0" fontId="138" fillId="58" borderId="47" xfId="0" applyFont="1" applyFill="1" applyBorder="1" applyAlignment="1">
      <alignment vertical="center"/>
    </xf>
    <xf numFmtId="173" fontId="139" fillId="58" borderId="47" xfId="764" applyNumberFormat="1" applyFont="1" applyFill="1" applyBorder="1" applyAlignment="1">
      <alignment horizontal="center" vertical="center" wrapText="1"/>
    </xf>
    <xf numFmtId="0" fontId="138" fillId="58" borderId="0" xfId="0" applyFont="1" applyFill="1" applyAlignment="1">
      <alignment vertical="center"/>
    </xf>
    <xf numFmtId="173" fontId="140" fillId="58" borderId="0" xfId="767" applyNumberFormat="1" applyFont="1" applyFill="1" applyBorder="1" applyAlignment="1" applyProtection="1">
      <alignment vertical="center"/>
    </xf>
    <xf numFmtId="211" fontId="141" fillId="58" borderId="0" xfId="0" applyNumberFormat="1" applyFont="1" applyFill="1" applyAlignment="1">
      <alignment horizontal="right" vertical="center"/>
    </xf>
    <xf numFmtId="212" fontId="141" fillId="58" borderId="0" xfId="0" quotePrefix="1" applyNumberFormat="1" applyFont="1" applyFill="1" applyAlignment="1">
      <alignment horizontal="right" vertical="center"/>
    </xf>
    <xf numFmtId="0" fontId="142" fillId="0" borderId="0" xfId="0" applyFont="1"/>
    <xf numFmtId="173" fontId="134" fillId="0" borderId="0" xfId="1476" applyNumberFormat="1" applyFont="1" applyAlignment="1">
      <alignment vertical="center"/>
    </xf>
    <xf numFmtId="173" fontId="143" fillId="51" borderId="0" xfId="1584" applyNumberFormat="1" applyFont="1" applyFill="1" applyAlignment="1">
      <alignment vertical="center"/>
    </xf>
    <xf numFmtId="173" fontId="143" fillId="51" borderId="0" xfId="1584" applyNumberFormat="1" applyFont="1" applyFill="1" applyAlignment="1"/>
    <xf numFmtId="173" fontId="134" fillId="0" borderId="0" xfId="1046" applyNumberFormat="1" applyFont="1" applyAlignment="1">
      <alignment vertical="center"/>
    </xf>
    <xf numFmtId="0" fontId="142" fillId="58" borderId="0" xfId="0" applyFont="1" applyFill="1"/>
    <xf numFmtId="173" fontId="75" fillId="51" borderId="0" xfId="1046" applyNumberFormat="1" applyFont="1" applyFill="1" applyBorder="1" applyAlignment="1">
      <alignment vertical="center" wrapText="1"/>
    </xf>
    <xf numFmtId="173" fontId="75" fillId="0" borderId="48" xfId="1046" applyNumberFormat="1" applyFont="1" applyFill="1" applyBorder="1" applyAlignment="1">
      <alignment vertical="center"/>
    </xf>
    <xf numFmtId="173" fontId="75" fillId="61" borderId="48" xfId="1046" applyNumberFormat="1" applyFont="1" applyFill="1" applyBorder="1" applyAlignment="1">
      <alignment vertical="center"/>
    </xf>
    <xf numFmtId="173" fontId="76" fillId="0" borderId="0" xfId="1476" applyNumberFormat="1" applyFont="1" applyBorder="1" applyAlignment="1">
      <alignment vertical="center"/>
    </xf>
    <xf numFmtId="173" fontId="76" fillId="58" borderId="0" xfId="1476" quotePrefix="1" applyNumberFormat="1" applyFont="1" applyFill="1" applyBorder="1" applyAlignment="1">
      <alignment horizontal="center" vertical="center" wrapText="1"/>
    </xf>
    <xf numFmtId="173" fontId="76" fillId="58" borderId="0" xfId="1476" applyNumberFormat="1" applyFont="1" applyFill="1" applyBorder="1" applyAlignment="1">
      <alignment horizontal="center" vertical="center" wrapText="1"/>
    </xf>
    <xf numFmtId="173" fontId="76" fillId="61" borderId="0" xfId="1476" applyNumberFormat="1" applyFont="1" applyFill="1" applyBorder="1" applyAlignment="1">
      <alignment vertical="center"/>
    </xf>
    <xf numFmtId="173" fontId="76" fillId="0" borderId="0" xfId="1476" quotePrefix="1" applyNumberFormat="1" applyFont="1" applyBorder="1" applyAlignment="1">
      <alignment horizontal="center" vertical="center" wrapText="1"/>
    </xf>
    <xf numFmtId="173" fontId="144" fillId="58" borderId="0" xfId="1476" applyNumberFormat="1" applyFont="1" applyFill="1" applyAlignment="1">
      <alignment vertical="center"/>
    </xf>
    <xf numFmtId="173" fontId="144" fillId="0" borderId="0" xfId="1476" applyNumberFormat="1" applyFont="1" applyAlignment="1">
      <alignment vertical="center"/>
    </xf>
    <xf numFmtId="173" fontId="145" fillId="58" borderId="42" xfId="1046" applyNumberFormat="1" applyFont="1" applyFill="1" applyBorder="1" applyAlignment="1">
      <alignment vertical="center"/>
    </xf>
    <xf numFmtId="173" fontId="146" fillId="61" borderId="42" xfId="1476" applyNumberFormat="1" applyFont="1" applyFill="1" applyBorder="1" applyAlignment="1">
      <alignment vertical="center"/>
    </xf>
    <xf numFmtId="173" fontId="145" fillId="0" borderId="42" xfId="1476" applyNumberFormat="1" applyFont="1" applyFill="1" applyBorder="1" applyAlignment="1">
      <alignment horizontal="right" vertical="center"/>
    </xf>
    <xf numFmtId="173" fontId="145" fillId="58" borderId="42" xfId="1476" applyNumberFormat="1" applyFont="1" applyFill="1" applyBorder="1" applyAlignment="1">
      <alignment horizontal="right" vertical="center"/>
    </xf>
    <xf numFmtId="173" fontId="76" fillId="58" borderId="0" xfId="1046" applyNumberFormat="1" applyFont="1" applyFill="1" applyBorder="1" applyAlignment="1">
      <alignment horizontal="left" vertical="center" indent="1"/>
    </xf>
    <xf numFmtId="173" fontId="76" fillId="0" borderId="0" xfId="1476" applyNumberFormat="1" applyFont="1" applyFill="1" applyAlignment="1">
      <alignment horizontal="right" vertical="center"/>
    </xf>
    <xf numFmtId="173" fontId="76" fillId="58" borderId="0" xfId="1476" applyNumberFormat="1" applyFont="1" applyFill="1" applyAlignment="1">
      <alignment horizontal="right" vertical="center"/>
    </xf>
    <xf numFmtId="173" fontId="76" fillId="58" borderId="0" xfId="1046" applyNumberFormat="1" applyFont="1" applyFill="1" applyBorder="1" applyAlignment="1">
      <alignment horizontal="left" vertical="center" indent="2"/>
    </xf>
    <xf numFmtId="207" fontId="144" fillId="58" borderId="0" xfId="1476" applyNumberFormat="1" applyFont="1" applyFill="1" applyAlignment="1">
      <alignment vertical="center"/>
    </xf>
    <xf numFmtId="208" fontId="144" fillId="58" borderId="0" xfId="1476" applyNumberFormat="1" applyFont="1" applyFill="1" applyAlignment="1">
      <alignment vertical="center"/>
    </xf>
    <xf numFmtId="173" fontId="76" fillId="58" borderId="0" xfId="1476" applyNumberFormat="1" applyFont="1" applyFill="1" applyAlignment="1">
      <alignment horizontal="left" vertical="center" indent="2"/>
    </xf>
    <xf numFmtId="173" fontId="76" fillId="58" borderId="0" xfId="1046" applyNumberFormat="1" applyFont="1" applyFill="1" applyBorder="1" applyAlignment="1">
      <alignment horizontal="left" vertical="center" indent="3"/>
    </xf>
    <xf numFmtId="173" fontId="76" fillId="58" borderId="0" xfId="1046" applyNumberFormat="1" applyFont="1" applyFill="1" applyBorder="1" applyAlignment="1">
      <alignment vertical="center"/>
    </xf>
    <xf numFmtId="173" fontId="145" fillId="58" borderId="0" xfId="1046" applyNumberFormat="1" applyFont="1" applyFill="1" applyBorder="1" applyAlignment="1">
      <alignment vertical="center"/>
    </xf>
    <xf numFmtId="173" fontId="146" fillId="61" borderId="0" xfId="1476" applyNumberFormat="1" applyFont="1" applyFill="1" applyBorder="1" applyAlignment="1">
      <alignment vertical="center"/>
    </xf>
    <xf numFmtId="173" fontId="145" fillId="0" borderId="0" xfId="1476" applyNumberFormat="1" applyFont="1" applyFill="1" applyAlignment="1">
      <alignment horizontal="right" vertical="center"/>
    </xf>
    <xf numFmtId="173" fontId="145" fillId="58" borderId="0" xfId="1476" applyNumberFormat="1" applyFont="1" applyFill="1" applyAlignment="1">
      <alignment horizontal="right" vertical="center"/>
    </xf>
    <xf numFmtId="209" fontId="144" fillId="58" borderId="0" xfId="1476" applyNumberFormat="1" applyFont="1" applyFill="1" applyAlignment="1">
      <alignment vertical="center"/>
    </xf>
    <xf numFmtId="173" fontId="76" fillId="0" borderId="0" xfId="1046" applyNumberFormat="1" applyFont="1" applyFill="1" applyBorder="1" applyAlignment="1">
      <alignment horizontal="left" vertical="center" indent="2"/>
    </xf>
    <xf numFmtId="173" fontId="76" fillId="0" borderId="0" xfId="1046" applyNumberFormat="1" applyFont="1" applyFill="1" applyBorder="1" applyAlignment="1">
      <alignment vertical="center"/>
    </xf>
    <xf numFmtId="173" fontId="145" fillId="58" borderId="43" xfId="1046" applyNumberFormat="1" applyFont="1" applyFill="1" applyBorder="1" applyAlignment="1">
      <alignment vertical="center"/>
    </xf>
    <xf numFmtId="173" fontId="146" fillId="61" borderId="43" xfId="1476" applyNumberFormat="1" applyFont="1" applyFill="1" applyBorder="1" applyAlignment="1">
      <alignment vertical="center"/>
    </xf>
    <xf numFmtId="173" fontId="145" fillId="0" borderId="43" xfId="1476" applyNumberFormat="1" applyFont="1" applyFill="1" applyBorder="1" applyAlignment="1">
      <alignment horizontal="right" vertical="center"/>
    </xf>
    <xf numFmtId="173" fontId="145" fillId="58" borderId="43" xfId="1476" applyNumberFormat="1" applyFont="1" applyFill="1" applyBorder="1" applyAlignment="1">
      <alignment horizontal="right" vertical="center"/>
    </xf>
    <xf numFmtId="173" fontId="77" fillId="58" borderId="0" xfId="1476" applyNumberFormat="1" applyFont="1" applyFill="1" applyAlignment="1">
      <alignment vertical="center"/>
    </xf>
    <xf numFmtId="173" fontId="76" fillId="0" borderId="0" xfId="1476" applyNumberFormat="1" applyFont="1" applyAlignment="1">
      <alignment horizontal="right" vertical="center"/>
    </xf>
    <xf numFmtId="173" fontId="76" fillId="58" borderId="0" xfId="1476" applyNumberFormat="1" applyFont="1" applyFill="1" applyAlignment="1">
      <alignment horizontal="left" vertical="center" indent="1"/>
    </xf>
    <xf numFmtId="173" fontId="125" fillId="61" borderId="0" xfId="1476" applyNumberFormat="1" applyFont="1" applyFill="1" applyBorder="1" applyAlignment="1">
      <alignment vertical="center"/>
    </xf>
    <xf numFmtId="173" fontId="76" fillId="0" borderId="0" xfId="1046" applyNumberFormat="1" applyFont="1" applyAlignment="1">
      <alignment vertical="center"/>
    </xf>
    <xf numFmtId="173" fontId="76" fillId="51" borderId="0" xfId="1046" applyNumberFormat="1" applyFont="1" applyFill="1" applyAlignment="1">
      <alignment vertical="center"/>
    </xf>
    <xf numFmtId="0" fontId="8" fillId="51" borderId="0" xfId="0" applyFont="1" applyFill="1"/>
    <xf numFmtId="0" fontId="76" fillId="51" borderId="0" xfId="1046" applyFont="1" applyFill="1"/>
    <xf numFmtId="210" fontId="78" fillId="0" borderId="0" xfId="1046" applyNumberFormat="1" applyFont="1" applyBorder="1" applyAlignment="1">
      <alignment vertical="center"/>
    </xf>
    <xf numFmtId="173" fontId="76" fillId="51" borderId="0" xfId="1584" applyNumberFormat="1" applyFont="1" applyFill="1" applyAlignment="1">
      <alignment vertical="center"/>
    </xf>
    <xf numFmtId="173" fontId="144" fillId="58" borderId="0" xfId="1046" applyNumberFormat="1" applyFont="1" applyFill="1" applyAlignment="1">
      <alignment vertical="center"/>
    </xf>
    <xf numFmtId="173" fontId="144" fillId="0" borderId="0" xfId="1046" applyNumberFormat="1" applyFont="1" applyAlignment="1">
      <alignment vertical="center"/>
    </xf>
    <xf numFmtId="173" fontId="4" fillId="58" borderId="0" xfId="1046" applyNumberFormat="1" applyFont="1" applyFill="1" applyAlignment="1">
      <alignment horizontal="left" vertical="center"/>
    </xf>
    <xf numFmtId="173" fontId="145" fillId="51" borderId="0" xfId="1046" applyNumberFormat="1" applyFont="1" applyFill="1" applyBorder="1" applyAlignment="1">
      <alignment horizontal="right"/>
    </xf>
    <xf numFmtId="172" fontId="7" fillId="51" borderId="38" xfId="2162" applyNumberFormat="1" applyFont="1" applyFill="1" applyBorder="1" applyAlignment="1">
      <alignment horizontal="center" vertical="center"/>
    </xf>
    <xf numFmtId="173" fontId="125" fillId="51" borderId="49" xfId="1510" applyNumberFormat="1" applyFont="1" applyFill="1" applyBorder="1" applyAlignment="1">
      <alignment horizontal="center" vertical="center"/>
    </xf>
    <xf numFmtId="173" fontId="125" fillId="58" borderId="49" xfId="1476" applyNumberFormat="1" applyFont="1" applyFill="1" applyBorder="1" applyAlignment="1">
      <alignment horizontal="center" vertical="center" wrapText="1"/>
    </xf>
    <xf numFmtId="0" fontId="125" fillId="0" borderId="49" xfId="0" applyFont="1" applyBorder="1"/>
    <xf numFmtId="173" fontId="125" fillId="58" borderId="48" xfId="1476" applyNumberFormat="1" applyFont="1" applyFill="1" applyBorder="1" applyAlignment="1">
      <alignment horizontal="center" vertical="center" wrapText="1"/>
    </xf>
    <xf numFmtId="173" fontId="128" fillId="51" borderId="50" xfId="1510" applyNumberFormat="1" applyFont="1" applyFill="1" applyBorder="1" applyAlignment="1">
      <alignment vertical="center"/>
    </xf>
    <xf numFmtId="173" fontId="126" fillId="51" borderId="50" xfId="1510" applyNumberFormat="1" applyFont="1" applyFill="1" applyBorder="1" applyAlignment="1">
      <alignment horizontal="center" vertical="center"/>
    </xf>
    <xf numFmtId="173" fontId="126" fillId="58" borderId="50" xfId="1476" applyNumberFormat="1" applyFont="1" applyFill="1" applyBorder="1" applyAlignment="1">
      <alignment horizontal="center" vertical="center" wrapText="1"/>
    </xf>
    <xf numFmtId="173" fontId="125" fillId="58" borderId="49" xfId="1510" applyNumberFormat="1" applyFont="1" applyFill="1" applyBorder="1" applyAlignment="1">
      <alignment vertical="center"/>
    </xf>
    <xf numFmtId="173" fontId="126" fillId="51" borderId="50" xfId="1510" applyNumberFormat="1" applyFont="1" applyFill="1" applyBorder="1" applyAlignment="1">
      <alignment horizontal="center" vertical="center"/>
    </xf>
    <xf numFmtId="173" fontId="126" fillId="58" borderId="50" xfId="1476" applyNumberFormat="1" applyFont="1" applyFill="1" applyBorder="1" applyAlignment="1">
      <alignment horizontal="center" vertical="center" wrapText="1"/>
    </xf>
    <xf numFmtId="173" fontId="126" fillId="0" borderId="48" xfId="1102" applyNumberFormat="1" applyFont="1" applyBorder="1" applyAlignment="1">
      <alignment horizontal="right" vertical="center"/>
    </xf>
    <xf numFmtId="173" fontId="125" fillId="0" borderId="49" xfId="0" applyNumberFormat="1" applyFont="1" applyBorder="1"/>
    <xf numFmtId="173" fontId="0" fillId="0" borderId="0" xfId="0" applyNumberFormat="1"/>
    <xf numFmtId="172" fontId="4" fillId="0" borderId="0" xfId="2110" applyNumberFormat="1" applyFont="1" applyBorder="1" applyAlignment="1">
      <alignment vertical="center"/>
    </xf>
    <xf numFmtId="172" fontId="4" fillId="51" borderId="0" xfId="2110" applyNumberFormat="1" applyFont="1" applyFill="1" applyBorder="1" applyAlignment="1">
      <alignment vertical="center"/>
    </xf>
    <xf numFmtId="172" fontId="4" fillId="0" borderId="0" xfId="2110" applyNumberFormat="1" applyFont="1" applyFill="1" applyBorder="1" applyAlignment="1">
      <alignment vertical="center"/>
    </xf>
    <xf numFmtId="173" fontId="5" fillId="0" borderId="0" xfId="1584" applyNumberFormat="1" applyFont="1" applyFill="1" applyAlignment="1">
      <alignment horizontal="center" vertical="center"/>
    </xf>
    <xf numFmtId="171" fontId="4" fillId="58" borderId="0" xfId="2369" applyFont="1" applyFill="1" applyAlignment="1">
      <alignment vertical="center"/>
    </xf>
    <xf numFmtId="171" fontId="4" fillId="51" borderId="0" xfId="2369" applyFont="1" applyFill="1" applyBorder="1" applyAlignment="1">
      <alignment vertical="center"/>
    </xf>
    <xf numFmtId="216" fontId="4" fillId="0" borderId="0" xfId="2369" applyNumberFormat="1" applyFont="1" applyFill="1" applyBorder="1" applyAlignment="1">
      <alignment vertical="top" wrapText="1"/>
    </xf>
    <xf numFmtId="215" fontId="4" fillId="58" borderId="0" xfId="2369" applyNumberFormat="1" applyFont="1" applyFill="1" applyAlignment="1">
      <alignment vertical="center"/>
    </xf>
    <xf numFmtId="3" fontId="77" fillId="58" borderId="0" xfId="1476" applyNumberFormat="1" applyFont="1" applyFill="1" applyBorder="1" applyAlignment="1">
      <alignment horizontal="left" vertical="center" wrapText="1" indent="2"/>
    </xf>
    <xf numFmtId="3" fontId="77" fillId="58" borderId="41" xfId="1476" applyNumberFormat="1" applyFont="1" applyFill="1" applyBorder="1" applyAlignment="1">
      <alignment horizontal="left" vertical="center" wrapText="1" indent="2"/>
    </xf>
    <xf numFmtId="173" fontId="147" fillId="51" borderId="0" xfId="1510" applyNumberFormat="1" applyFont="1" applyFill="1" applyAlignment="1">
      <alignment vertical="center"/>
    </xf>
    <xf numFmtId="173" fontId="147" fillId="0" borderId="0" xfId="1510" applyNumberFormat="1" applyFont="1" applyFill="1" applyAlignment="1">
      <alignment vertical="center"/>
    </xf>
    <xf numFmtId="173" fontId="147" fillId="51" borderId="0" xfId="1584" applyNumberFormat="1" applyFont="1" applyFill="1" applyAlignment="1">
      <alignment vertical="center"/>
    </xf>
    <xf numFmtId="173" fontId="147" fillId="58" borderId="0" xfId="1510" applyNumberFormat="1" applyFont="1" applyFill="1" applyBorder="1" applyAlignment="1">
      <alignment vertical="center"/>
    </xf>
    <xf numFmtId="173" fontId="147" fillId="58" borderId="0" xfId="1510" applyNumberFormat="1" applyFont="1" applyFill="1" applyAlignment="1">
      <alignment vertical="center"/>
    </xf>
    <xf numFmtId="173" fontId="147" fillId="51" borderId="0" xfId="1510" applyNumberFormat="1" applyFont="1" applyFill="1" applyBorder="1" applyAlignment="1">
      <alignment vertical="center"/>
    </xf>
    <xf numFmtId="173" fontId="125" fillId="0" borderId="0" xfId="1510" applyNumberFormat="1" applyFont="1" applyFill="1" applyBorder="1" applyAlignment="1">
      <alignment vertical="center"/>
    </xf>
    <xf numFmtId="0" fontId="0" fillId="0" borderId="0" xfId="0" applyBorder="1"/>
    <xf numFmtId="173" fontId="147" fillId="0" borderId="0" xfId="1510" applyNumberFormat="1" applyFont="1" applyFill="1" applyBorder="1" applyAlignment="1">
      <alignment vertical="center"/>
    </xf>
    <xf numFmtId="172" fontId="4" fillId="0" borderId="0" xfId="2110" applyNumberFormat="1" applyFont="1" applyFill="1" applyBorder="1" applyAlignment="1">
      <alignment horizontal="right" vertical="center"/>
    </xf>
    <xf numFmtId="171" fontId="4" fillId="0" borderId="0" xfId="2369" applyFont="1" applyAlignment="1">
      <alignment vertical="center"/>
    </xf>
    <xf numFmtId="172" fontId="4" fillId="58" borderId="0" xfId="2110" applyNumberFormat="1" applyFont="1" applyFill="1" applyAlignment="1">
      <alignment vertical="center"/>
    </xf>
    <xf numFmtId="172" fontId="4" fillId="58" borderId="0" xfId="2110" applyNumberFormat="1" applyFont="1" applyFill="1" applyBorder="1" applyAlignment="1">
      <alignment vertical="center"/>
    </xf>
    <xf numFmtId="173" fontId="125" fillId="58" borderId="0" xfId="1476" applyNumberFormat="1" applyFont="1" applyFill="1" applyAlignment="1">
      <alignment horizontal="right" vertical="center"/>
    </xf>
    <xf numFmtId="173" fontId="126" fillId="58" borderId="42" xfId="1476" applyNumberFormat="1" applyFont="1" applyFill="1" applyBorder="1" applyAlignment="1">
      <alignment horizontal="right" vertical="center"/>
    </xf>
    <xf numFmtId="173" fontId="125" fillId="58" borderId="0" xfId="1476" applyNumberFormat="1" applyFont="1" applyFill="1" applyBorder="1" applyAlignment="1">
      <alignment horizontal="right" vertical="center"/>
    </xf>
    <xf numFmtId="173" fontId="125" fillId="58" borderId="0" xfId="1476" quotePrefix="1" applyNumberFormat="1" applyFont="1" applyFill="1" applyAlignment="1">
      <alignment horizontal="right" vertical="center"/>
    </xf>
    <xf numFmtId="173" fontId="125" fillId="58" borderId="0" xfId="1476" quotePrefix="1" applyNumberFormat="1" applyFont="1" applyFill="1" applyBorder="1" applyAlignment="1">
      <alignment horizontal="right" vertical="center"/>
    </xf>
    <xf numFmtId="173" fontId="126" fillId="58" borderId="0" xfId="1476" applyNumberFormat="1" applyFont="1" applyFill="1" applyAlignment="1">
      <alignment horizontal="right" vertical="center"/>
    </xf>
    <xf numFmtId="173" fontId="126" fillId="58" borderId="43" xfId="1476" applyNumberFormat="1" applyFont="1" applyFill="1" applyBorder="1" applyAlignment="1">
      <alignment horizontal="right" vertical="center"/>
    </xf>
    <xf numFmtId="171" fontId="4" fillId="0" borderId="0" xfId="2369" applyFont="1" applyFill="1" applyAlignment="1">
      <alignment vertical="top" wrapText="1"/>
    </xf>
    <xf numFmtId="3" fontId="125" fillId="51" borderId="0" xfId="1510" applyNumberFormat="1" applyFont="1" applyFill="1" applyBorder="1" applyAlignment="1">
      <alignment vertical="center"/>
    </xf>
    <xf numFmtId="173" fontId="125" fillId="0" borderId="0" xfId="1476" applyNumberFormat="1" applyFont="1" applyFill="1" applyAlignment="1">
      <alignment vertical="center"/>
    </xf>
    <xf numFmtId="173" fontId="125" fillId="0" borderId="0" xfId="1476" applyNumberFormat="1" applyFont="1" applyFill="1" applyAlignment="1">
      <alignment horizontal="right" vertical="center"/>
    </xf>
    <xf numFmtId="173" fontId="126" fillId="0" borderId="0" xfId="1476" applyNumberFormat="1" applyFont="1" applyFill="1" applyAlignment="1">
      <alignment horizontal="right" vertical="center"/>
    </xf>
    <xf numFmtId="173" fontId="126" fillId="0" borderId="43" xfId="1476" applyNumberFormat="1" applyFont="1" applyFill="1" applyBorder="1" applyAlignment="1">
      <alignment horizontal="right" vertical="center"/>
    </xf>
    <xf numFmtId="173" fontId="125" fillId="0" borderId="0" xfId="1476" applyNumberFormat="1" applyFont="1" applyFill="1" applyBorder="1" applyAlignment="1">
      <alignment horizontal="right" vertical="center"/>
    </xf>
    <xf numFmtId="173" fontId="125" fillId="0" borderId="0" xfId="1476" quotePrefix="1" applyNumberFormat="1" applyFont="1" applyFill="1" applyAlignment="1">
      <alignment horizontal="right" vertical="center"/>
    </xf>
    <xf numFmtId="173" fontId="125" fillId="0" borderId="0" xfId="1476" quotePrefix="1" applyNumberFormat="1" applyFont="1" applyFill="1" applyBorder="1" applyAlignment="1">
      <alignment horizontal="right" vertical="center"/>
    </xf>
    <xf numFmtId="173" fontId="125" fillId="0" borderId="49" xfId="1510" applyNumberFormat="1" applyFont="1" applyFill="1" applyBorder="1" applyAlignment="1">
      <alignment vertical="center"/>
    </xf>
    <xf numFmtId="0" fontId="125" fillId="0" borderId="0" xfId="0" applyFont="1"/>
    <xf numFmtId="173" fontId="145" fillId="0" borderId="0" xfId="1046" applyNumberFormat="1" applyFont="1" applyFill="1" applyBorder="1" applyAlignment="1"/>
    <xf numFmtId="171" fontId="125" fillId="58" borderId="0" xfId="2369" applyFont="1" applyFill="1" applyBorder="1" applyAlignment="1">
      <alignment vertical="center"/>
    </xf>
    <xf numFmtId="173" fontId="76" fillId="0" borderId="0" xfId="1476" quotePrefix="1" applyNumberFormat="1" applyFont="1" applyFill="1" applyBorder="1" applyAlignment="1">
      <alignment horizontal="center" vertical="center" wrapText="1"/>
    </xf>
    <xf numFmtId="173" fontId="76" fillId="0" borderId="0" xfId="1476" applyNumberFormat="1" applyFont="1" applyFill="1" applyBorder="1" applyAlignment="1">
      <alignment horizontal="center" vertical="center" wrapText="1"/>
    </xf>
    <xf numFmtId="173" fontId="4" fillId="51" borderId="0" xfId="1510" applyNumberFormat="1" applyFont="1" applyFill="1" applyBorder="1" applyAlignment="1">
      <alignment vertical="center" wrapText="1"/>
    </xf>
    <xf numFmtId="173" fontId="2" fillId="51" borderId="0" xfId="1584" applyNumberFormat="1" applyFont="1" applyFill="1" applyBorder="1" applyAlignment="1">
      <alignment vertical="center" wrapText="1"/>
    </xf>
    <xf numFmtId="211" fontId="141" fillId="0" borderId="0" xfId="0" applyNumberFormat="1" applyFont="1" applyFill="1" applyAlignment="1">
      <alignment horizontal="right" vertical="center"/>
    </xf>
    <xf numFmtId="173" fontId="126" fillId="0" borderId="42" xfId="1476" applyNumberFormat="1" applyFont="1" applyFill="1" applyBorder="1" applyAlignment="1">
      <alignment horizontal="right" vertical="center"/>
    </xf>
    <xf numFmtId="172" fontId="4" fillId="0" borderId="41" xfId="2110" applyNumberFormat="1" applyFont="1" applyFill="1" applyBorder="1" applyAlignment="1">
      <alignment vertical="center"/>
    </xf>
    <xf numFmtId="173" fontId="125" fillId="0" borderId="0" xfId="0" applyNumberFormat="1" applyFont="1" applyBorder="1"/>
    <xf numFmtId="173" fontId="125" fillId="51" borderId="0" xfId="2162" applyNumberFormat="1" applyFont="1" applyFill="1" applyBorder="1" applyAlignment="1">
      <alignment vertical="center"/>
    </xf>
    <xf numFmtId="172" fontId="125" fillId="0" borderId="0" xfId="2110" applyNumberFormat="1" applyFont="1" applyAlignment="1">
      <alignment horizontal="center"/>
    </xf>
    <xf numFmtId="217" fontId="4" fillId="51" borderId="0" xfId="1510" applyNumberFormat="1" applyFont="1" applyFill="1" applyAlignment="1">
      <alignment vertical="center"/>
    </xf>
    <xf numFmtId="217" fontId="4" fillId="0" borderId="0" xfId="1510" applyNumberFormat="1" applyFont="1" applyAlignment="1">
      <alignment vertical="center"/>
    </xf>
    <xf numFmtId="217" fontId="4" fillId="0" borderId="0" xfId="1510" applyNumberFormat="1" applyFont="1" applyAlignment="1">
      <alignment horizontal="right" vertical="center"/>
    </xf>
    <xf numFmtId="173" fontId="4" fillId="0" borderId="0" xfId="1016" applyNumberFormat="1" applyFont="1" applyFill="1" applyBorder="1" applyAlignment="1">
      <alignment horizontal="left" vertical="center" wrapText="1"/>
    </xf>
    <xf numFmtId="172" fontId="7" fillId="51" borderId="38" xfId="2162" applyNumberFormat="1" applyFont="1" applyFill="1" applyBorder="1" applyAlignment="1">
      <alignment horizontal="center" vertical="center"/>
    </xf>
    <xf numFmtId="173" fontId="54" fillId="0" borderId="0" xfId="1733" applyNumberFormat="1" applyFont="1" applyFill="1" applyBorder="1" applyAlignment="1">
      <alignment horizontal="right" wrapText="1"/>
    </xf>
    <xf numFmtId="173" fontId="50" fillId="58" borderId="0" xfId="1733" applyNumberFormat="1" applyFont="1" applyFill="1" applyBorder="1" applyAlignment="1">
      <alignment horizontal="right" wrapText="1"/>
    </xf>
    <xf numFmtId="173" fontId="54" fillId="58" borderId="0" xfId="1735" applyNumberFormat="1" applyFont="1" applyFill="1" applyBorder="1" applyAlignment="1">
      <alignment horizontal="right" wrapText="1"/>
    </xf>
    <xf numFmtId="0" fontId="125" fillId="62" borderId="0" xfId="0" applyFont="1" applyFill="1"/>
    <xf numFmtId="173" fontId="129" fillId="51" borderId="0" xfId="1510" quotePrefix="1" applyNumberFormat="1" applyFont="1" applyFill="1" applyBorder="1" applyAlignment="1">
      <alignment vertical="center"/>
    </xf>
    <xf numFmtId="173" fontId="8" fillId="0" borderId="0" xfId="0" applyNumberFormat="1" applyFont="1"/>
    <xf numFmtId="173" fontId="129" fillId="51" borderId="0" xfId="1510" applyNumberFormat="1" applyFont="1" applyFill="1" applyBorder="1" applyAlignment="1">
      <alignment vertical="center"/>
    </xf>
    <xf numFmtId="173" fontId="8" fillId="0" borderId="0" xfId="0" applyNumberFormat="1" applyFont="1" applyBorder="1"/>
    <xf numFmtId="173" fontId="8" fillId="0" borderId="0" xfId="0" applyNumberFormat="1" applyFont="1" applyFill="1" applyBorder="1"/>
    <xf numFmtId="1" fontId="129" fillId="51" borderId="0" xfId="1510" applyNumberFormat="1" applyFont="1" applyFill="1" applyBorder="1" applyAlignment="1">
      <alignment horizontal="left" vertical="center"/>
    </xf>
    <xf numFmtId="173" fontId="8" fillId="58" borderId="0" xfId="0" applyNumberFormat="1" applyFont="1" applyFill="1" applyBorder="1"/>
    <xf numFmtId="0" fontId="0" fillId="0" borderId="0" xfId="0" applyFill="1" applyBorder="1"/>
    <xf numFmtId="0" fontId="125" fillId="62" borderId="0" xfId="0" quotePrefix="1" applyFont="1" applyFill="1"/>
    <xf numFmtId="0" fontId="8" fillId="0" borderId="0" xfId="1583" applyFont="1" applyFill="1" applyAlignment="1">
      <alignment vertical="center"/>
    </xf>
    <xf numFmtId="0" fontId="54" fillId="0" borderId="0" xfId="1583" applyFill="1" applyAlignment="1">
      <alignment vertical="center"/>
    </xf>
    <xf numFmtId="0" fontId="54" fillId="0" borderId="0" xfId="1737" applyFont="1" applyFill="1" applyAlignment="1">
      <alignment vertical="center"/>
    </xf>
    <xf numFmtId="0" fontId="82" fillId="0" borderId="0" xfId="1737" applyAlignment="1">
      <alignment vertical="center"/>
    </xf>
    <xf numFmtId="0" fontId="54" fillId="58" borderId="0" xfId="1737" applyFont="1" applyFill="1" applyAlignment="1">
      <alignment horizontal="center" vertical="center"/>
    </xf>
    <xf numFmtId="0" fontId="84" fillId="0" borderId="0" xfId="1583" applyFont="1" applyFill="1" applyAlignment="1">
      <alignment vertical="center"/>
    </xf>
    <xf numFmtId="0" fontId="50" fillId="0" borderId="0" xfId="1583" applyFont="1" applyFill="1" applyAlignment="1">
      <alignment vertical="center"/>
    </xf>
    <xf numFmtId="0" fontId="148" fillId="63" borderId="51" xfId="1583" applyFont="1" applyFill="1" applyBorder="1" applyAlignment="1">
      <alignment horizontal="left" vertical="center"/>
    </xf>
    <xf numFmtId="0" fontId="149" fillId="63" borderId="52" xfId="1583" applyFont="1" applyFill="1" applyBorder="1" applyAlignment="1">
      <alignment horizontal="right" vertical="center"/>
    </xf>
    <xf numFmtId="0" fontId="148" fillId="63" borderId="53" xfId="1583" applyFont="1" applyFill="1" applyBorder="1" applyAlignment="1">
      <alignment horizontal="left" vertical="center"/>
    </xf>
    <xf numFmtId="0" fontId="148" fillId="63" borderId="54" xfId="1583" applyFont="1" applyFill="1" applyBorder="1" applyAlignment="1">
      <alignment horizontal="left" vertical="center"/>
    </xf>
    <xf numFmtId="0" fontId="149" fillId="63" borderId="55" xfId="1583" applyFont="1" applyFill="1" applyBorder="1" applyAlignment="1">
      <alignment horizontal="right" vertical="center"/>
    </xf>
    <xf numFmtId="0" fontId="149" fillId="63" borderId="56" xfId="1583" applyFont="1" applyFill="1" applyBorder="1" applyAlignment="1">
      <alignment horizontal="right" vertical="center"/>
    </xf>
    <xf numFmtId="0" fontId="0" fillId="0" borderId="0" xfId="1583" applyFont="1" applyFill="1" applyAlignment="1">
      <alignment vertical="center"/>
    </xf>
    <xf numFmtId="173" fontId="4" fillId="51" borderId="42" xfId="1510" applyNumberFormat="1" applyFont="1" applyFill="1" applyBorder="1" applyAlignment="1">
      <alignment vertical="center" wrapText="1"/>
    </xf>
    <xf numFmtId="0" fontId="86" fillId="0" borderId="0" xfId="1737" applyFont="1" applyFill="1" applyAlignment="1">
      <alignment vertical="center"/>
    </xf>
    <xf numFmtId="0" fontId="150" fillId="0" borderId="0" xfId="1737" applyFont="1" applyFill="1" applyAlignment="1">
      <alignment horizontal="left" vertical="center"/>
    </xf>
    <xf numFmtId="0" fontId="150" fillId="0" borderId="0" xfId="1737" applyFont="1" applyFill="1" applyAlignment="1">
      <alignment horizontal="right" vertical="center"/>
    </xf>
    <xf numFmtId="0" fontId="89" fillId="0" borderId="0" xfId="1583" applyFont="1" applyFill="1" applyAlignment="1">
      <alignment vertical="center"/>
    </xf>
    <xf numFmtId="0" fontId="88" fillId="0" borderId="0" xfId="1583" applyFont="1" applyFill="1" applyAlignment="1">
      <alignment horizontal="right" vertical="center"/>
    </xf>
    <xf numFmtId="0" fontId="89" fillId="0" borderId="0" xfId="0" applyFont="1"/>
    <xf numFmtId="0" fontId="84" fillId="0" borderId="0" xfId="1737" applyFont="1" applyAlignment="1">
      <alignment vertical="center"/>
    </xf>
    <xf numFmtId="0" fontId="0" fillId="0" borderId="0" xfId="1737" applyFont="1" applyAlignment="1">
      <alignment vertical="center"/>
    </xf>
    <xf numFmtId="173" fontId="151" fillId="0" borderId="0" xfId="1476" applyNumberFormat="1" applyFont="1" applyFill="1" applyBorder="1" applyAlignment="1">
      <alignment horizontal="right" vertical="center"/>
    </xf>
    <xf numFmtId="173" fontId="151" fillId="58" borderId="0" xfId="1476" applyNumberFormat="1" applyFont="1" applyFill="1" applyBorder="1" applyAlignment="1">
      <alignment horizontal="right" vertical="center"/>
    </xf>
    <xf numFmtId="173" fontId="151" fillId="61" borderId="0" xfId="1476" applyNumberFormat="1" applyFont="1" applyFill="1" applyBorder="1" applyAlignment="1">
      <alignment vertical="center"/>
    </xf>
    <xf numFmtId="173" fontId="77" fillId="0" borderId="0" xfId="1476" applyNumberFormat="1" applyFont="1" applyFill="1" applyBorder="1" applyAlignment="1">
      <alignment horizontal="right" vertical="center"/>
    </xf>
    <xf numFmtId="173" fontId="77" fillId="0" borderId="0" xfId="1476" applyNumberFormat="1" applyFont="1" applyBorder="1" applyAlignment="1">
      <alignment horizontal="right" vertical="center"/>
    </xf>
    <xf numFmtId="209" fontId="152" fillId="58" borderId="0" xfId="1476" applyNumberFormat="1" applyFont="1" applyFill="1" applyAlignment="1">
      <alignment vertical="center"/>
    </xf>
    <xf numFmtId="173" fontId="152" fillId="58" borderId="0" xfId="1476" applyNumberFormat="1" applyFont="1" applyFill="1" applyAlignment="1">
      <alignment vertical="center"/>
    </xf>
    <xf numFmtId="173" fontId="152" fillId="0" borderId="0" xfId="1476" applyNumberFormat="1" applyFont="1" applyAlignment="1">
      <alignment vertical="center"/>
    </xf>
    <xf numFmtId="173" fontId="153" fillId="51" borderId="0" xfId="1584" applyNumberFormat="1" applyFont="1" applyFill="1" applyAlignment="1">
      <alignment vertical="center"/>
    </xf>
    <xf numFmtId="173" fontId="154" fillId="0" borderId="0" xfId="1476" applyNumberFormat="1" applyFont="1" applyAlignment="1">
      <alignment vertical="center"/>
    </xf>
    <xf numFmtId="173" fontId="91" fillId="0" borderId="0" xfId="1476" applyNumberFormat="1" applyFont="1" applyAlignment="1">
      <alignment vertical="center"/>
    </xf>
    <xf numFmtId="173" fontId="151" fillId="0" borderId="41" xfId="1476" applyNumberFormat="1" applyFont="1" applyFill="1" applyBorder="1" applyAlignment="1">
      <alignment horizontal="right" vertical="center"/>
    </xf>
    <xf numFmtId="173" fontId="151" fillId="58" borderId="41" xfId="1476" applyNumberFormat="1" applyFont="1" applyFill="1" applyBorder="1" applyAlignment="1">
      <alignment horizontal="right" vertical="center"/>
    </xf>
    <xf numFmtId="173" fontId="151" fillId="61" borderId="41" xfId="1476" applyNumberFormat="1" applyFont="1" applyFill="1" applyBorder="1" applyAlignment="1">
      <alignment vertical="center"/>
    </xf>
    <xf numFmtId="173" fontId="77" fillId="0" borderId="41" xfId="1476" applyNumberFormat="1" applyFont="1" applyFill="1" applyBorder="1" applyAlignment="1">
      <alignment horizontal="right" vertical="center"/>
    </xf>
    <xf numFmtId="173" fontId="77" fillId="0" borderId="41" xfId="1476" applyNumberFormat="1" applyFont="1" applyBorder="1" applyAlignment="1">
      <alignment horizontal="right" vertical="center"/>
    </xf>
    <xf numFmtId="173" fontId="77" fillId="58" borderId="41" xfId="1476" applyNumberFormat="1" applyFont="1" applyFill="1" applyBorder="1" applyAlignment="1">
      <alignment horizontal="left" vertical="center" wrapText="1" indent="1"/>
    </xf>
    <xf numFmtId="0" fontId="50" fillId="0" borderId="57" xfId="1583" applyFont="1" applyFill="1" applyBorder="1" applyAlignment="1">
      <alignment vertical="center"/>
    </xf>
    <xf numFmtId="0" fontId="88" fillId="0" borderId="57" xfId="1583" applyFont="1" applyFill="1" applyBorder="1" applyAlignment="1">
      <alignment vertical="center"/>
    </xf>
    <xf numFmtId="0" fontId="54" fillId="0" borderId="58" xfId="1583" applyFont="1" applyFill="1" applyBorder="1" applyAlignment="1">
      <alignment vertical="center"/>
    </xf>
    <xf numFmtId="0" fontId="86" fillId="0" borderId="58" xfId="1583" applyFont="1" applyFill="1" applyBorder="1" applyAlignment="1">
      <alignment vertical="center"/>
    </xf>
    <xf numFmtId="0" fontId="54" fillId="0" borderId="58" xfId="1583" applyFont="1" applyFill="1" applyBorder="1" applyAlignment="1">
      <alignment horizontal="left" vertical="center"/>
    </xf>
    <xf numFmtId="0" fontId="86" fillId="0" borderId="58" xfId="1583" applyFont="1" applyFill="1" applyBorder="1" applyAlignment="1">
      <alignment horizontal="left" vertical="center"/>
    </xf>
    <xf numFmtId="14" fontId="54" fillId="0" borderId="58" xfId="1583" applyNumberFormat="1" applyFont="1" applyFill="1" applyBorder="1" applyAlignment="1">
      <alignment horizontal="left" vertical="center"/>
    </xf>
    <xf numFmtId="14" fontId="86" fillId="0" borderId="58" xfId="1583" applyNumberFormat="1" applyFont="1" applyFill="1" applyBorder="1" applyAlignment="1">
      <alignment horizontal="left" vertical="center"/>
    </xf>
    <xf numFmtId="14" fontId="85" fillId="0" borderId="59" xfId="783" applyNumberFormat="1" applyFont="1" applyFill="1" applyBorder="1" applyAlignment="1" applyProtection="1">
      <alignment horizontal="left" vertical="center"/>
    </xf>
    <xf numFmtId="14" fontId="90" fillId="0" borderId="59" xfId="783" applyNumberFormat="1" applyFont="1" applyFill="1" applyBorder="1" applyAlignment="1" applyProtection="1">
      <alignment horizontal="left" vertical="center"/>
    </xf>
    <xf numFmtId="0" fontId="54" fillId="0" borderId="58" xfId="1583" applyFont="1" applyFill="1" applyBorder="1" applyAlignment="1">
      <alignment vertical="center" wrapText="1"/>
    </xf>
    <xf numFmtId="0" fontId="86" fillId="0" borderId="58" xfId="1583" applyFont="1" applyFill="1" applyBorder="1" applyAlignment="1">
      <alignment vertical="center" wrapText="1"/>
    </xf>
    <xf numFmtId="0" fontId="54" fillId="0" borderId="51" xfId="1583" quotePrefix="1" applyFont="1" applyFill="1" applyBorder="1" applyAlignment="1">
      <alignment vertical="center" wrapText="1"/>
    </xf>
    <xf numFmtId="0" fontId="54" fillId="0" borderId="52" xfId="1583" quotePrefix="1" applyFont="1" applyFill="1" applyBorder="1" applyAlignment="1">
      <alignment vertical="center" wrapText="1"/>
    </xf>
    <xf numFmtId="0" fontId="86" fillId="0" borderId="51" xfId="1583" quotePrefix="1" applyFont="1" applyFill="1" applyBorder="1" applyAlignment="1">
      <alignment vertical="center" wrapText="1"/>
    </xf>
    <xf numFmtId="0" fontId="86" fillId="0" borderId="52" xfId="1583" quotePrefix="1" applyFont="1" applyFill="1" applyBorder="1" applyAlignment="1">
      <alignment vertical="center" wrapText="1"/>
    </xf>
    <xf numFmtId="3" fontId="0" fillId="0" borderId="0" xfId="0" applyNumberFormat="1"/>
    <xf numFmtId="173" fontId="125" fillId="58" borderId="41" xfId="1510" applyNumberFormat="1" applyFont="1" applyFill="1" applyBorder="1" applyAlignment="1">
      <alignment vertical="center"/>
    </xf>
    <xf numFmtId="173" fontId="125" fillId="0" borderId="41" xfId="1510" applyNumberFormat="1" applyFont="1" applyFill="1" applyBorder="1" applyAlignment="1">
      <alignment vertical="center"/>
    </xf>
    <xf numFmtId="0" fontId="0" fillId="0" borderId="41" xfId="0" applyBorder="1"/>
    <xf numFmtId="173" fontId="125" fillId="51" borderId="41" xfId="1510" applyNumberFormat="1" applyFont="1" applyFill="1" applyBorder="1" applyAlignment="1">
      <alignment vertical="center"/>
    </xf>
    <xf numFmtId="0" fontId="4" fillId="0" borderId="0" xfId="1205" quotePrefix="1" applyFont="1" applyFill="1" applyBorder="1" applyAlignment="1">
      <alignment vertical="top" wrapText="1"/>
    </xf>
    <xf numFmtId="0" fontId="108" fillId="0" borderId="0" xfId="1739"/>
    <xf numFmtId="17" fontId="86" fillId="0" borderId="58" xfId="1583" quotePrefix="1" applyNumberFormat="1" applyFont="1" applyFill="1" applyBorder="1" applyAlignment="1">
      <alignment vertical="center"/>
    </xf>
    <xf numFmtId="173" fontId="4" fillId="0" borderId="0" xfId="1511" applyNumberFormat="1" applyFont="1" applyFill="1" applyAlignment="1">
      <alignment vertical="center"/>
    </xf>
    <xf numFmtId="17" fontId="54" fillId="0" borderId="58" xfId="1583" quotePrefix="1" applyNumberFormat="1" applyFont="1" applyFill="1" applyBorder="1" applyAlignment="1">
      <alignment horizontal="left" vertical="center"/>
    </xf>
    <xf numFmtId="173" fontId="132" fillId="0" borderId="45" xfId="764" applyNumberFormat="1" applyFont="1" applyFill="1" applyBorder="1" applyAlignment="1">
      <alignment horizontal="left" vertical="center" wrapText="1"/>
    </xf>
    <xf numFmtId="0" fontId="8" fillId="0" borderId="0" xfId="1583" applyFont="1" applyFill="1" applyAlignment="1">
      <alignment vertical="center" wrapText="1"/>
    </xf>
    <xf numFmtId="14" fontId="54" fillId="0" borderId="59" xfId="783" applyNumberFormat="1" applyFont="1" applyFill="1" applyBorder="1" applyAlignment="1" applyProtection="1">
      <alignment horizontal="left" vertical="center" wrapText="1"/>
    </xf>
    <xf numFmtId="4" fontId="4" fillId="58" borderId="0" xfId="1510" applyNumberFormat="1" applyFont="1" applyFill="1" applyAlignment="1">
      <alignment vertical="center"/>
    </xf>
    <xf numFmtId="0" fontId="100" fillId="0" borderId="0" xfId="0" applyFont="1"/>
    <xf numFmtId="173" fontId="4" fillId="0" borderId="0" xfId="1016" applyNumberFormat="1" applyFont="1" applyFill="1" applyBorder="1" applyAlignment="1">
      <alignment vertical="center" wrapText="1"/>
    </xf>
    <xf numFmtId="173" fontId="7" fillId="0" borderId="0" xfId="1016" applyNumberFormat="1" applyFont="1" applyFill="1" applyBorder="1" applyAlignment="1">
      <alignment vertical="center" wrapText="1"/>
    </xf>
    <xf numFmtId="173" fontId="147" fillId="51" borderId="0" xfId="1584" applyNumberFormat="1" applyFont="1" applyFill="1" applyBorder="1" applyAlignment="1">
      <alignment vertical="center"/>
    </xf>
    <xf numFmtId="173" fontId="126" fillId="51" borderId="50" xfId="1510" applyNumberFormat="1" applyFont="1" applyFill="1" applyBorder="1" applyAlignment="1">
      <alignment horizontal="center" vertical="center"/>
    </xf>
    <xf numFmtId="173" fontId="126" fillId="58" borderId="50" xfId="1476" applyNumberFormat="1" applyFont="1" applyFill="1" applyBorder="1" applyAlignment="1">
      <alignment horizontal="center" vertical="center" wrapText="1"/>
    </xf>
    <xf numFmtId="173" fontId="125" fillId="0" borderId="48" xfId="1476" applyNumberFormat="1" applyFont="1" applyFill="1" applyBorder="1" applyAlignment="1">
      <alignment horizontal="center" vertical="center" wrapText="1"/>
    </xf>
    <xf numFmtId="209" fontId="147" fillId="0" borderId="0" xfId="1510" applyNumberFormat="1" applyFont="1" applyFill="1" applyAlignment="1">
      <alignment vertical="center"/>
    </xf>
    <xf numFmtId="173" fontId="147" fillId="51" borderId="0" xfId="1510" applyNumberFormat="1" applyFont="1" applyFill="1" applyAlignment="1">
      <alignment horizontal="center" vertical="center"/>
    </xf>
    <xf numFmtId="209" fontId="147" fillId="51" borderId="0" xfId="1510" applyNumberFormat="1" applyFont="1" applyFill="1" applyAlignment="1">
      <alignment vertical="center"/>
    </xf>
    <xf numFmtId="0" fontId="0" fillId="0" borderId="0" xfId="0" applyFill="1"/>
    <xf numFmtId="209" fontId="125" fillId="0" borderId="0" xfId="0" applyNumberFormat="1" applyFont="1"/>
    <xf numFmtId="229" fontId="125" fillId="0" borderId="0" xfId="0" applyNumberFormat="1" applyFont="1"/>
    <xf numFmtId="209" fontId="125" fillId="0" borderId="0" xfId="0" applyNumberFormat="1" applyFont="1" applyFill="1"/>
    <xf numFmtId="210" fontId="125" fillId="0" borderId="0" xfId="0" applyNumberFormat="1" applyFont="1" applyFill="1"/>
    <xf numFmtId="173" fontId="125" fillId="0" borderId="0" xfId="0" applyNumberFormat="1" applyFont="1" applyFill="1"/>
    <xf numFmtId="4" fontId="125" fillId="0" borderId="0" xfId="0" applyNumberFormat="1" applyFont="1"/>
    <xf numFmtId="0" fontId="89" fillId="0" borderId="28" xfId="1583" applyFont="1" applyFill="1" applyBorder="1" applyAlignment="1">
      <alignment vertical="center"/>
    </xf>
    <xf numFmtId="0" fontId="89" fillId="0" borderId="29" xfId="1583" applyFont="1" applyFill="1" applyBorder="1" applyAlignment="1">
      <alignment vertical="center"/>
    </xf>
    <xf numFmtId="0" fontId="8" fillId="0" borderId="28" xfId="1583" applyFont="1" applyFill="1" applyBorder="1" applyAlignment="1">
      <alignment vertical="center"/>
    </xf>
    <xf numFmtId="0" fontId="8" fillId="0" borderId="29" xfId="1583" applyFont="1" applyFill="1" applyBorder="1" applyAlignment="1">
      <alignment vertical="center"/>
    </xf>
    <xf numFmtId="171" fontId="0" fillId="0" borderId="0" xfId="2369" applyFont="1"/>
    <xf numFmtId="172" fontId="7" fillId="51" borderId="38" xfId="2162" applyNumberFormat="1" applyFont="1" applyFill="1" applyBorder="1" applyAlignment="1">
      <alignment horizontal="center" vertical="center"/>
    </xf>
    <xf numFmtId="172" fontId="7" fillId="51" borderId="43" xfId="2162" applyNumberFormat="1" applyFont="1" applyFill="1" applyBorder="1" applyAlignment="1">
      <alignment horizontal="center" vertical="center"/>
    </xf>
    <xf numFmtId="173" fontId="125" fillId="51" borderId="0" xfId="1584" applyNumberFormat="1" applyFont="1" applyFill="1" applyBorder="1" applyAlignment="1">
      <alignment vertical="center"/>
    </xf>
    <xf numFmtId="17" fontId="86" fillId="0" borderId="58" xfId="1583" quotePrefix="1" applyNumberFormat="1" applyFont="1" applyFill="1" applyBorder="1" applyAlignment="1">
      <alignment horizontal="left" vertical="center"/>
    </xf>
    <xf numFmtId="0" fontId="54" fillId="0" borderId="58" xfId="1583" quotePrefix="1" applyFont="1" applyFill="1" applyBorder="1" applyAlignment="1">
      <alignment vertical="center"/>
    </xf>
    <xf numFmtId="0" fontId="86" fillId="0" borderId="58" xfId="1583" quotePrefix="1" applyFont="1" applyFill="1" applyBorder="1" applyAlignment="1">
      <alignment vertical="center"/>
    </xf>
    <xf numFmtId="173" fontId="7" fillId="51" borderId="61" xfId="1510" applyNumberFormat="1" applyFont="1" applyFill="1" applyBorder="1" applyAlignment="1">
      <alignment horizontal="center" vertical="center" wrapText="1"/>
    </xf>
    <xf numFmtId="173" fontId="7" fillId="51" borderId="40" xfId="1510" applyNumberFormat="1" applyFont="1" applyFill="1" applyBorder="1" applyAlignment="1">
      <alignment horizontal="center" vertical="center" wrapText="1"/>
    </xf>
    <xf numFmtId="173" fontId="7" fillId="51" borderId="62" xfId="1510" applyNumberFormat="1" applyFont="1" applyFill="1" applyBorder="1" applyAlignment="1">
      <alignment horizontal="center" vertical="center" wrapText="1"/>
    </xf>
    <xf numFmtId="172" fontId="7" fillId="51" borderId="43" xfId="2162" applyNumberFormat="1" applyFont="1" applyFill="1" applyBorder="1" applyAlignment="1">
      <alignment horizontal="center" vertical="center"/>
    </xf>
    <xf numFmtId="173" fontId="4" fillId="51" borderId="42" xfId="1510" applyNumberFormat="1" applyFont="1" applyFill="1" applyBorder="1" applyAlignment="1">
      <alignment horizontal="left" vertical="center" wrapText="1"/>
    </xf>
    <xf numFmtId="173" fontId="124" fillId="0" borderId="0" xfId="1102" applyNumberFormat="1" applyFont="1" applyBorder="1" applyAlignment="1">
      <alignment horizontal="left" wrapText="1"/>
    </xf>
    <xf numFmtId="173" fontId="126" fillId="51" borderId="50" xfId="1510" applyNumberFormat="1" applyFont="1" applyFill="1" applyBorder="1" applyAlignment="1">
      <alignment horizontal="center" vertical="center"/>
    </xf>
    <xf numFmtId="173" fontId="126" fillId="58" borderId="50" xfId="1476" applyNumberFormat="1" applyFont="1" applyFill="1" applyBorder="1" applyAlignment="1">
      <alignment horizontal="center" vertical="center" wrapText="1"/>
    </xf>
    <xf numFmtId="1" fontId="145" fillId="0" borderId="48" xfId="1476" quotePrefix="1" applyNumberFormat="1" applyFont="1" applyBorder="1" applyAlignment="1">
      <alignment horizontal="center" vertical="center"/>
    </xf>
    <xf numFmtId="1" fontId="145" fillId="0" borderId="48" xfId="1476" applyNumberFormat="1" applyFont="1" applyBorder="1" applyAlignment="1">
      <alignment horizontal="center" vertical="center"/>
    </xf>
    <xf numFmtId="173" fontId="76" fillId="0" borderId="48" xfId="1476" applyNumberFormat="1" applyFont="1" applyBorder="1" applyAlignment="1">
      <alignment horizontal="center" vertical="center"/>
    </xf>
    <xf numFmtId="173" fontId="132" fillId="0" borderId="45" xfId="764" applyNumberFormat="1" applyFont="1" applyFill="1" applyBorder="1" applyAlignment="1">
      <alignment horizontal="left" vertical="center" wrapText="1"/>
    </xf>
    <xf numFmtId="1" fontId="145" fillId="58" borderId="48" xfId="1046" quotePrefix="1" applyNumberFormat="1" applyFont="1" applyFill="1" applyBorder="1" applyAlignment="1">
      <alignment horizontal="center" vertical="center"/>
    </xf>
    <xf numFmtId="0" fontId="86" fillId="0" borderId="58" xfId="1583" quotePrefix="1" applyFont="1" applyFill="1" applyBorder="1" applyAlignment="1">
      <alignment horizontal="left" vertical="center" wrapText="1"/>
    </xf>
    <xf numFmtId="0" fontId="54" fillId="0" borderId="58" xfId="1583" quotePrefix="1" applyFont="1" applyFill="1" applyBorder="1" applyAlignment="1">
      <alignment horizontal="left" vertical="center" wrapText="1"/>
    </xf>
    <xf numFmtId="0" fontId="54" fillId="0" borderId="57" xfId="1583" quotePrefix="1" applyFont="1" applyFill="1" applyBorder="1" applyAlignment="1">
      <alignment horizontal="left" vertical="center" wrapText="1"/>
    </xf>
    <xf numFmtId="0" fontId="54" fillId="0" borderId="59" xfId="1583" quotePrefix="1" applyFont="1" applyFill="1" applyBorder="1" applyAlignment="1">
      <alignment horizontal="left" vertical="center" wrapText="1"/>
    </xf>
    <xf numFmtId="0" fontId="86" fillId="0" borderId="57" xfId="1583" quotePrefix="1" applyFont="1" applyFill="1" applyBorder="1" applyAlignment="1">
      <alignment horizontal="left" vertical="center" wrapText="1"/>
    </xf>
    <xf numFmtId="0" fontId="86" fillId="0" borderId="59" xfId="1583" quotePrefix="1" applyFont="1" applyFill="1" applyBorder="1" applyAlignment="1">
      <alignment horizontal="left" vertical="center" wrapText="1"/>
    </xf>
    <xf numFmtId="0" fontId="54" fillId="0" borderId="54" xfId="1583" quotePrefix="1" applyFont="1" applyFill="1" applyBorder="1" applyAlignment="1">
      <alignment horizontal="left" vertical="center" wrapText="1"/>
    </xf>
    <xf numFmtId="0" fontId="54" fillId="0" borderId="56" xfId="1583" quotePrefix="1" applyFont="1" applyFill="1" applyBorder="1" applyAlignment="1">
      <alignment horizontal="left" vertical="center" wrapText="1"/>
    </xf>
    <xf numFmtId="0" fontId="86" fillId="0" borderId="54" xfId="1583" quotePrefix="1" applyFont="1" applyFill="1" applyBorder="1" applyAlignment="1">
      <alignment horizontal="left" vertical="center" wrapText="1"/>
    </xf>
    <xf numFmtId="0" fontId="86" fillId="0" borderId="56" xfId="1583" quotePrefix="1" applyFont="1" applyFill="1" applyBorder="1" applyAlignment="1">
      <alignment horizontal="left" vertical="center" wrapText="1"/>
    </xf>
    <xf numFmtId="0" fontId="54" fillId="0" borderId="53" xfId="1583" quotePrefix="1" applyFont="1" applyFill="1" applyBorder="1" applyAlignment="1">
      <alignment horizontal="left" vertical="center" wrapText="1"/>
    </xf>
    <xf numFmtId="0" fontId="54" fillId="0" borderId="55" xfId="1583" quotePrefix="1" applyFont="1" applyFill="1" applyBorder="1" applyAlignment="1">
      <alignment horizontal="left" vertical="center" wrapText="1"/>
    </xf>
    <xf numFmtId="0" fontId="54" fillId="0" borderId="51" xfId="1583" quotePrefix="1" applyFont="1" applyFill="1" applyBorder="1" applyAlignment="1">
      <alignment horizontal="left" vertical="center" wrapText="1"/>
    </xf>
    <xf numFmtId="0" fontId="54" fillId="0" borderId="52" xfId="1583" quotePrefix="1" applyFont="1" applyFill="1" applyBorder="1" applyAlignment="1">
      <alignment horizontal="left" vertical="center" wrapText="1"/>
    </xf>
    <xf numFmtId="0" fontId="86" fillId="0" borderId="51" xfId="1583" quotePrefix="1" applyFont="1" applyFill="1" applyBorder="1" applyAlignment="1">
      <alignment horizontal="left" vertical="center" wrapText="1"/>
    </xf>
    <xf numFmtId="0" fontId="86" fillId="0" borderId="52" xfId="1583" quotePrefix="1" applyFont="1" applyFill="1" applyBorder="1" applyAlignment="1">
      <alignment horizontal="left" vertical="center" wrapText="1"/>
    </xf>
    <xf numFmtId="0" fontId="8" fillId="0" borderId="54" xfId="1737" applyFont="1" applyFill="1" applyBorder="1" applyAlignment="1">
      <alignment horizontal="left" vertical="center" wrapText="1"/>
    </xf>
    <xf numFmtId="0" fontId="0" fillId="0" borderId="0" xfId="1737" applyFont="1" applyFill="1" applyBorder="1" applyAlignment="1">
      <alignment horizontal="left" vertical="center" wrapText="1"/>
    </xf>
    <xf numFmtId="0" fontId="50" fillId="0" borderId="58" xfId="1583" quotePrefix="1" applyFont="1" applyFill="1" applyBorder="1" applyAlignment="1">
      <alignment horizontal="left" vertical="center" wrapText="1"/>
    </xf>
    <xf numFmtId="0" fontId="88" fillId="0" borderId="58" xfId="1583" quotePrefix="1" applyFont="1" applyFill="1" applyBorder="1" applyAlignment="1">
      <alignment horizontal="left" vertical="center" wrapText="1"/>
    </xf>
    <xf numFmtId="0" fontId="86" fillId="0" borderId="53" xfId="1583" quotePrefix="1" applyFont="1" applyFill="1" applyBorder="1" applyAlignment="1">
      <alignment horizontal="left" vertical="center" wrapText="1"/>
    </xf>
    <xf numFmtId="0" fontId="86" fillId="0" borderId="55" xfId="1583" quotePrefix="1" applyFont="1" applyFill="1" applyBorder="1" applyAlignment="1">
      <alignment horizontal="left" vertical="center" wrapText="1"/>
    </xf>
    <xf numFmtId="0" fontId="88" fillId="0" borderId="54" xfId="1583" quotePrefix="1" applyFont="1" applyFill="1" applyBorder="1" applyAlignment="1">
      <alignment horizontal="left" vertical="center" wrapText="1"/>
    </xf>
    <xf numFmtId="0" fontId="88" fillId="0" borderId="56" xfId="1583" quotePrefix="1" applyFont="1" applyFill="1" applyBorder="1" applyAlignment="1">
      <alignment horizontal="left" vertical="center" wrapText="1"/>
    </xf>
    <xf numFmtId="49" fontId="54" fillId="0" borderId="54" xfId="1583" quotePrefix="1" applyNumberFormat="1" applyFont="1" applyFill="1" applyBorder="1" applyAlignment="1">
      <alignment horizontal="left" vertical="center" wrapText="1"/>
    </xf>
    <xf numFmtId="49" fontId="54" fillId="0" borderId="56" xfId="1583" quotePrefix="1" applyNumberFormat="1" applyFont="1" applyFill="1" applyBorder="1" applyAlignment="1">
      <alignment horizontal="left" vertical="center" wrapText="1"/>
    </xf>
    <xf numFmtId="0" fontId="50" fillId="0" borderId="54" xfId="1583" quotePrefix="1" applyFont="1" applyFill="1" applyBorder="1" applyAlignment="1">
      <alignment horizontal="left" vertical="center" wrapText="1"/>
    </xf>
    <xf numFmtId="0" fontId="50" fillId="0" borderId="56" xfId="1583" quotePrefix="1" applyFont="1" applyFill="1" applyBorder="1" applyAlignment="1">
      <alignment horizontal="left" vertical="center" wrapText="1"/>
    </xf>
    <xf numFmtId="0" fontId="155" fillId="0" borderId="0" xfId="0" applyFont="1"/>
    <xf numFmtId="173" fontId="0" fillId="0" borderId="0" xfId="0" applyNumberFormat="1" applyBorder="1"/>
  </cellXfs>
  <cellStyles count="2476">
    <cellStyle name="_06.0223-r1" xfId="51"/>
    <cellStyle name="_06.0223-r1 10" xfId="52"/>
    <cellStyle name="_06.0223-r1 10 2" xfId="53"/>
    <cellStyle name="_06.0223-r1 11" xfId="54"/>
    <cellStyle name="_06.0223-r1 11 2" xfId="55"/>
    <cellStyle name="_06.0223-r1 12" xfId="56"/>
    <cellStyle name="_06.0223-r1 12 2" xfId="57"/>
    <cellStyle name="_06.0223-r1 13" xfId="58"/>
    <cellStyle name="_06.0223-r1 2" xfId="59"/>
    <cellStyle name="_06.0223-r1 2 2" xfId="60"/>
    <cellStyle name="_06.0223-r1 3" xfId="61"/>
    <cellStyle name="_06.0223-r1 3 2" xfId="62"/>
    <cellStyle name="_06.0223-r1 4" xfId="63"/>
    <cellStyle name="_06.0223-r1 4 2" xfId="64"/>
    <cellStyle name="_06.0223-r1 5" xfId="65"/>
    <cellStyle name="_06.0223-r1 5 2" xfId="66"/>
    <cellStyle name="_06.0223-r1 6" xfId="67"/>
    <cellStyle name="_06.0223-r1 6 2" xfId="68"/>
    <cellStyle name="_06.0223-r1 7" xfId="69"/>
    <cellStyle name="_06.0223-r1 7 2" xfId="70"/>
    <cellStyle name="_06.0223-r1 8" xfId="71"/>
    <cellStyle name="_06.0223-r1 8 2" xfId="72"/>
    <cellStyle name="_06.0223-r1 9" xfId="73"/>
    <cellStyle name="_06.0223-r1 9 2" xfId="74"/>
    <cellStyle name="%" xfId="1"/>
    <cellStyle name="% 10" xfId="2"/>
    <cellStyle name="% 10 2" xfId="3"/>
    <cellStyle name="% 11" xfId="4"/>
    <cellStyle name="% 11 2" xfId="5"/>
    <cellStyle name="% 12" xfId="6"/>
    <cellStyle name="% 12 2" xfId="7"/>
    <cellStyle name="% 13" xfId="8"/>
    <cellStyle name="% 13 2" xfId="9"/>
    <cellStyle name="% 14" xfId="10"/>
    <cellStyle name="% 2" xfId="11"/>
    <cellStyle name="% 2 10" xfId="12"/>
    <cellStyle name="% 2 10 2" xfId="13"/>
    <cellStyle name="% 2 11" xfId="14"/>
    <cellStyle name="% 2 11 2" xfId="15"/>
    <cellStyle name="% 2 12" xfId="16"/>
    <cellStyle name="% 2 12 2" xfId="17"/>
    <cellStyle name="% 2 13" xfId="18"/>
    <cellStyle name="% 2 2" xfId="19"/>
    <cellStyle name="% 2 2 2" xfId="20"/>
    <cellStyle name="% 2 3" xfId="21"/>
    <cellStyle name="% 2 3 2" xfId="22"/>
    <cellStyle name="% 2 4" xfId="23"/>
    <cellStyle name="% 2 4 2" xfId="24"/>
    <cellStyle name="% 2 5" xfId="25"/>
    <cellStyle name="% 2 5 2" xfId="26"/>
    <cellStyle name="% 2 6" xfId="27"/>
    <cellStyle name="% 2 6 2" xfId="28"/>
    <cellStyle name="% 2 7" xfId="29"/>
    <cellStyle name="% 2 7 2" xfId="30"/>
    <cellStyle name="% 2 8" xfId="31"/>
    <cellStyle name="% 2 8 2" xfId="32"/>
    <cellStyle name="% 2 9" xfId="33"/>
    <cellStyle name="% 2 9 2" xfId="34"/>
    <cellStyle name="% 3" xfId="35"/>
    <cellStyle name="% 3 2" xfId="36"/>
    <cellStyle name="% 4" xfId="37"/>
    <cellStyle name="% 4 2" xfId="38"/>
    <cellStyle name="% 5" xfId="39"/>
    <cellStyle name="% 5 2" xfId="40"/>
    <cellStyle name="% 6" xfId="41"/>
    <cellStyle name="% 6 2" xfId="42"/>
    <cellStyle name="% 7" xfId="43"/>
    <cellStyle name="% 7 2" xfId="44"/>
    <cellStyle name="% 8" xfId="45"/>
    <cellStyle name="% 8 2" xfId="46"/>
    <cellStyle name="% 9" xfId="47"/>
    <cellStyle name="% 9 2" xfId="48"/>
    <cellStyle name="%_3.ind_pobreza" xfId="49"/>
    <cellStyle name="%_3.ind_pobreza 2" xfId="50"/>
    <cellStyle name="20% - Accent1" xfId="75"/>
    <cellStyle name="20% - Accent2" xfId="76"/>
    <cellStyle name="20% - Accent3" xfId="77"/>
    <cellStyle name="20% - Accent4" xfId="78"/>
    <cellStyle name="20% - Accent5" xfId="79"/>
    <cellStyle name="20% - Accent6" xfId="80"/>
    <cellStyle name="20% - Cor1 2" xfId="81"/>
    <cellStyle name="20% - Cor1 3" xfId="82"/>
    <cellStyle name="20% - Cor1 4" xfId="83"/>
    <cellStyle name="20% - Cor2 2" xfId="84"/>
    <cellStyle name="20% - Cor2 3" xfId="85"/>
    <cellStyle name="20% - Cor2 4" xfId="86"/>
    <cellStyle name="20% - Cor3 2" xfId="87"/>
    <cellStyle name="20% - Cor3 2 2" xfId="88"/>
    <cellStyle name="20% - Cor3 2 2 2" xfId="89"/>
    <cellStyle name="20% - Cor3 2 3" xfId="90"/>
    <cellStyle name="20% - Cor3 3" xfId="91"/>
    <cellStyle name="20% - Cor3 4" xfId="92"/>
    <cellStyle name="20% - Cor4 2" xfId="93"/>
    <cellStyle name="20% - Cor4 3" xfId="94"/>
    <cellStyle name="20% - Cor4 4" xfId="95"/>
    <cellStyle name="20% - Cor5 2" xfId="96"/>
    <cellStyle name="20% - Cor5 3" xfId="97"/>
    <cellStyle name="20% - Cor5 4" xfId="98"/>
    <cellStyle name="20% - Cor6 2" xfId="99"/>
    <cellStyle name="20% - Cor6 3" xfId="100"/>
    <cellStyle name="20% - Cor6 4" xfId="101"/>
    <cellStyle name="20% - Ênfase1" xfId="102"/>
    <cellStyle name="20% - Ênfase2" xfId="103"/>
    <cellStyle name="20% - Ênfase3" xfId="104"/>
    <cellStyle name="20% - Ênfase4" xfId="105"/>
    <cellStyle name="20% - Ênfase5" xfId="106"/>
    <cellStyle name="20% - Ênfase6" xfId="107"/>
    <cellStyle name="40% - Accent1" xfId="108"/>
    <cellStyle name="40% - Accent2" xfId="109"/>
    <cellStyle name="40% - Accent3" xfId="110"/>
    <cellStyle name="40% - Accent4" xfId="111"/>
    <cellStyle name="40% - Accent5" xfId="112"/>
    <cellStyle name="40% - Accent6" xfId="113"/>
    <cellStyle name="40% - Cor1 2" xfId="114"/>
    <cellStyle name="40% - Cor1 3" xfId="115"/>
    <cellStyle name="40% - Cor1 4" xfId="116"/>
    <cellStyle name="40% - Cor2 2" xfId="117"/>
    <cellStyle name="40% - Cor2 3" xfId="118"/>
    <cellStyle name="40% - Cor2 4" xfId="119"/>
    <cellStyle name="40% - Cor3 2" xfId="120"/>
    <cellStyle name="40% - Cor3 3" xfId="121"/>
    <cellStyle name="40% - Cor3 4" xfId="122"/>
    <cellStyle name="40% - Cor4 2" xfId="123"/>
    <cellStyle name="40% - Cor4 3" xfId="124"/>
    <cellStyle name="40% - Cor4 4" xfId="125"/>
    <cellStyle name="40% - Cor5 2" xfId="126"/>
    <cellStyle name="40% - Cor5 3" xfId="127"/>
    <cellStyle name="40% - Cor5 4" xfId="128"/>
    <cellStyle name="40% - Cor6 2" xfId="129"/>
    <cellStyle name="40% - Cor6 3" xfId="130"/>
    <cellStyle name="40% - Cor6 4" xfId="131"/>
    <cellStyle name="40% - Ênfase1" xfId="132"/>
    <cellStyle name="40% - Ênfase2" xfId="133"/>
    <cellStyle name="40% - Ênfase3" xfId="134"/>
    <cellStyle name="40% - Ênfase4" xfId="135"/>
    <cellStyle name="40% - Ênfase5" xfId="136"/>
    <cellStyle name="40% - Ênfase6" xfId="137"/>
    <cellStyle name="60% - Accent1" xfId="138"/>
    <cellStyle name="60% - Accent2" xfId="139"/>
    <cellStyle name="60% - Accent3" xfId="140"/>
    <cellStyle name="60% - Accent4" xfId="141"/>
    <cellStyle name="60% - Accent5" xfId="142"/>
    <cellStyle name="60% - Accent6" xfId="143"/>
    <cellStyle name="60% - Cor1 2" xfId="144"/>
    <cellStyle name="60% - Cor1 3" xfId="145"/>
    <cellStyle name="60% - Cor1 4" xfId="146"/>
    <cellStyle name="60% - Cor2 2" xfId="147"/>
    <cellStyle name="60% - Cor2 3" xfId="148"/>
    <cellStyle name="60% - Cor2 4" xfId="149"/>
    <cellStyle name="60% - Cor3 2" xfId="150"/>
    <cellStyle name="60% - Cor3 3" xfId="151"/>
    <cellStyle name="60% - Cor3 4" xfId="152"/>
    <cellStyle name="60% - Cor4 2" xfId="153"/>
    <cellStyle name="60% - Cor4 3" xfId="154"/>
    <cellStyle name="60% - Cor4 4" xfId="155"/>
    <cellStyle name="60% - Cor5 2" xfId="156"/>
    <cellStyle name="60% - Cor5 3" xfId="157"/>
    <cellStyle name="60% - Cor5 4" xfId="158"/>
    <cellStyle name="60% - Cor6 2" xfId="159"/>
    <cellStyle name="60% - Cor6 3" xfId="160"/>
    <cellStyle name="60% - Cor6 4" xfId="161"/>
    <cellStyle name="60% - Ênfase1" xfId="162"/>
    <cellStyle name="60% - Ênfase2" xfId="163"/>
    <cellStyle name="60% - Ênfase3" xfId="164"/>
    <cellStyle name="60% - Ênfase4" xfId="165"/>
    <cellStyle name="60% - Ênfase5" xfId="166"/>
    <cellStyle name="60% - Ênfase6" xfId="167"/>
    <cellStyle name="a" xfId="168"/>
    <cellStyle name="a_Capacidade e cobertura 2004 - 2007 - PARES e POPH" xfId="169"/>
    <cellStyle name="a_INE_DGO_TC" xfId="170"/>
    <cellStyle name="a_Livro2" xfId="171"/>
    <cellStyle name="a_Subsistema 2014" xfId="172"/>
    <cellStyle name="Accent1" xfId="173"/>
    <cellStyle name="Accent1 - 20%" xfId="174"/>
    <cellStyle name="Accent1 - 40%" xfId="175"/>
    <cellStyle name="Accent1 - 60%" xfId="176"/>
    <cellStyle name="Accent1_2012-2016 Prestações Desemprego_6_Março" xfId="177"/>
    <cellStyle name="Accent2" xfId="178"/>
    <cellStyle name="Accent2 - 20%" xfId="179"/>
    <cellStyle name="Accent2 - 40%" xfId="180"/>
    <cellStyle name="Accent2 - 60%" xfId="181"/>
    <cellStyle name="Accent2_2012-2016 Prestações Desemprego_6_Março" xfId="182"/>
    <cellStyle name="Accent3" xfId="183"/>
    <cellStyle name="Accent3 - 20%" xfId="184"/>
    <cellStyle name="Accent3 - 40%" xfId="185"/>
    <cellStyle name="Accent3 - 60%" xfId="186"/>
    <cellStyle name="Accent3_2012-2016 Prestações Desemprego_6_Março" xfId="187"/>
    <cellStyle name="Accent4" xfId="188"/>
    <cellStyle name="Accent4 - 20%" xfId="189"/>
    <cellStyle name="Accent4 - 40%" xfId="190"/>
    <cellStyle name="Accent4 - 60%" xfId="191"/>
    <cellStyle name="Accent4_2012-2016 Prestações Desemprego_6_Março" xfId="192"/>
    <cellStyle name="Accent5" xfId="193"/>
    <cellStyle name="Accent5 - 20%" xfId="194"/>
    <cellStyle name="Accent5 - 40%" xfId="195"/>
    <cellStyle name="Accent5 - 60%" xfId="196"/>
    <cellStyle name="Accent5_2012-2016 Prestações Desemprego_6_Março" xfId="197"/>
    <cellStyle name="Accent6" xfId="198"/>
    <cellStyle name="Accent6 - 20%" xfId="199"/>
    <cellStyle name="Accent6 - 40%" xfId="200"/>
    <cellStyle name="Accent6 - 60%" xfId="201"/>
    <cellStyle name="Accent6_2012-2016 Prestações Desemprego_6_Março" xfId="202"/>
    <cellStyle name="Anos" xfId="203"/>
    <cellStyle name="Bad" xfId="204"/>
    <cellStyle name="Bom" xfId="205"/>
    <cellStyle name="CABECALHO" xfId="206"/>
    <cellStyle name="Cabeçalho 1 10" xfId="207"/>
    <cellStyle name="Cabeçalho 1 10 2" xfId="208"/>
    <cellStyle name="Cabeçalho 1 11" xfId="209"/>
    <cellStyle name="Cabeçalho 1 11 2" xfId="210"/>
    <cellStyle name="Cabeçalho 1 12" xfId="211"/>
    <cellStyle name="Cabeçalho 1 2" xfId="212"/>
    <cellStyle name="Cabeçalho 1 2 10" xfId="213"/>
    <cellStyle name="Cabeçalho 1 2 11" xfId="214"/>
    <cellStyle name="Cabeçalho 1 2 2" xfId="215"/>
    <cellStyle name="Cabeçalho 1 2 3" xfId="216"/>
    <cellStyle name="Cabeçalho 1 2 4" xfId="217"/>
    <cellStyle name="Cabeçalho 1 2 5" xfId="218"/>
    <cellStyle name="Cabeçalho 1 2 6" xfId="219"/>
    <cellStyle name="Cabeçalho 1 2 7" xfId="220"/>
    <cellStyle name="Cabeçalho 1 2 8" xfId="221"/>
    <cellStyle name="Cabeçalho 1 2 9" xfId="222"/>
    <cellStyle name="Cabeçalho 1 2_DGO" xfId="223"/>
    <cellStyle name="Cabeçalho 1 3" xfId="224"/>
    <cellStyle name="Cabeçalho 1 4" xfId="225"/>
    <cellStyle name="Cabeçalho 1 5" xfId="226"/>
    <cellStyle name="Cabeçalho 1 5 2" xfId="227"/>
    <cellStyle name="Cabeçalho 1 6" xfId="228"/>
    <cellStyle name="Cabeçalho 1 6 2" xfId="229"/>
    <cellStyle name="Cabeçalho 1 7" xfId="230"/>
    <cellStyle name="Cabeçalho 1 7 2" xfId="231"/>
    <cellStyle name="Cabeçalho 1 8" xfId="232"/>
    <cellStyle name="Cabeçalho 1 8 2" xfId="233"/>
    <cellStyle name="Cabeçalho 1 9" xfId="234"/>
    <cellStyle name="Cabeçalho 1 9 2" xfId="235"/>
    <cellStyle name="CABECALHO 2" xfId="236"/>
    <cellStyle name="Cabeçalho 2 10" xfId="237"/>
    <cellStyle name="Cabeçalho 2 10 2" xfId="238"/>
    <cellStyle name="Cabeçalho 2 11" xfId="239"/>
    <cellStyle name="Cabeçalho 2 11 2" xfId="240"/>
    <cellStyle name="Cabeçalho 2 12" xfId="241"/>
    <cellStyle name="CABECALHO 2 2" xfId="242"/>
    <cellStyle name="Cabeçalho 2 2" xfId="243"/>
    <cellStyle name="Cabeçalho 2 2 10" xfId="244"/>
    <cellStyle name="Cabeçalho 2 2 11" xfId="245"/>
    <cellStyle name="CABECALHO 2 2 2" xfId="246"/>
    <cellStyle name="Cabeçalho 2 2 2" xfId="247"/>
    <cellStyle name="CABECALHO 2 2 3" xfId="248"/>
    <cellStyle name="Cabeçalho 2 2 3" xfId="249"/>
    <cellStyle name="Cabeçalho 2 2 4" xfId="250"/>
    <cellStyle name="Cabeçalho 2 2 5" xfId="251"/>
    <cellStyle name="Cabeçalho 2 2 6" xfId="252"/>
    <cellStyle name="Cabeçalho 2 2 7" xfId="253"/>
    <cellStyle name="Cabeçalho 2 2 8" xfId="254"/>
    <cellStyle name="Cabeçalho 2 2 9" xfId="255"/>
    <cellStyle name="Cabeçalho 2 2_DGO" xfId="256"/>
    <cellStyle name="CABECALHO 2 3" xfId="257"/>
    <cellStyle name="Cabeçalho 2 3" xfId="258"/>
    <cellStyle name="CABECALHO 2 4" xfId="259"/>
    <cellStyle name="Cabeçalho 2 4" xfId="260"/>
    <cellStyle name="Cabeçalho 2 5" xfId="261"/>
    <cellStyle name="Cabeçalho 2 5 2" xfId="262"/>
    <cellStyle name="Cabeçalho 2 6" xfId="263"/>
    <cellStyle name="Cabeçalho 2 6 2" xfId="264"/>
    <cellStyle name="Cabeçalho 2 7" xfId="265"/>
    <cellStyle name="Cabeçalho 2 7 2" xfId="266"/>
    <cellStyle name="Cabeçalho 2 8" xfId="267"/>
    <cellStyle name="Cabeçalho 2 8 2" xfId="268"/>
    <cellStyle name="Cabeçalho 2 9" xfId="269"/>
    <cellStyle name="Cabeçalho 2 9 2" xfId="270"/>
    <cellStyle name="CABECALHO 3" xfId="271"/>
    <cellStyle name="Cabeçalho 3 10" xfId="272"/>
    <cellStyle name="Cabeçalho 3 10 2" xfId="273"/>
    <cellStyle name="Cabeçalho 3 11" xfId="274"/>
    <cellStyle name="Cabeçalho 3 11 2" xfId="275"/>
    <cellStyle name="Cabeçalho 3 12" xfId="276"/>
    <cellStyle name="CABECALHO 3 2" xfId="277"/>
    <cellStyle name="Cabeçalho 3 2" xfId="278"/>
    <cellStyle name="Cabeçalho 3 2 10" xfId="279"/>
    <cellStyle name="Cabeçalho 3 2 11" xfId="280"/>
    <cellStyle name="CABECALHO 3 2 2" xfId="281"/>
    <cellStyle name="Cabeçalho 3 2 2" xfId="282"/>
    <cellStyle name="CABECALHO 3 2 3" xfId="283"/>
    <cellStyle name="Cabeçalho 3 2 3" xfId="284"/>
    <cellStyle name="Cabeçalho 3 2 4" xfId="285"/>
    <cellStyle name="Cabeçalho 3 2 5" xfId="286"/>
    <cellStyle name="Cabeçalho 3 2 6" xfId="287"/>
    <cellStyle name="Cabeçalho 3 2 7" xfId="288"/>
    <cellStyle name="Cabeçalho 3 2 8" xfId="289"/>
    <cellStyle name="Cabeçalho 3 2 9" xfId="290"/>
    <cellStyle name="Cabeçalho 3 2_DGO" xfId="291"/>
    <cellStyle name="CABECALHO 3 3" xfId="292"/>
    <cellStyle name="Cabeçalho 3 3" xfId="293"/>
    <cellStyle name="CABECALHO 3 4" xfId="294"/>
    <cellStyle name="Cabeçalho 3 4" xfId="295"/>
    <cellStyle name="Cabeçalho 3 5" xfId="296"/>
    <cellStyle name="Cabeçalho 3 5 2" xfId="297"/>
    <cellStyle name="Cabeçalho 3 6" xfId="298"/>
    <cellStyle name="Cabeçalho 3 6 2" xfId="299"/>
    <cellStyle name="Cabeçalho 3 7" xfId="300"/>
    <cellStyle name="Cabeçalho 3 7 2" xfId="301"/>
    <cellStyle name="Cabeçalho 3 8" xfId="302"/>
    <cellStyle name="Cabeçalho 3 8 2" xfId="303"/>
    <cellStyle name="Cabeçalho 3 9" xfId="304"/>
    <cellStyle name="Cabeçalho 3 9 2" xfId="305"/>
    <cellStyle name="CABECALHO 4" xfId="306"/>
    <cellStyle name="Cabeçalho 4 10" xfId="307"/>
    <cellStyle name="Cabeçalho 4 10 2" xfId="308"/>
    <cellStyle name="Cabeçalho 4 11" xfId="309"/>
    <cellStyle name="Cabeçalho 4 11 2" xfId="310"/>
    <cellStyle name="Cabeçalho 4 12" xfId="311"/>
    <cellStyle name="CABECALHO 4 2" xfId="312"/>
    <cellStyle name="Cabeçalho 4 2" xfId="313"/>
    <cellStyle name="Cabeçalho 4 2 10" xfId="314"/>
    <cellStyle name="Cabeçalho 4 2 11" xfId="315"/>
    <cellStyle name="CABECALHO 4 2 2" xfId="316"/>
    <cellStyle name="Cabeçalho 4 2 2" xfId="317"/>
    <cellStyle name="CABECALHO 4 2 3" xfId="318"/>
    <cellStyle name="Cabeçalho 4 2 3" xfId="319"/>
    <cellStyle name="Cabeçalho 4 2 4" xfId="320"/>
    <cellStyle name="Cabeçalho 4 2 5" xfId="321"/>
    <cellStyle name="Cabeçalho 4 2 6" xfId="322"/>
    <cellStyle name="Cabeçalho 4 2 7" xfId="323"/>
    <cellStyle name="Cabeçalho 4 2 8" xfId="324"/>
    <cellStyle name="Cabeçalho 4 2 9" xfId="325"/>
    <cellStyle name="Cabeçalho 4 2_DGO" xfId="326"/>
    <cellStyle name="CABECALHO 4 3" xfId="327"/>
    <cellStyle name="Cabeçalho 4 3" xfId="328"/>
    <cellStyle name="CABECALHO 4 4" xfId="329"/>
    <cellStyle name="Cabeçalho 4 4" xfId="330"/>
    <cellStyle name="Cabeçalho 4 5" xfId="331"/>
    <cellStyle name="Cabeçalho 4 5 2" xfId="332"/>
    <cellStyle name="Cabeçalho 4 6" xfId="333"/>
    <cellStyle name="Cabeçalho 4 6 2" xfId="334"/>
    <cellStyle name="Cabeçalho 4 7" xfId="335"/>
    <cellStyle name="Cabeçalho 4 7 2" xfId="336"/>
    <cellStyle name="Cabeçalho 4 8" xfId="337"/>
    <cellStyle name="Cabeçalho 4 8 2" xfId="338"/>
    <cellStyle name="Cabeçalho 4 9" xfId="339"/>
    <cellStyle name="Cabeçalho 4 9 2" xfId="340"/>
    <cellStyle name="CABECALHO 5" xfId="341"/>
    <cellStyle name="CABECALHO 5 2" xfId="342"/>
    <cellStyle name="CABECALHO 6" xfId="343"/>
    <cellStyle name="CABECALHO 7" xfId="344"/>
    <cellStyle name="CABECALHO_3.ind_pobreza" xfId="345"/>
    <cellStyle name="cal" xfId="346"/>
    <cellStyle name="cal 2" xfId="347"/>
    <cellStyle name="Calc" xfId="348"/>
    <cellStyle name="Calc - Blue" xfId="349"/>
    <cellStyle name="Calc - Blue 2" xfId="350"/>
    <cellStyle name="Calc - Green" xfId="351"/>
    <cellStyle name="Calc - Green 2" xfId="352"/>
    <cellStyle name="Calc - Grey" xfId="353"/>
    <cellStyle name="Calc - Grey 2" xfId="354"/>
    <cellStyle name="Calc - White" xfId="355"/>
    <cellStyle name="Calc - White 2" xfId="356"/>
    <cellStyle name="Calc 2" xfId="357"/>
    <cellStyle name="Calc Currency (0)" xfId="358"/>
    <cellStyle name="Calc Currency (2)" xfId="359"/>
    <cellStyle name="Calc Percent (0)" xfId="360"/>
    <cellStyle name="Calc Percent (1)" xfId="361"/>
    <cellStyle name="Calc Percent (2)" xfId="362"/>
    <cellStyle name="Calc Units (0)" xfId="363"/>
    <cellStyle name="Calc Units (1)" xfId="364"/>
    <cellStyle name="Calc Units (2)" xfId="365"/>
    <cellStyle name="Calculation" xfId="366"/>
    <cellStyle name="Calculation 2" xfId="367"/>
    <cellStyle name="Calculation 2 2" xfId="368"/>
    <cellStyle name="Calculation 2 3" xfId="369"/>
    <cellStyle name="Calculation 3" xfId="370"/>
    <cellStyle name="Calculation 4" xfId="371"/>
    <cellStyle name="Calculation 5" xfId="372"/>
    <cellStyle name="Calculation 6" xfId="373"/>
    <cellStyle name="Calculation_efeito da reposicao de subsidios em 2013 (2)" xfId="374"/>
    <cellStyle name="Cálculo 2" xfId="375"/>
    <cellStyle name="Cálculo 2 2" xfId="376"/>
    <cellStyle name="Cálculo 2 3" xfId="377"/>
    <cellStyle name="Cálculo 2 4" xfId="378"/>
    <cellStyle name="Cálculo 2 5" xfId="379"/>
    <cellStyle name="Cálculo 2 6" xfId="380"/>
    <cellStyle name="Cálculo 3" xfId="381"/>
    <cellStyle name="Cálculo 4" xfId="382"/>
    <cellStyle name="Célula de Verificação" xfId="383"/>
    <cellStyle name="Célula Ligada 10" xfId="384"/>
    <cellStyle name="Célula Ligada 10 2" xfId="385"/>
    <cellStyle name="Célula Ligada 11" xfId="386"/>
    <cellStyle name="Célula Ligada 11 2" xfId="387"/>
    <cellStyle name="Célula Ligada 2" xfId="388"/>
    <cellStyle name="Célula Ligada 2 10" xfId="389"/>
    <cellStyle name="Célula Ligada 2 11" xfId="390"/>
    <cellStyle name="Célula Ligada 2 2" xfId="391"/>
    <cellStyle name="Célula Ligada 2 3" xfId="392"/>
    <cellStyle name="Célula Ligada 2 4" xfId="393"/>
    <cellStyle name="Célula Ligada 2 5" xfId="394"/>
    <cellStyle name="Célula Ligada 2 6" xfId="395"/>
    <cellStyle name="Célula Ligada 2 7" xfId="396"/>
    <cellStyle name="Célula Ligada 2 8" xfId="397"/>
    <cellStyle name="Célula Ligada 2 9" xfId="398"/>
    <cellStyle name="Célula Ligada 2_DGO" xfId="399"/>
    <cellStyle name="Célula Ligada 3" xfId="400"/>
    <cellStyle name="Célula Ligada 4" xfId="401"/>
    <cellStyle name="Célula Ligada 5" xfId="402"/>
    <cellStyle name="Célula Ligada 5 2" xfId="403"/>
    <cellStyle name="Célula Ligada 6" xfId="404"/>
    <cellStyle name="Célula Ligada 6 2" xfId="405"/>
    <cellStyle name="Célula Ligada 7" xfId="406"/>
    <cellStyle name="Célula Ligada 7 2" xfId="407"/>
    <cellStyle name="Célula Ligada 8" xfId="408"/>
    <cellStyle name="Célula Ligada 8 2" xfId="409"/>
    <cellStyle name="Célula Ligada 9" xfId="410"/>
    <cellStyle name="Célula Ligada 9 2" xfId="411"/>
    <cellStyle name="Célula Vinculada" xfId="412"/>
    <cellStyle name="Check Cell" xfId="413"/>
    <cellStyle name="COMMA" xfId="2369" builtinId="3"/>
    <cellStyle name="Comma  - Style1" xfId="414"/>
    <cellStyle name="Comma  - Style2" xfId="415"/>
    <cellStyle name="Comma  - Style3" xfId="416"/>
    <cellStyle name="Comma  - Style4" xfId="417"/>
    <cellStyle name="Comma  - Style5" xfId="418"/>
    <cellStyle name="Comma  - Style6" xfId="419"/>
    <cellStyle name="Comma  - Style7" xfId="420"/>
    <cellStyle name="Comma  - Style8" xfId="421"/>
    <cellStyle name="Comma [0] 2" xfId="422"/>
    <cellStyle name="Comma [0] 2 2" xfId="423"/>
    <cellStyle name="Comma [0] 2 2 2" xfId="424"/>
    <cellStyle name="Comma [0] 2 2 2 10" xfId="425"/>
    <cellStyle name="Comma [0] 2 2 2 10 2" xfId="426"/>
    <cellStyle name="Comma [0] 2 2 2 11" xfId="427"/>
    <cellStyle name="Comma [0] 2 2 2 11 2" xfId="428"/>
    <cellStyle name="Comma [0] 2 2 2 12" xfId="429"/>
    <cellStyle name="Comma [0] 2 2 2 12 2" xfId="430"/>
    <cellStyle name="Comma [0] 2 2 2 12 3" xfId="431"/>
    <cellStyle name="Comma [0] 2 2 2 13" xfId="432"/>
    <cellStyle name="Comma [0] 2 2 2 13 2" xfId="433"/>
    <cellStyle name="Comma [0] 2 2 2 13 3" xfId="434"/>
    <cellStyle name="Comma [0] 2 2 2 14" xfId="435"/>
    <cellStyle name="Comma [0] 2 2 2 14 2" xfId="436"/>
    <cellStyle name="Comma [0] 2 2 2 14 3" xfId="437"/>
    <cellStyle name="Comma [0] 2 2 2 15" xfId="438"/>
    <cellStyle name="Comma [0] 2 2 2 2" xfId="439"/>
    <cellStyle name="Comma [0] 2 2 2 2 2" xfId="440"/>
    <cellStyle name="Comma [0] 2 2 2 3" xfId="441"/>
    <cellStyle name="Comma [0] 2 2 2 3 2" xfId="442"/>
    <cellStyle name="Comma [0] 2 2 2 4" xfId="443"/>
    <cellStyle name="Comma [0] 2 2 2 4 2" xfId="444"/>
    <cellStyle name="Comma [0] 2 2 2 5" xfId="445"/>
    <cellStyle name="Comma [0] 2 2 2 5 2" xfId="446"/>
    <cellStyle name="Comma [0] 2 2 2 6" xfId="447"/>
    <cellStyle name="Comma [0] 2 2 2 6 2" xfId="448"/>
    <cellStyle name="Comma [0] 2 2 2 7" xfId="449"/>
    <cellStyle name="Comma [0] 2 2 2 7 2" xfId="450"/>
    <cellStyle name="Comma [0] 2 2 2 8" xfId="451"/>
    <cellStyle name="Comma [0] 2 2 2 8 2" xfId="452"/>
    <cellStyle name="Comma [0] 2 2 2 9" xfId="453"/>
    <cellStyle name="Comma [0] 2 2 2 9 2" xfId="454"/>
    <cellStyle name="Comma [0] 2 2 3" xfId="455"/>
    <cellStyle name="Comma [0] 2 2 3 10" xfId="456"/>
    <cellStyle name="Comma [0] 2 2 3 10 2" xfId="457"/>
    <cellStyle name="Comma [0] 2 2 3 11" xfId="458"/>
    <cellStyle name="Comma [0] 2 2 3 2" xfId="459"/>
    <cellStyle name="Comma [0] 2 2 3 2 2" xfId="460"/>
    <cellStyle name="Comma [0] 2 2 3 2 2 2" xfId="461"/>
    <cellStyle name="Comma [0] 2 2 3 2 3" xfId="462"/>
    <cellStyle name="Comma [0] 2 2 3 3" xfId="463"/>
    <cellStyle name="Comma [0] 2 2 3 3 2" xfId="464"/>
    <cellStyle name="Comma [0] 2 2 3 4" xfId="465"/>
    <cellStyle name="Comma [0] 2 2 3 4 2" xfId="466"/>
    <cellStyle name="Comma [0] 2 2 3 5" xfId="467"/>
    <cellStyle name="Comma [0] 2 2 3 5 2" xfId="468"/>
    <cellStyle name="Comma [0] 2 2 3 6" xfId="469"/>
    <cellStyle name="Comma [0] 2 2 3 6 2" xfId="470"/>
    <cellStyle name="Comma [0] 2 2 3 7" xfId="471"/>
    <cellStyle name="Comma [0] 2 2 3 7 2" xfId="472"/>
    <cellStyle name="Comma [0] 2 2 3 8" xfId="473"/>
    <cellStyle name="Comma [0] 2 2 3 8 2" xfId="474"/>
    <cellStyle name="Comma [0] 2 2 3 9" xfId="475"/>
    <cellStyle name="Comma [0] 2 2 3 9 2" xfId="476"/>
    <cellStyle name="Comma [0] 2 2 4" xfId="477"/>
    <cellStyle name="Comma [0] 2 3" xfId="478"/>
    <cellStyle name="Comma [00]" xfId="479"/>
    <cellStyle name="Comma [00] 2" xfId="480"/>
    <cellStyle name="Comma 2" xfId="481"/>
    <cellStyle name="Comma 2 2" xfId="482"/>
    <cellStyle name="Comma 2 2 2" xfId="483"/>
    <cellStyle name="Comma 2 2 2 2" xfId="484"/>
    <cellStyle name="Comma 2 2 3" xfId="485"/>
    <cellStyle name="Comma 2 2 3 2" xfId="486"/>
    <cellStyle name="Comma 2 2 4" xfId="487"/>
    <cellStyle name="Comma 2 2 5" xfId="488"/>
    <cellStyle name="Comma 2 3" xfId="489"/>
    <cellStyle name="Comma 2 3 2" xfId="490"/>
    <cellStyle name="Comma 2 3 2 2" xfId="491"/>
    <cellStyle name="Comma 2 3 3" xfId="492"/>
    <cellStyle name="Comma 2 3 3 2" xfId="493"/>
    <cellStyle name="Comma 2 3 4" xfId="494"/>
    <cellStyle name="Comma 2 3 5" xfId="495"/>
    <cellStyle name="Comma 2 4" xfId="496"/>
    <cellStyle name="Comma 2 4 2" xfId="497"/>
    <cellStyle name="Comma 2 4 2 2" xfId="498"/>
    <cellStyle name="Comma 2 4 3" xfId="499"/>
    <cellStyle name="Comma 2 4 3 2" xfId="500"/>
    <cellStyle name="Comma 2 4 4" xfId="501"/>
    <cellStyle name="Comma 2 4 5" xfId="502"/>
    <cellStyle name="Comma 2 5" xfId="503"/>
    <cellStyle name="Comma 2 5 2" xfId="504"/>
    <cellStyle name="Comma 2 5 2 2" xfId="505"/>
    <cellStyle name="Comma 2 5 3" xfId="506"/>
    <cellStyle name="Comma 2 5 3 2" xfId="507"/>
    <cellStyle name="Comma 2 5 4" xfId="508"/>
    <cellStyle name="Comma 2 5 5" xfId="509"/>
    <cellStyle name="Comma 2 6" xfId="510"/>
    <cellStyle name="Comma 2 6 2" xfId="511"/>
    <cellStyle name="Comma 2 6 2 2" xfId="512"/>
    <cellStyle name="Comma 2 6 3" xfId="513"/>
    <cellStyle name="Comma 2 6 3 2" xfId="514"/>
    <cellStyle name="Comma 2 6 4" xfId="515"/>
    <cellStyle name="Comma 2 6 5" xfId="516"/>
    <cellStyle name="Comma 2 7" xfId="517"/>
    <cellStyle name="Comma 2 7 2" xfId="518"/>
    <cellStyle name="Comma 2 7 2 2" xfId="519"/>
    <cellStyle name="Comma 2 7 3" xfId="520"/>
    <cellStyle name="Comma 2 7 3 2" xfId="521"/>
    <cellStyle name="Comma 2 7 4" xfId="522"/>
    <cellStyle name="Comma 2 7 4 2" xfId="523"/>
    <cellStyle name="Comma 2 7 5" xfId="524"/>
    <cellStyle name="Comma 2 7 5 2" xfId="525"/>
    <cellStyle name="Comma 2 7 6" xfId="526"/>
    <cellStyle name="Comma 2 7 6 2" xfId="527"/>
    <cellStyle name="Comma 2 7 7" xfId="528"/>
    <cellStyle name="Comma 2 7 8" xfId="529"/>
    <cellStyle name="Comma 2 8" xfId="530"/>
    <cellStyle name="Comma 2 8 2" xfId="531"/>
    <cellStyle name="Comma 2 8 2 2" xfId="532"/>
    <cellStyle name="Comma 2 8 3" xfId="533"/>
    <cellStyle name="Comma 2 8 3 2" xfId="534"/>
    <cellStyle name="Comma 2 8 4" xfId="535"/>
    <cellStyle name="Comma 2 8 5" xfId="536"/>
    <cellStyle name="Comma 2 9" xfId="537"/>
    <cellStyle name="Comma 3" xfId="538"/>
    <cellStyle name="Comma 3 2" xfId="539"/>
    <cellStyle name="Comma 3 2 2" xfId="540"/>
    <cellStyle name="Comma 3 3" xfId="541"/>
    <cellStyle name="Comma 3 4" xfId="542"/>
    <cellStyle name="Comma 8" xfId="543"/>
    <cellStyle name="Comma 8 2" xfId="544"/>
    <cellStyle name="Comma 8 2 2" xfId="545"/>
    <cellStyle name="Comma 8 3" xfId="546"/>
    <cellStyle name="Comma 8 3 2" xfId="547"/>
    <cellStyle name="Comma 8 4" xfId="548"/>
    <cellStyle name="Comma 8 4 2" xfId="549"/>
    <cellStyle name="Comma 8 5" xfId="550"/>
    <cellStyle name="Comma0" xfId="551"/>
    <cellStyle name="Comma0 2" xfId="552"/>
    <cellStyle name="Cor1 2" xfId="553"/>
    <cellStyle name="Cor1 3" xfId="554"/>
    <cellStyle name="Cor1 4" xfId="555"/>
    <cellStyle name="Cor2 2" xfId="556"/>
    <cellStyle name="Cor2 3" xfId="557"/>
    <cellStyle name="Cor2 4" xfId="558"/>
    <cellStyle name="Cor3 2" xfId="559"/>
    <cellStyle name="Cor3 3" xfId="560"/>
    <cellStyle name="Cor3 4" xfId="561"/>
    <cellStyle name="Cor4 2" xfId="562"/>
    <cellStyle name="Cor4 3" xfId="563"/>
    <cellStyle name="Cor4 4" xfId="564"/>
    <cellStyle name="Cor5 2" xfId="565"/>
    <cellStyle name="Cor5 3" xfId="566"/>
    <cellStyle name="Cor5 4" xfId="567"/>
    <cellStyle name="Cor6 2" xfId="568"/>
    <cellStyle name="Cor6 3" xfId="569"/>
    <cellStyle name="Cor6 4" xfId="570"/>
    <cellStyle name="Correcto 10" xfId="571"/>
    <cellStyle name="Correcto 10 2" xfId="572"/>
    <cellStyle name="Correcto 11" xfId="573"/>
    <cellStyle name="Correcto 11 2" xfId="574"/>
    <cellStyle name="Correcto 2" xfId="575"/>
    <cellStyle name="Correcto 2 10" xfId="576"/>
    <cellStyle name="Correcto 2 11" xfId="577"/>
    <cellStyle name="Correcto 2 12" xfId="578"/>
    <cellStyle name="Correcto 2 2" xfId="579"/>
    <cellStyle name="Correcto 2 3" xfId="580"/>
    <cellStyle name="Correcto 2 4" xfId="581"/>
    <cellStyle name="Correcto 2 5" xfId="582"/>
    <cellStyle name="Correcto 2 6" xfId="583"/>
    <cellStyle name="Correcto 2 7" xfId="584"/>
    <cellStyle name="Correcto 2 8" xfId="585"/>
    <cellStyle name="Correcto 2 9" xfId="586"/>
    <cellStyle name="Correcto 2_DGO" xfId="587"/>
    <cellStyle name="Correcto 3" xfId="588"/>
    <cellStyle name="Correcto 4" xfId="589"/>
    <cellStyle name="Correcto 5" xfId="590"/>
    <cellStyle name="Correcto 5 2" xfId="591"/>
    <cellStyle name="Correcto 6" xfId="592"/>
    <cellStyle name="Correcto 6 2" xfId="593"/>
    <cellStyle name="Correcto 7" xfId="594"/>
    <cellStyle name="Correcto 7 2" xfId="595"/>
    <cellStyle name="Correcto 8" xfId="596"/>
    <cellStyle name="Correcto 8 2" xfId="597"/>
    <cellStyle name="Correcto 9" xfId="598"/>
    <cellStyle name="Correcto 9 2" xfId="599"/>
    <cellStyle name="Currency [00]" xfId="600"/>
    <cellStyle name="Currency [00] 2" xfId="601"/>
    <cellStyle name="Currency [2]" xfId="602"/>
    <cellStyle name="Currency [2] 2" xfId="603"/>
    <cellStyle name="Currency 2" xfId="604"/>
    <cellStyle name="Currency 2 10" xfId="605"/>
    <cellStyle name="Currency 2 10 2" xfId="606"/>
    <cellStyle name="Currency 2 11" xfId="607"/>
    <cellStyle name="Currency 2 12" xfId="608"/>
    <cellStyle name="Currency 2 2" xfId="609"/>
    <cellStyle name="Currency 2 2 2" xfId="610"/>
    <cellStyle name="Currency 2 2 2 2" xfId="611"/>
    <cellStyle name="Currency 2 2 3" xfId="612"/>
    <cellStyle name="Currency 2 2 3 2" xfId="613"/>
    <cellStyle name="Currency 2 2 4" xfId="614"/>
    <cellStyle name="Currency 2 2 5" xfId="615"/>
    <cellStyle name="Currency 2 3" xfId="616"/>
    <cellStyle name="Currency 2 3 2" xfId="617"/>
    <cellStyle name="Currency 2 3 2 2" xfId="618"/>
    <cellStyle name="Currency 2 3 3" xfId="619"/>
    <cellStyle name="Currency 2 3 3 2" xfId="620"/>
    <cellStyle name="Currency 2 3 4" xfId="621"/>
    <cellStyle name="Currency 2 3 5" xfId="622"/>
    <cellStyle name="Currency 2 4" xfId="623"/>
    <cellStyle name="Currency 2 4 2" xfId="624"/>
    <cellStyle name="Currency 2 4 2 2" xfId="625"/>
    <cellStyle name="Currency 2 4 3" xfId="626"/>
    <cellStyle name="Currency 2 4 3 2" xfId="627"/>
    <cellStyle name="Currency 2 4 4" xfId="628"/>
    <cellStyle name="Currency 2 4 5" xfId="629"/>
    <cellStyle name="Currency 2 5" xfId="630"/>
    <cellStyle name="Currency 2 5 2" xfId="631"/>
    <cellStyle name="Currency 2 5 2 2" xfId="632"/>
    <cellStyle name="Currency 2 5 3" xfId="633"/>
    <cellStyle name="Currency 2 5 3 2" xfId="634"/>
    <cellStyle name="Currency 2 5 4" xfId="635"/>
    <cellStyle name="Currency 2 5 5" xfId="636"/>
    <cellStyle name="Currency 2 6" xfId="637"/>
    <cellStyle name="Currency 2 6 2" xfId="638"/>
    <cellStyle name="Currency 2 6 2 2" xfId="639"/>
    <cellStyle name="Currency 2 6 3" xfId="640"/>
    <cellStyle name="Currency 2 6 3 2" xfId="641"/>
    <cellStyle name="Currency 2 6 4" xfId="642"/>
    <cellStyle name="Currency 2 6 5" xfId="643"/>
    <cellStyle name="Currency 2 7" xfId="644"/>
    <cellStyle name="Currency 2 7 2" xfId="645"/>
    <cellStyle name="Currency 2 7 2 2" xfId="646"/>
    <cellStyle name="Currency 2 7 3" xfId="647"/>
    <cellStyle name="Currency 2 7 3 2" xfId="648"/>
    <cellStyle name="Currency 2 7 4" xfId="649"/>
    <cellStyle name="Currency 2 7 5" xfId="650"/>
    <cellStyle name="Currency 2 8" xfId="651"/>
    <cellStyle name="Currency 2 8 2" xfId="652"/>
    <cellStyle name="Currency 2 8 2 2" xfId="653"/>
    <cellStyle name="Currency 2 8 3" xfId="654"/>
    <cellStyle name="Currency 2 8 3 2" xfId="655"/>
    <cellStyle name="Currency 2 8 4" xfId="656"/>
    <cellStyle name="Currency 2 8 5" xfId="657"/>
    <cellStyle name="Currency 2 9" xfId="658"/>
    <cellStyle name="Currency 2 9 2" xfId="659"/>
    <cellStyle name="Currency0" xfId="660"/>
    <cellStyle name="Currency0 2" xfId="661"/>
    <cellStyle name="DATE" xfId="662"/>
    <cellStyle name="Date [mmm-yy]" xfId="663"/>
    <cellStyle name="Date Short" xfId="664"/>
    <cellStyle name="Date_Copiar de Saldos" xfId="665"/>
    <cellStyle name="dsf" xfId="666"/>
    <cellStyle name="dsf 2" xfId="667"/>
    <cellStyle name="Emphasis 1" xfId="668"/>
    <cellStyle name="Emphasis 2" xfId="669"/>
    <cellStyle name="Emphasis 3" xfId="670"/>
    <cellStyle name="Ênfase1" xfId="671"/>
    <cellStyle name="Ênfase2" xfId="672"/>
    <cellStyle name="Ênfase3" xfId="673"/>
    <cellStyle name="Ênfase4" xfId="674"/>
    <cellStyle name="Ênfase5" xfId="675"/>
    <cellStyle name="Ênfase6" xfId="676"/>
    <cellStyle name="Enter Currency (0)" xfId="677"/>
    <cellStyle name="Enter Currency (2)" xfId="678"/>
    <cellStyle name="Enter Units (0)" xfId="679"/>
    <cellStyle name="Enter Units (1)" xfId="680"/>
    <cellStyle name="Enter Units (2)" xfId="681"/>
    <cellStyle name="Entrada 10" xfId="682"/>
    <cellStyle name="Entrada 10 2" xfId="683"/>
    <cellStyle name="Entrada 11" xfId="684"/>
    <cellStyle name="Entrada 11 2" xfId="685"/>
    <cellStyle name="Entrada 2" xfId="686"/>
    <cellStyle name="Entrada 2 10" xfId="687"/>
    <cellStyle name="Entrada 2 11" xfId="688"/>
    <cellStyle name="Entrada 2 12" xfId="689"/>
    <cellStyle name="Entrada 2 13" xfId="690"/>
    <cellStyle name="Entrada 2 2" xfId="691"/>
    <cellStyle name="Entrada 2 3" xfId="692"/>
    <cellStyle name="Entrada 2 4" xfId="693"/>
    <cellStyle name="Entrada 2 5" xfId="694"/>
    <cellStyle name="Entrada 2 6" xfId="695"/>
    <cellStyle name="Entrada 2 7" xfId="696"/>
    <cellStyle name="Entrada 2 8" xfId="697"/>
    <cellStyle name="Entrada 2 9" xfId="698"/>
    <cellStyle name="Entrada 2_DGO" xfId="699"/>
    <cellStyle name="Entrada 3" xfId="700"/>
    <cellStyle name="Entrada 4" xfId="701"/>
    <cellStyle name="Entrada 5" xfId="702"/>
    <cellStyle name="Entrada 5 2" xfId="703"/>
    <cellStyle name="Entrada 6" xfId="704"/>
    <cellStyle name="Entrada 6 2" xfId="705"/>
    <cellStyle name="Entrada 7" xfId="706"/>
    <cellStyle name="Entrada 7 2" xfId="707"/>
    <cellStyle name="Entrada 8" xfId="708"/>
    <cellStyle name="Entrada 8 2" xfId="709"/>
    <cellStyle name="Entrada 9" xfId="710"/>
    <cellStyle name="Entrada 9 2" xfId="711"/>
    <cellStyle name="Estilo 1" xfId="712"/>
    <cellStyle name="Estilo 1 10" xfId="713"/>
    <cellStyle name="Estilo 1 10 2" xfId="714"/>
    <cellStyle name="Estilo 1 11" xfId="715"/>
    <cellStyle name="Estilo 1 11 2" xfId="716"/>
    <cellStyle name="Estilo 1 12" xfId="717"/>
    <cellStyle name="Estilo 1 12 2" xfId="718"/>
    <cellStyle name="Estilo 1 13" xfId="719"/>
    <cellStyle name="Estilo 1 2" xfId="720"/>
    <cellStyle name="Estilo 1 2 2" xfId="721"/>
    <cellStyle name="Estilo 1 3" xfId="722"/>
    <cellStyle name="Estilo 1 3 2" xfId="723"/>
    <cellStyle name="Estilo 1 4" xfId="724"/>
    <cellStyle name="Estilo 1 4 2" xfId="725"/>
    <cellStyle name="Estilo 1 5" xfId="726"/>
    <cellStyle name="Estilo 1 5 2" xfId="727"/>
    <cellStyle name="Estilo 1 6" xfId="728"/>
    <cellStyle name="Estilo 1 6 2" xfId="729"/>
    <cellStyle name="Estilo 1 7" xfId="730"/>
    <cellStyle name="Estilo 1 7 2" xfId="731"/>
    <cellStyle name="Estilo 1 8" xfId="732"/>
    <cellStyle name="Estilo 1 8 2" xfId="733"/>
    <cellStyle name="Estilo 1 9" xfId="734"/>
    <cellStyle name="Estilo 1 9 2" xfId="735"/>
    <cellStyle name="Estilo 1_Livro1" xfId="736"/>
    <cellStyle name="Euro" xfId="737"/>
    <cellStyle name="Euro 2" xfId="738"/>
    <cellStyle name="Euro 2 2" xfId="739"/>
    <cellStyle name="Euro 2 2 2" xfId="740"/>
    <cellStyle name="Euro 2 3" xfId="741"/>
    <cellStyle name="Euro 2 3 2" xfId="742"/>
    <cellStyle name="Euro 2 4" xfId="743"/>
    <cellStyle name="Euro 2 4 2" xfId="744"/>
    <cellStyle name="Euro 2 5" xfId="745"/>
    <cellStyle name="Euro 3" xfId="746"/>
    <cellStyle name="Euro 3 2" xfId="747"/>
    <cellStyle name="Euro 4" xfId="748"/>
    <cellStyle name="Euro 4 2" xfId="749"/>
    <cellStyle name="Euro 5" xfId="750"/>
    <cellStyle name="Euro 5 2" xfId="751"/>
    <cellStyle name="Euro 6" xfId="752"/>
    <cellStyle name="Euro 6 2" xfId="753"/>
    <cellStyle name="Euro_07_05_22 SEMENTES COLZA ROMÉNIA" xfId="754"/>
    <cellStyle name="Exception" xfId="755"/>
    <cellStyle name="Explanatory Text" xfId="756"/>
    <cellStyle name="Feeder Field" xfId="757"/>
    <cellStyle name="FIXED" xfId="758"/>
    <cellStyle name="Grey" xfId="759"/>
    <cellStyle name="Grey 2" xfId="760"/>
    <cellStyle name="Greyed out" xfId="761"/>
    <cellStyle name="Header1" xfId="762"/>
    <cellStyle name="Header2" xfId="763"/>
    <cellStyle name="Heading 1" xfId="764" builtinId="16"/>
    <cellStyle name="HEADING1" xfId="765"/>
    <cellStyle name="HEADING2" xfId="766"/>
    <cellStyle name="Hiperligação 2" xfId="767"/>
    <cellStyle name="Hiperligação 2 2" xfId="768"/>
    <cellStyle name="Hiperligação 2 3" xfId="769"/>
    <cellStyle name="Hiperligação 2 3 2" xfId="770"/>
    <cellStyle name="Hiperligação 2 4" xfId="771"/>
    <cellStyle name="Hiperligação 2 4 2" xfId="772"/>
    <cellStyle name="Hiperligação 2 5" xfId="773"/>
    <cellStyle name="Hiperligação 2 5 2" xfId="774"/>
    <cellStyle name="Hiperligação 2 6" xfId="775"/>
    <cellStyle name="Hiperligação 2 6 2" xfId="776"/>
    <cellStyle name="Hiperligação 2 7" xfId="777"/>
    <cellStyle name="Hiperligação 2 7 2" xfId="778"/>
    <cellStyle name="Hiperligação 3" xfId="779"/>
    <cellStyle name="Hiperligação 3 2" xfId="780"/>
    <cellStyle name="Hiperligação 4" xfId="781"/>
    <cellStyle name="Hiperligação 4 2" xfId="782"/>
    <cellStyle name="Hiperligação 5" xfId="783"/>
    <cellStyle name="Hyperlink 2" xfId="784"/>
    <cellStyle name="Hyperlink 2 2" xfId="785"/>
    <cellStyle name="Incorrecto 2" xfId="786"/>
    <cellStyle name="Incorrecto 3" xfId="787"/>
    <cellStyle name="Incorrecto 4" xfId="788"/>
    <cellStyle name="Incorreto 2" xfId="789"/>
    <cellStyle name="Input [yellow]" xfId="790"/>
    <cellStyle name="Input [yellow] 2" xfId="791"/>
    <cellStyle name="Input 1" xfId="792"/>
    <cellStyle name="Input 2" xfId="793"/>
    <cellStyle name="Input 2 2" xfId="794"/>
    <cellStyle name="Input 2 3" xfId="795"/>
    <cellStyle name="Input 3" xfId="796"/>
    <cellStyle name="Input 4" xfId="797"/>
    <cellStyle name="Input 5" xfId="798"/>
    <cellStyle name="Input 6" xfId="799"/>
    <cellStyle name="Input Date" xfId="800"/>
    <cellStyle name="Input Date 2" xfId="801"/>
    <cellStyle name="Input Normal" xfId="802"/>
    <cellStyle name="Input Normal 2" xfId="803"/>
    <cellStyle name="Input Percent" xfId="804"/>
    <cellStyle name="Input Percent [2]" xfId="805"/>
    <cellStyle name="Input Percent [2] 2" xfId="806"/>
    <cellStyle name="Input Percent 2" xfId="807"/>
    <cellStyle name="LineBottom2" xfId="808"/>
    <cellStyle name="Link Currency (0)" xfId="809"/>
    <cellStyle name="Link Currency (2)" xfId="810"/>
    <cellStyle name="Link Units (0)" xfId="811"/>
    <cellStyle name="Link Units (1)" xfId="812"/>
    <cellStyle name="Link Units (2)" xfId="813"/>
    <cellStyle name="Millares_CALDERA.XLC" xfId="814"/>
    <cellStyle name="Moeda 2" xfId="815"/>
    <cellStyle name="Moeda 2 2" xfId="816"/>
    <cellStyle name="Moeda 2 2 2" xfId="817"/>
    <cellStyle name="Moeda 2 2 2 2" xfId="818"/>
    <cellStyle name="Moeda 2 2 3" xfId="819"/>
    <cellStyle name="Moeda 2 2 3 2" xfId="820"/>
    <cellStyle name="Moeda 2 2 4" xfId="821"/>
    <cellStyle name="Moeda 2 2 5" xfId="822"/>
    <cellStyle name="Moeda 2 3" xfId="823"/>
    <cellStyle name="Moeda 3" xfId="824"/>
    <cellStyle name="Moeda 3 2" xfId="825"/>
    <cellStyle name="Moeda 3 2 2" xfId="826"/>
    <cellStyle name="Moeda 3 3" xfId="827"/>
    <cellStyle name="Moeda 3 3 2" xfId="828"/>
    <cellStyle name="Moeda 3 4" xfId="829"/>
    <cellStyle name="Moeda 3 5" xfId="830"/>
    <cellStyle name="Moeda 6" xfId="831"/>
    <cellStyle name="Moeda 6 2" xfId="832"/>
    <cellStyle name="Moeda 6 3" xfId="833"/>
    <cellStyle name="Moeda 7" xfId="834"/>
    <cellStyle name="Moeda 7 2" xfId="835"/>
    <cellStyle name="Moeda 7 3" xfId="836"/>
    <cellStyle name="Moeda 8" xfId="837"/>
    <cellStyle name="Moeda 9" xfId="838"/>
    <cellStyle name="Moeda 9 2" xfId="839"/>
    <cellStyle name="Moeda 9 3" xfId="840"/>
    <cellStyle name="Moneda_CALDERA.XLC" xfId="841"/>
    <cellStyle name="montantes" xfId="842"/>
    <cellStyle name="montantes 2" xfId="843"/>
    <cellStyle name="Named Range" xfId="844"/>
    <cellStyle name="Named Range Tag" xfId="845"/>
    <cellStyle name="Neutra" xfId="846"/>
    <cellStyle name="Neutral" xfId="847"/>
    <cellStyle name="Neutro 2" xfId="848"/>
    <cellStyle name="Neutro 2 2" xfId="849"/>
    <cellStyle name="Neutro 3" xfId="850"/>
    <cellStyle name="Neutro 4" xfId="851"/>
    <cellStyle name="No-definido" xfId="852"/>
    <cellStyle name="No-definido 2" xfId="853"/>
    <cellStyle name="Normal" xfId="0" builtinId="0"/>
    <cellStyle name="Normal - Style1" xfId="854"/>
    <cellStyle name="Normal [1]" xfId="855"/>
    <cellStyle name="Normal [1] 2" xfId="856"/>
    <cellStyle name="Normal [2]" xfId="857"/>
    <cellStyle name="Normal [2] 2" xfId="858"/>
    <cellStyle name="Normal [3]" xfId="859"/>
    <cellStyle name="Normal [3] 2" xfId="860"/>
    <cellStyle name="Normal 10" xfId="861"/>
    <cellStyle name="Normal 10 10" xfId="862"/>
    <cellStyle name="Normal 10 10 2" xfId="863"/>
    <cellStyle name="Normal 10 11" xfId="864"/>
    <cellStyle name="Normal 10 11 2" xfId="865"/>
    <cellStyle name="Normal 10 12" xfId="866"/>
    <cellStyle name="Normal 10 12 2" xfId="867"/>
    <cellStyle name="Normal 10 12 2 2" xfId="868"/>
    <cellStyle name="Normal 10 12 3" xfId="869"/>
    <cellStyle name="Normal 10 12 3 2" xfId="870"/>
    <cellStyle name="Normal 10 12 4" xfId="871"/>
    <cellStyle name="Normal 10 12 5" xfId="872"/>
    <cellStyle name="Normal 10 13" xfId="873"/>
    <cellStyle name="Normal 10 13 2" xfId="874"/>
    <cellStyle name="Normal 10 13 2 2" xfId="875"/>
    <cellStyle name="Normal 10 13 3" xfId="876"/>
    <cellStyle name="Normal 10 13 3 2" xfId="877"/>
    <cellStyle name="Normal 10 13 4" xfId="878"/>
    <cellStyle name="Normal 10 13 5" xfId="879"/>
    <cellStyle name="Normal 10 14" xfId="880"/>
    <cellStyle name="Normal 10 14 2" xfId="881"/>
    <cellStyle name="Normal 10 14 2 2" xfId="882"/>
    <cellStyle name="Normal 10 14 3" xfId="883"/>
    <cellStyle name="Normal 10 15" xfId="884"/>
    <cellStyle name="Normal 10 15 2" xfId="885"/>
    <cellStyle name="Normal 10 16" xfId="886"/>
    <cellStyle name="Normal 10 17" xfId="887"/>
    <cellStyle name="Normal 10 2" xfId="888"/>
    <cellStyle name="Normal 10 2 2" xfId="889"/>
    <cellStyle name="Normal 10 3" xfId="890"/>
    <cellStyle name="Normal 10 3 2" xfId="891"/>
    <cellStyle name="Normal 10 3 2 2" xfId="892"/>
    <cellStyle name="Normal 10 3 3" xfId="893"/>
    <cellStyle name="Normal 10 3 3 2" xfId="894"/>
    <cellStyle name="Normal 10 3 4" xfId="895"/>
    <cellStyle name="Normal 10 3 5" xfId="896"/>
    <cellStyle name="Normal 10 4" xfId="897"/>
    <cellStyle name="Normal 10 4 2" xfId="898"/>
    <cellStyle name="Normal 10 5" xfId="899"/>
    <cellStyle name="Normal 10 5 2" xfId="900"/>
    <cellStyle name="Normal 10 6" xfId="901"/>
    <cellStyle name="Normal 10 6 2" xfId="902"/>
    <cellStyle name="Normal 10 7" xfId="903"/>
    <cellStyle name="Normal 10 7 2" xfId="904"/>
    <cellStyle name="Normal 10 8" xfId="905"/>
    <cellStyle name="Normal 10 8 2" xfId="906"/>
    <cellStyle name="Normal 10 9" xfId="907"/>
    <cellStyle name="Normal 10 9 2" xfId="908"/>
    <cellStyle name="Normal 10_DGO" xfId="909"/>
    <cellStyle name="Normal 11" xfId="910"/>
    <cellStyle name="Normal 11 2" xfId="911"/>
    <cellStyle name="Normal 11 2 2" xfId="912"/>
    <cellStyle name="Normal 11 3" xfId="913"/>
    <cellStyle name="Normal 11 4" xfId="914"/>
    <cellStyle name="Normal 11 4 2" xfId="915"/>
    <cellStyle name="Normal 11 5" xfId="916"/>
    <cellStyle name="Normal 11 5 2" xfId="917"/>
    <cellStyle name="Normal 11 6" xfId="918"/>
    <cellStyle name="Normal 11 6 2" xfId="919"/>
    <cellStyle name="Normal 11 6 2 2" xfId="920"/>
    <cellStyle name="Normal 11 7" xfId="921"/>
    <cellStyle name="Normal 11 8" xfId="922"/>
    <cellStyle name="Normal 11_DGO" xfId="923"/>
    <cellStyle name="Normal 12" xfId="924"/>
    <cellStyle name="Normal 12 2" xfId="925"/>
    <cellStyle name="Normal 12 2 2" xfId="926"/>
    <cellStyle name="Normal 12 2 2 2" xfId="927"/>
    <cellStyle name="Normal 12 2 3" xfId="928"/>
    <cellStyle name="Normal 12 2 3 2" xfId="929"/>
    <cellStyle name="Normal 12 2 4" xfId="930"/>
    <cellStyle name="Normal 12 2 5" xfId="931"/>
    <cellStyle name="Normal 12 3" xfId="932"/>
    <cellStyle name="Normal 12 3 2" xfId="933"/>
    <cellStyle name="Normal 12 3 2 2" xfId="934"/>
    <cellStyle name="Normal 12 3 3" xfId="935"/>
    <cellStyle name="Normal 12 3 3 2" xfId="936"/>
    <cellStyle name="Normal 12 3 4" xfId="937"/>
    <cellStyle name="Normal 12 3 5" xfId="938"/>
    <cellStyle name="Normal 12 4" xfId="939"/>
    <cellStyle name="Normal 12 4 2" xfId="940"/>
    <cellStyle name="Normal 12 4 2 2" xfId="941"/>
    <cellStyle name="Normal 12 4 2 2 2" xfId="942"/>
    <cellStyle name="Normal 12 4 2 3" xfId="943"/>
    <cellStyle name="Normal 12 4 2 3 2" xfId="944"/>
    <cellStyle name="Normal 12 4 2 4" xfId="945"/>
    <cellStyle name="Normal 12 4 3" xfId="946"/>
    <cellStyle name="Normal 12 4 3 2" xfId="947"/>
    <cellStyle name="Normal 12 4 4" xfId="948"/>
    <cellStyle name="Normal 12 4 4 2" xfId="949"/>
    <cellStyle name="Normal 12 4 5" xfId="950"/>
    <cellStyle name="Normal 12 4 6" xfId="951"/>
    <cellStyle name="Normal 12 4 7" xfId="952"/>
    <cellStyle name="Normal 12 5" xfId="953"/>
    <cellStyle name="Normal 12 6" xfId="954"/>
    <cellStyle name="Normal 12 6 2" xfId="955"/>
    <cellStyle name="Normal 12 7" xfId="956"/>
    <cellStyle name="Normal 12 8" xfId="957"/>
    <cellStyle name="Normal 12_DGO" xfId="958"/>
    <cellStyle name="Normal 13" xfId="959"/>
    <cellStyle name="Normal 13 2" xfId="960"/>
    <cellStyle name="Normal 13 2 2" xfId="961"/>
    <cellStyle name="Normal 13 2 3" xfId="962"/>
    <cellStyle name="Normal 13 3" xfId="963"/>
    <cellStyle name="Normal 13 3 2" xfId="964"/>
    <cellStyle name="Normal 13 4" xfId="965"/>
    <cellStyle name="Normal 13 5" xfId="966"/>
    <cellStyle name="Normal 14" xfId="967"/>
    <cellStyle name="Normal 14 2" xfId="968"/>
    <cellStyle name="Normal 14 2 2" xfId="969"/>
    <cellStyle name="Normal 14 2 3" xfId="970"/>
    <cellStyle name="Normal 14 3" xfId="971"/>
    <cellStyle name="Normal 14 3 2" xfId="972"/>
    <cellStyle name="Normal 14 4" xfId="973"/>
    <cellStyle name="Normal 14 5" xfId="974"/>
    <cellStyle name="Normal 14_DGO" xfId="975"/>
    <cellStyle name="Normal 15" xfId="976"/>
    <cellStyle name="Normal 15 2" xfId="977"/>
    <cellStyle name="Normal 16" xfId="978"/>
    <cellStyle name="Normal 16 2" xfId="979"/>
    <cellStyle name="Normal 16 2 2" xfId="980"/>
    <cellStyle name="Normal 16 2 2 2" xfId="981"/>
    <cellStyle name="Normal 16 2 3" xfId="982"/>
    <cellStyle name="Normal 16 2 3 2" xfId="983"/>
    <cellStyle name="Normal 16 2 4" xfId="984"/>
    <cellStyle name="Normal 16 2 5" xfId="985"/>
    <cellStyle name="Normal 16 3" xfId="986"/>
    <cellStyle name="Normal 17" xfId="987"/>
    <cellStyle name="Normal 17 2" xfId="988"/>
    <cellStyle name="Normal 17 2 2" xfId="989"/>
    <cellStyle name="Normal 17 3" xfId="990"/>
    <cellStyle name="Normal 17 3 2" xfId="991"/>
    <cellStyle name="Normal 17 4" xfId="992"/>
    <cellStyle name="Normal 17 5" xfId="993"/>
    <cellStyle name="Normal 18" xfId="994"/>
    <cellStyle name="Normal 18 2" xfId="995"/>
    <cellStyle name="Normal 18 2 2" xfId="996"/>
    <cellStyle name="Normal 18 3" xfId="997"/>
    <cellStyle name="Normal 18 3 2" xfId="998"/>
    <cellStyle name="Normal 18 4" xfId="999"/>
    <cellStyle name="Normal 18 5" xfId="1000"/>
    <cellStyle name="Normal 19" xfId="1001"/>
    <cellStyle name="Normal 19 2" xfId="1002"/>
    <cellStyle name="Normal 19 2 2" xfId="1003"/>
    <cellStyle name="Normal 19 2 2 2" xfId="1004"/>
    <cellStyle name="Normal 19 2 3" xfId="1005"/>
    <cellStyle name="Normal 19 2 3 2" xfId="1006"/>
    <cellStyle name="Normal 19 2 4" xfId="1007"/>
    <cellStyle name="Normal 19 2 5" xfId="1008"/>
    <cellStyle name="Normal 19 3" xfId="1009"/>
    <cellStyle name="Normal 19 3 2" xfId="1010"/>
    <cellStyle name="Normal 19 4" xfId="1011"/>
    <cellStyle name="Normal 19 4 2" xfId="1012"/>
    <cellStyle name="Normal 19 5" xfId="1013"/>
    <cellStyle name="Normal 19 6" xfId="1014"/>
    <cellStyle name="Normal 19_DGO" xfId="1015"/>
    <cellStyle name="Normal 2" xfId="1016"/>
    <cellStyle name="Normal 2 10" xfId="1017"/>
    <cellStyle name="Normal 2 10 2" xfId="1018"/>
    <cellStyle name="Normal 2 10 3" xfId="1019"/>
    <cellStyle name="Normal 2 11" xfId="1020"/>
    <cellStyle name="Normal 2 11 2" xfId="1021"/>
    <cellStyle name="Normal 2 11 3" xfId="1022"/>
    <cellStyle name="Normal 2 12" xfId="1023"/>
    <cellStyle name="Normal 2 12 2" xfId="1024"/>
    <cellStyle name="Normal 2 12 3" xfId="1025"/>
    <cellStyle name="Normal 2 12 3 2" xfId="1026"/>
    <cellStyle name="Normal 2 12 4" xfId="1027"/>
    <cellStyle name="Normal 2 13" xfId="1028"/>
    <cellStyle name="Normal 2 13 2" xfId="1029"/>
    <cellStyle name="Normal 2 13 3" xfId="1030"/>
    <cellStyle name="Normal 2 14" xfId="1031"/>
    <cellStyle name="Normal 2 14 2" xfId="1032"/>
    <cellStyle name="Normal 2 14 3" xfId="1033"/>
    <cellStyle name="Normal 2 15" xfId="1034"/>
    <cellStyle name="Normal 2 15 2" xfId="1035"/>
    <cellStyle name="Normal 2 15 3" xfId="1036"/>
    <cellStyle name="Normal 2 16" xfId="1037"/>
    <cellStyle name="Normal 2 16 2" xfId="1038"/>
    <cellStyle name="Normal 2 16 3" xfId="1039"/>
    <cellStyle name="Normal 2 17" xfId="1040"/>
    <cellStyle name="Normal 2 17 2" xfId="1041"/>
    <cellStyle name="Normal 2 17 3" xfId="1042"/>
    <cellStyle name="Normal 2 18" xfId="1043"/>
    <cellStyle name="Normal 2 18 2" xfId="1044"/>
    <cellStyle name="Normal 2 19" xfId="1045"/>
    <cellStyle name="Normal 2 2" xfId="1046"/>
    <cellStyle name="Normal 2 2 10" xfId="1047"/>
    <cellStyle name="Normal 2 2 11" xfId="1048"/>
    <cellStyle name="Normal 2 2 12" xfId="1049"/>
    <cellStyle name="Normal 2 2 12 2" xfId="1050"/>
    <cellStyle name="Normal 2 2 13" xfId="1051"/>
    <cellStyle name="Normal 2 2 2" xfId="1052"/>
    <cellStyle name="Normal 2 2 2 2" xfId="1053"/>
    <cellStyle name="Normal 2 2 2 2 2" xfId="1054"/>
    <cellStyle name="Normal 2 2 2 2 3" xfId="1055"/>
    <cellStyle name="Normal 2 2 2 2 4" xfId="1056"/>
    <cellStyle name="Normal 2 2 2 2 5" xfId="1057"/>
    <cellStyle name="Normal 2 2 2 2 5 2" xfId="1058"/>
    <cellStyle name="Normal 2 2 2 2 6" xfId="1059"/>
    <cellStyle name="Normal 2 2 2 2 6 2" xfId="1060"/>
    <cellStyle name="Normal 2 2 2 2 7" xfId="1061"/>
    <cellStyle name="Normal 2 2 2 2 8" xfId="1062"/>
    <cellStyle name="Normal 2 2 2 2_DGO" xfId="1063"/>
    <cellStyle name="Normal 2 2 2 3" xfId="1064"/>
    <cellStyle name="Normal 2 2 2 3 2" xfId="1065"/>
    <cellStyle name="Normal 2 2 2 3 2 2" xfId="1066"/>
    <cellStyle name="Normal 2 2 2 3 3" xfId="1067"/>
    <cellStyle name="Normal 2 2 2 3 3 2" xfId="1068"/>
    <cellStyle name="Normal 2 2 2 3 4" xfId="1069"/>
    <cellStyle name="Normal 2 2 2 3 5" xfId="1070"/>
    <cellStyle name="Normal 2 2 2 4" xfId="1071"/>
    <cellStyle name="Normal 2 2 2 4 2" xfId="1072"/>
    <cellStyle name="Normal 2 2 2 4 2 2" xfId="1073"/>
    <cellStyle name="Normal 2 2 2 4 3" xfId="1074"/>
    <cellStyle name="Normal 2 2 2 4 3 2" xfId="1075"/>
    <cellStyle name="Normal 2 2 2 4 4" xfId="1076"/>
    <cellStyle name="Normal 2 2 2 4 5" xfId="1077"/>
    <cellStyle name="Normal 2 2 2 5" xfId="1078"/>
    <cellStyle name="Normal 2 2 2 6" xfId="1079"/>
    <cellStyle name="Normal 2 2 2 7" xfId="1080"/>
    <cellStyle name="Normal 2 2 3" xfId="1081"/>
    <cellStyle name="Normal 2 2 3 2" xfId="1082"/>
    <cellStyle name="Normal 2 2 3 3" xfId="1083"/>
    <cellStyle name="Normal 2 2 3 4" xfId="1084"/>
    <cellStyle name="Normal 2 2 3 4 2" xfId="1085"/>
    <cellStyle name="Normal 2 2 3 5" xfId="1086"/>
    <cellStyle name="Normal 2 2 3 5 2" xfId="1087"/>
    <cellStyle name="Normal 2 2 3 6" xfId="1088"/>
    <cellStyle name="Normal 2 2 3 6 2" xfId="1089"/>
    <cellStyle name="Normal 2 2 3 7" xfId="1090"/>
    <cellStyle name="Normal 2 2 3 7 2" xfId="1091"/>
    <cellStyle name="Normal 2 2 3 8" xfId="1092"/>
    <cellStyle name="Normal 2 2 4" xfId="1093"/>
    <cellStyle name="Normal 2 2 5" xfId="1094"/>
    <cellStyle name="Normal 2 2 6" xfId="1095"/>
    <cellStyle name="Normal 2 2 7" xfId="1096"/>
    <cellStyle name="Normal 2 2 8" xfId="1097"/>
    <cellStyle name="Normal 2 2 9" xfId="1098"/>
    <cellStyle name="Normal 2 20" xfId="1099"/>
    <cellStyle name="Normal 2 20 2" xfId="1100"/>
    <cellStyle name="Normal 2 20 3" xfId="1101"/>
    <cellStyle name="Normal 2 3" xfId="1102"/>
    <cellStyle name="Normal 2 3 2" xfId="1103"/>
    <cellStyle name="Normal 2 3 2 2" xfId="1104"/>
    <cellStyle name="Normal 2 3 2 2 2" xfId="1105"/>
    <cellStyle name="Normal 2 3 2 3" xfId="1106"/>
    <cellStyle name="Normal 2 3 2 3 2" xfId="1107"/>
    <cellStyle name="Normal 2 3 2 4" xfId="1108"/>
    <cellStyle name="Normal 2 3 2 4 2" xfId="1109"/>
    <cellStyle name="Normal 2 3 2 5" xfId="1110"/>
    <cellStyle name="Normal 2 3 2 5 2" xfId="1111"/>
    <cellStyle name="Normal 2 3 2 6" xfId="1112"/>
    <cellStyle name="Normal 2 3 2 6 2" xfId="1113"/>
    <cellStyle name="Normal 2 3 2 7" xfId="1114"/>
    <cellStyle name="Normal 2 3 2 7 2" xfId="1115"/>
    <cellStyle name="Normal 2 3 2 8" xfId="1116"/>
    <cellStyle name="Normal 2 3 3" xfId="1117"/>
    <cellStyle name="Normal 2 3 3 2" xfId="1118"/>
    <cellStyle name="Normal 2 3 4" xfId="1119"/>
    <cellStyle name="Normal 2 3 5" xfId="1120"/>
    <cellStyle name="Normal 2 3 6" xfId="1121"/>
    <cellStyle name="Normal 2 3 7" xfId="1122"/>
    <cellStyle name="Normal 2 3 8" xfId="1123"/>
    <cellStyle name="Normal 2 4" xfId="1124"/>
    <cellStyle name="Normal 2 4 2" xfId="1125"/>
    <cellStyle name="Normal 2 4 2 2" xfId="1126"/>
    <cellStyle name="Normal 2 4 3" xfId="1127"/>
    <cellStyle name="Normal 2 4 4" xfId="1128"/>
    <cellStyle name="Normal 2 5" xfId="1129"/>
    <cellStyle name="Normal 2 5 2" xfId="1130"/>
    <cellStyle name="Normal 2 5 3" xfId="1131"/>
    <cellStyle name="Normal 2 5 3 2" xfId="1132"/>
    <cellStyle name="Normal 2 5 4" xfId="1133"/>
    <cellStyle name="Normal 2 5 4 2" xfId="1134"/>
    <cellStyle name="Normal 2 5 5" xfId="1135"/>
    <cellStyle name="Normal 2 5_DGO" xfId="1136"/>
    <cellStyle name="Normal 2 6" xfId="1137"/>
    <cellStyle name="Normal 2 6 2" xfId="1138"/>
    <cellStyle name="Normal 2 7" xfId="1139"/>
    <cellStyle name="Normal 2 7 2" xfId="1140"/>
    <cellStyle name="Normal 2 7 3" xfId="1141"/>
    <cellStyle name="Normal 2 8" xfId="1142"/>
    <cellStyle name="Normal 2 8 2" xfId="1143"/>
    <cellStyle name="Normal 2 8 3" xfId="1144"/>
    <cellStyle name="Normal 2 9" xfId="1145"/>
    <cellStyle name="Normal 2 9 2" xfId="1146"/>
    <cellStyle name="Normal 2 9 3" xfId="1147"/>
    <cellStyle name="Normal 2_2012-2016 Prestações Desemprego_6_Março" xfId="1148"/>
    <cellStyle name="Normal 20" xfId="1149"/>
    <cellStyle name="Normal 20 2" xfId="1150"/>
    <cellStyle name="Normal 20 2 2" xfId="1151"/>
    <cellStyle name="Normal 20 2 2 2" xfId="1152"/>
    <cellStyle name="Normal 20 2 3" xfId="1153"/>
    <cellStyle name="Normal 20 2 3 2" xfId="1154"/>
    <cellStyle name="Normal 20 2 4" xfId="1155"/>
    <cellStyle name="Normal 20 2 5" xfId="1156"/>
    <cellStyle name="Normal 20 3" xfId="1157"/>
    <cellStyle name="Normal 20 3 2" xfId="1158"/>
    <cellStyle name="Normal 20 4" xfId="1159"/>
    <cellStyle name="Normal 20 4 2" xfId="1160"/>
    <cellStyle name="Normal 20 5" xfId="1161"/>
    <cellStyle name="Normal 20 6" xfId="1162"/>
    <cellStyle name="Normal 20_DGO" xfId="1163"/>
    <cellStyle name="Normal 21" xfId="1164"/>
    <cellStyle name="Normal 21 2" xfId="1165"/>
    <cellStyle name="Normal 21 2 2" xfId="1166"/>
    <cellStyle name="Normal 21 3" xfId="1167"/>
    <cellStyle name="Normal 21 3 2" xfId="1168"/>
    <cellStyle name="Normal 21 4" xfId="1169"/>
    <cellStyle name="Normal 21 5" xfId="1170"/>
    <cellStyle name="Normal 22" xfId="1171"/>
    <cellStyle name="Normal 22 2" xfId="1172"/>
    <cellStyle name="Normal 23" xfId="1173"/>
    <cellStyle name="Normal 24" xfId="1174"/>
    <cellStyle name="Normal 24 2" xfId="1175"/>
    <cellStyle name="Normal 25" xfId="1176"/>
    <cellStyle name="Normal 25 2" xfId="1177"/>
    <cellStyle name="Normal 26" xfId="1178"/>
    <cellStyle name="Normal 26 2" xfId="1179"/>
    <cellStyle name="Normal 27" xfId="1180"/>
    <cellStyle name="Normal 27 2" xfId="1181"/>
    <cellStyle name="Normal 28" xfId="1182"/>
    <cellStyle name="Normal 28 2" xfId="1183"/>
    <cellStyle name="Normal 28 2 2" xfId="1184"/>
    <cellStyle name="Normal 28 2 2 2" xfId="1185"/>
    <cellStyle name="Normal 28 2 3" xfId="1186"/>
    <cellStyle name="Normal 28 2 4" xfId="1187"/>
    <cellStyle name="Normal 28 3" xfId="1188"/>
    <cellStyle name="Normal 29" xfId="1189"/>
    <cellStyle name="Normal 29 2" xfId="1190"/>
    <cellStyle name="Normal 3" xfId="1191"/>
    <cellStyle name="Normal 3 10" xfId="1192"/>
    <cellStyle name="Normal 3 11" xfId="1193"/>
    <cellStyle name="Normal 3 12" xfId="1194"/>
    <cellStyle name="Normal 3 13" xfId="1195"/>
    <cellStyle name="Normal 3 14" xfId="1196"/>
    <cellStyle name="Normal 3 15" xfId="1197"/>
    <cellStyle name="Normal 3 15 2" xfId="1198"/>
    <cellStyle name="Normal 3 15 2 2" xfId="1199"/>
    <cellStyle name="Normal 3 15 3" xfId="1200"/>
    <cellStyle name="Normal 3 15 3 2" xfId="1201"/>
    <cellStyle name="Normal 3 15 4" xfId="1202"/>
    <cellStyle name="Normal 3 15 5" xfId="1203"/>
    <cellStyle name="Normal 3 16" xfId="1204"/>
    <cellStyle name="Normal 3 2" xfId="1205"/>
    <cellStyle name="Normal 3 2 10" xfId="1206"/>
    <cellStyle name="Normal 3 2 10 2" xfId="1207"/>
    <cellStyle name="Normal 3 2 11" xfId="1208"/>
    <cellStyle name="Normal 3 2 11 2" xfId="1209"/>
    <cellStyle name="Normal 3 2 12" xfId="1210"/>
    <cellStyle name="Normal 3 2 2" xfId="1211"/>
    <cellStyle name="Normal 3 2 2 2" xfId="1212"/>
    <cellStyle name="Normal 3 2 2 2 2" xfId="1213"/>
    <cellStyle name="Normal 3 2 2 2 2 2" xfId="1214"/>
    <cellStyle name="Normal 3 2 2 2 2 2 2" xfId="1215"/>
    <cellStyle name="Normal 3 2 2 2 2 3" xfId="1216"/>
    <cellStyle name="Normal 3 2 2 2 2 3 2" xfId="1217"/>
    <cellStyle name="Normal 3 2 2 2 2 4" xfId="1218"/>
    <cellStyle name="Normal 3 2 2 2 2 5" xfId="1219"/>
    <cellStyle name="Normal 3 2 2 2 3" xfId="1220"/>
    <cellStyle name="Normal 3 2 2 2 3 2" xfId="1221"/>
    <cellStyle name="Normal 3 2 2 2 4" xfId="1222"/>
    <cellStyle name="Normal 3 2 2 2 4 2" xfId="1223"/>
    <cellStyle name="Normal 3 2 2 2 5" xfId="1224"/>
    <cellStyle name="Normal 3 2 2 2 6" xfId="1225"/>
    <cellStyle name="Normal 3 2 2 2_DGO" xfId="1226"/>
    <cellStyle name="Normal 3 2 2 3" xfId="1227"/>
    <cellStyle name="Normal 3 2 2 3 2" xfId="1228"/>
    <cellStyle name="Normal 3 2 2 3 2 2" xfId="1229"/>
    <cellStyle name="Normal 3 2 2 3 2 2 2" xfId="1230"/>
    <cellStyle name="Normal 3 2 2 3 2 3" xfId="1231"/>
    <cellStyle name="Normal 3 2 2 3 2 3 2" xfId="1232"/>
    <cellStyle name="Normal 3 2 2 3 2 4" xfId="1233"/>
    <cellStyle name="Normal 3 2 2 3 2 5" xfId="1234"/>
    <cellStyle name="Normal 3 2 2 3_DGO" xfId="1235"/>
    <cellStyle name="Normal 3 2 2 4" xfId="1236"/>
    <cellStyle name="Normal 3 2 2 4 2" xfId="1237"/>
    <cellStyle name="Normal 3 2 2 4 2 2" xfId="1238"/>
    <cellStyle name="Normal 3 2 2 4 3" xfId="1239"/>
    <cellStyle name="Normal 3 2 2 4 3 2" xfId="1240"/>
    <cellStyle name="Normal 3 2 2 4 4" xfId="1241"/>
    <cellStyle name="Normal 3 2 2 4 5" xfId="1242"/>
    <cellStyle name="Normal 3 2 2 5" xfId="1243"/>
    <cellStyle name="Normal 3 2 2 6" xfId="1244"/>
    <cellStyle name="Normal 3 2 2 6 2" xfId="1245"/>
    <cellStyle name="Normal 3 2 2 7" xfId="1246"/>
    <cellStyle name="Normal 3 2 2 7 2" xfId="1247"/>
    <cellStyle name="Normal 3 2 2 8" xfId="1248"/>
    <cellStyle name="Normal 3 2 2_DGO" xfId="1249"/>
    <cellStyle name="Normal 3 2 3" xfId="1250"/>
    <cellStyle name="Normal 3 2 3 10" xfId="1251"/>
    <cellStyle name="Normal 3 2 3 11" xfId="1252"/>
    <cellStyle name="Normal 3 2 3 2" xfId="1253"/>
    <cellStyle name="Normal 3 2 3 2 2" xfId="1254"/>
    <cellStyle name="Normal 3 2 3 2 2 2" xfId="1255"/>
    <cellStyle name="Normal 3 2 3 2 2 2 2" xfId="1256"/>
    <cellStyle name="Normal 3 2 3 2 2 3" xfId="1257"/>
    <cellStyle name="Normal 3 2 3 2 2 3 2" xfId="1258"/>
    <cellStyle name="Normal 3 2 3 2 2 4" xfId="1259"/>
    <cellStyle name="Normal 3 2 3 2 2 5" xfId="1260"/>
    <cellStyle name="Normal 3 2 3 2 3" xfId="1261"/>
    <cellStyle name="Normal 3 2 3 2 3 2" xfId="1262"/>
    <cellStyle name="Normal 3 2 3 2 3 2 2" xfId="1263"/>
    <cellStyle name="Normal 3 2 3 2 3 3" xfId="1264"/>
    <cellStyle name="Normal 3 2 3 2 4" xfId="1265"/>
    <cellStyle name="Normal 3 2 3 2 4 2" xfId="1266"/>
    <cellStyle name="Normal 3 2 3 2 5" xfId="1267"/>
    <cellStyle name="Normal 3 2 3 2 6" xfId="1268"/>
    <cellStyle name="Normal 3 2 3 2_DGO" xfId="1269"/>
    <cellStyle name="Normal 3 2 3 3" xfId="1270"/>
    <cellStyle name="Normal 3 2 3 3 2" xfId="1271"/>
    <cellStyle name="Normal 3 2 3 3 2 2" xfId="1272"/>
    <cellStyle name="Normal 3 2 3 3 2 2 2" xfId="1273"/>
    <cellStyle name="Normal 3 2 3 3 2 3" xfId="1274"/>
    <cellStyle name="Normal 3 2 3 3 2 3 2" xfId="1275"/>
    <cellStyle name="Normal 3 2 3 3 2 4" xfId="1276"/>
    <cellStyle name="Normal 3 2 3 3 2 5" xfId="1277"/>
    <cellStyle name="Normal 3 2 3 3 3" xfId="1278"/>
    <cellStyle name="Normal 3 2 3 3 3 2" xfId="1279"/>
    <cellStyle name="Normal 3 2 3 3 4" xfId="1280"/>
    <cellStyle name="Normal 3 2 3 3 4 2" xfId="1281"/>
    <cellStyle name="Normal 3 2 3 3 5" xfId="1282"/>
    <cellStyle name="Normal 3 2 3 3 6" xfId="1283"/>
    <cellStyle name="Normal 3 2 3 3_DGO" xfId="1284"/>
    <cellStyle name="Normal 3 2 3 4" xfId="1285"/>
    <cellStyle name="Normal 3 2 3 4 2" xfId="1286"/>
    <cellStyle name="Normal 3 2 3 4 2 2" xfId="1287"/>
    <cellStyle name="Normal 3 2 3 4 2 2 2" xfId="1288"/>
    <cellStyle name="Normal 3 2 3 4 2 3" xfId="1289"/>
    <cellStyle name="Normal 3 2 3 4 2 3 2" xfId="1290"/>
    <cellStyle name="Normal 3 2 3 4 2 4" xfId="1291"/>
    <cellStyle name="Normal 3 2 3 4 2 5" xfId="1292"/>
    <cellStyle name="Normal 3 2 3 4 3" xfId="1293"/>
    <cellStyle name="Normal 3 2 3 4 3 2" xfId="1294"/>
    <cellStyle name="Normal 3 2 3 4 3 2 2" xfId="1295"/>
    <cellStyle name="Normal 3 2 3 4 3 2 2 2" xfId="1296"/>
    <cellStyle name="Normal 3 2 3 4 3 2 3" xfId="1297"/>
    <cellStyle name="Normal 3 2 3 4 3 2 3 2" xfId="1298"/>
    <cellStyle name="Normal 3 2 3 4 3 2 4" xfId="1299"/>
    <cellStyle name="Normal 3 2 3 4 3 2 5" xfId="1300"/>
    <cellStyle name="Normal 3 2 3 4 3 3" xfId="1301"/>
    <cellStyle name="Normal 3 2 3 4 3 3 2" xfId="1302"/>
    <cellStyle name="Normal 3 2 3 4 3 4" xfId="1303"/>
    <cellStyle name="Normal 3 2 3 4 3 4 2" xfId="1304"/>
    <cellStyle name="Normal 3 2 3 4 3 5" xfId="1305"/>
    <cellStyle name="Normal 3 2 3 4 3 6" xfId="1306"/>
    <cellStyle name="Normal 3 2 3 4 3_DGO" xfId="1307"/>
    <cellStyle name="Normal 3 2 3 4 4" xfId="1308"/>
    <cellStyle name="Normal 3 2 3 4 4 2" xfId="1309"/>
    <cellStyle name="Normal 3 2 3 4 5" xfId="1310"/>
    <cellStyle name="Normal 3 2 3 4 5 2" xfId="1311"/>
    <cellStyle name="Normal 3 2 3 4 6" xfId="1312"/>
    <cellStyle name="Normal 3 2 3 4 7" xfId="1313"/>
    <cellStyle name="Normal 3 2 3 4_DGO" xfId="1314"/>
    <cellStyle name="Normal 3 2 3 5" xfId="1315"/>
    <cellStyle name="Normal 3 2 3 5 2" xfId="1316"/>
    <cellStyle name="Normal 3 2 3 5 2 2" xfId="1317"/>
    <cellStyle name="Normal 3 2 3 5 2 2 2" xfId="1318"/>
    <cellStyle name="Normal 3 2 3 5 2 3" xfId="1319"/>
    <cellStyle name="Normal 3 2 3 5 2 3 2" xfId="1320"/>
    <cellStyle name="Normal 3 2 3 5 2 4" xfId="1321"/>
    <cellStyle name="Normal 3 2 3 5 2 5" xfId="1322"/>
    <cellStyle name="Normal 3 2 3 5 3" xfId="1323"/>
    <cellStyle name="Normal 3 2 3 5 3 2" xfId="1324"/>
    <cellStyle name="Normal 3 2 3 5 3 2 2" xfId="1325"/>
    <cellStyle name="Normal 3 2 3 5 3 3" xfId="1326"/>
    <cellStyle name="Normal 3 2 3 5 3 3 2" xfId="1327"/>
    <cellStyle name="Normal 3 2 3 5 3 4" xfId="1328"/>
    <cellStyle name="Normal 3 2 3 5 3 5" xfId="1329"/>
    <cellStyle name="Normal 3 2 3 5 4" xfId="1330"/>
    <cellStyle name="Normal 3 2 3 5 4 2" xfId="1331"/>
    <cellStyle name="Normal 3 2 3 5 4 2 2" xfId="1332"/>
    <cellStyle name="Normal 3 2 3 5 4 3" xfId="1333"/>
    <cellStyle name="Normal 3 2 3 5 5" xfId="1334"/>
    <cellStyle name="Normal 3 2 3 5 5 2" xfId="1335"/>
    <cellStyle name="Normal 3 2 3 5 6" xfId="1336"/>
    <cellStyle name="Normal 3 2 3 5 7" xfId="1337"/>
    <cellStyle name="Normal 3 2 3 5_DGO" xfId="1338"/>
    <cellStyle name="Normal 3 2 3 6" xfId="1339"/>
    <cellStyle name="Normal 3 2 3 6 2" xfId="1340"/>
    <cellStyle name="Normal 3 2 3 6 2 2" xfId="1341"/>
    <cellStyle name="Normal 3 2 3 6 2 3" xfId="1342"/>
    <cellStyle name="Normal 3 2 3 6 3" xfId="1343"/>
    <cellStyle name="Normal 3 2 3 6 3 2" xfId="1344"/>
    <cellStyle name="Normal 3 2 3 6 4" xfId="1345"/>
    <cellStyle name="Normal 3 2 3 6 5" xfId="1346"/>
    <cellStyle name="Normal 3 2 3 6_DGO" xfId="1347"/>
    <cellStyle name="Normal 3 2 3 7" xfId="1348"/>
    <cellStyle name="Normal 3 2 3 7 2" xfId="1349"/>
    <cellStyle name="Normal 3 2 3 7 2 2" xfId="1350"/>
    <cellStyle name="Normal 3 2 3 7 3" xfId="1351"/>
    <cellStyle name="Normal 3 2 3 7 3 2" xfId="1352"/>
    <cellStyle name="Normal 3 2 3 7 4" xfId="1353"/>
    <cellStyle name="Normal 3 2 3 7 5" xfId="1354"/>
    <cellStyle name="Normal 3 2 3 7 5 2" xfId="1355"/>
    <cellStyle name="Normal 3 2 3 7 6" xfId="1356"/>
    <cellStyle name="Normal 3 2 3 7 7" xfId="1357"/>
    <cellStyle name="Normal 3 2 3 7 8" xfId="1358"/>
    <cellStyle name="Normal 3 2 3 7 9" xfId="1359"/>
    <cellStyle name="Normal 3 2 3 8" xfId="1360"/>
    <cellStyle name="Normal 3 2 3 8 2" xfId="1361"/>
    <cellStyle name="Normal 3 2 3 8 2 2" xfId="1362"/>
    <cellStyle name="Normal 3 2 3 8 3" xfId="1363"/>
    <cellStyle name="Normal 3 2 3 9" xfId="1364"/>
    <cellStyle name="Normal 3 2 3 9 2" xfId="1365"/>
    <cellStyle name="Normal 3 2 3_DGO" xfId="1366"/>
    <cellStyle name="Normal 3 2 4" xfId="1367"/>
    <cellStyle name="Normal 3 2 4 2" xfId="1368"/>
    <cellStyle name="Normal 3 2 4 2 2" xfId="1369"/>
    <cellStyle name="Normal 3 2 4 2 2 2" xfId="1370"/>
    <cellStyle name="Normal 3 2 4 2 2 2 2" xfId="1371"/>
    <cellStyle name="Normal 3 2 4 2 2 3" xfId="1372"/>
    <cellStyle name="Normal 3 2 4 2 2 3 2" xfId="1373"/>
    <cellStyle name="Normal 3 2 4 2 2 4" xfId="1374"/>
    <cellStyle name="Normal 3 2 4 2 2 5" xfId="1375"/>
    <cellStyle name="Normal 3 2 4 2 3" xfId="1376"/>
    <cellStyle name="Normal 3 2 4 2 3 2" xfId="1377"/>
    <cellStyle name="Normal 3 2 4 2 4" xfId="1378"/>
    <cellStyle name="Normal 3 2 4 2 4 2" xfId="1379"/>
    <cellStyle name="Normal 3 2 4 2 5" xfId="1380"/>
    <cellStyle name="Normal 3 2 4 2 6" xfId="1381"/>
    <cellStyle name="Normal 3 2 4 2_DGO" xfId="1382"/>
    <cellStyle name="Normal 3 2 4 3" xfId="1383"/>
    <cellStyle name="Normal 3 2 4 3 2" xfId="1384"/>
    <cellStyle name="Normal 3 2 4 3 2 2" xfId="1385"/>
    <cellStyle name="Normal 3 2 4 3 2 2 2" xfId="1386"/>
    <cellStyle name="Normal 3 2 4 3 2 3" xfId="1387"/>
    <cellStyle name="Normal 3 2 4 3 2 3 2" xfId="1388"/>
    <cellStyle name="Normal 3 2 4 3 2 4" xfId="1389"/>
    <cellStyle name="Normal 3 2 4 3 2 5" xfId="1390"/>
    <cellStyle name="Normal 3 2 4 3 3" xfId="1391"/>
    <cellStyle name="Normal 3 2 4 3 3 2" xfId="1392"/>
    <cellStyle name="Normal 3 2 4 3 4" xfId="1393"/>
    <cellStyle name="Normal 3 2 4 3 4 2" xfId="1394"/>
    <cellStyle name="Normal 3 2 4 3 5" xfId="1395"/>
    <cellStyle name="Normal 3 2 4 3 6" xfId="1396"/>
    <cellStyle name="Normal 3 2 4 3_DGO" xfId="1397"/>
    <cellStyle name="Normal 3 2 4 4" xfId="1398"/>
    <cellStyle name="Normal 3 2 4 4 2" xfId="1399"/>
    <cellStyle name="Normal 3 2 4 4 2 2" xfId="1400"/>
    <cellStyle name="Normal 3 2 4 4 3" xfId="1401"/>
    <cellStyle name="Normal 3 2 4 4 3 2" xfId="1402"/>
    <cellStyle name="Normal 3 2 4 4 4" xfId="1403"/>
    <cellStyle name="Normal 3 2 4 4 5" xfId="1404"/>
    <cellStyle name="Normal 3 2 4 5" xfId="1405"/>
    <cellStyle name="Normal 3 2 4 5 2" xfId="1406"/>
    <cellStyle name="Normal 3 2 4 5 2 2" xfId="1407"/>
    <cellStyle name="Normal 3 2 4 5 3" xfId="1408"/>
    <cellStyle name="Normal 3 2 4 6" xfId="1409"/>
    <cellStyle name="Normal 3 2 4 6 2" xfId="1410"/>
    <cellStyle name="Normal 3 2 4 7" xfId="1411"/>
    <cellStyle name="Normal 3 2 4 8" xfId="1412"/>
    <cellStyle name="Normal 3 2 4_DGO" xfId="1413"/>
    <cellStyle name="Normal 3 2 5" xfId="1414"/>
    <cellStyle name="Normal 3 2 5 2" xfId="1415"/>
    <cellStyle name="Normal 3 2 5 2 2" xfId="1416"/>
    <cellStyle name="Normal 3 2 5 2 2 2" xfId="1417"/>
    <cellStyle name="Normal 3 2 5 2 3" xfId="1418"/>
    <cellStyle name="Normal 3 2 5 2 3 2" xfId="1419"/>
    <cellStyle name="Normal 3 2 5 2 4" xfId="1420"/>
    <cellStyle name="Normal 3 2 5 2 5" xfId="1421"/>
    <cellStyle name="Normal 3 2 5 3" xfId="1422"/>
    <cellStyle name="Normal 3 2 5 4" xfId="1423"/>
    <cellStyle name="Normal 3 2 5 4 2" xfId="1424"/>
    <cellStyle name="Normal 3 2 5 4 2 2" xfId="1425"/>
    <cellStyle name="Normal 3 2 5 4 3" xfId="1426"/>
    <cellStyle name="Normal 3 2 5 5" xfId="1427"/>
    <cellStyle name="Normal 3 2 5 5 2" xfId="1428"/>
    <cellStyle name="Normal 3 2 5 6" xfId="1429"/>
    <cellStyle name="Normal 3 2 5_DGO" xfId="1430"/>
    <cellStyle name="Normal 3 2 6" xfId="1431"/>
    <cellStyle name="Normal 3 2 6 2" xfId="1432"/>
    <cellStyle name="Normal 3 2 6 2 2" xfId="1433"/>
    <cellStyle name="Normal 3 2 6 2 2 2" xfId="1434"/>
    <cellStyle name="Normal 3 2 6 2 3" xfId="1435"/>
    <cellStyle name="Normal 3 2 6 2 3 2" xfId="1436"/>
    <cellStyle name="Normal 3 2 6 2 4" xfId="1437"/>
    <cellStyle name="Normal 3 2 6 2 5" xfId="1438"/>
    <cellStyle name="Normal 3 2 6 3" xfId="1439"/>
    <cellStyle name="Normal 3 2 6 3 2" xfId="1440"/>
    <cellStyle name="Normal 3 2 6 4" xfId="1441"/>
    <cellStyle name="Normal 3 2 6 4 2" xfId="1442"/>
    <cellStyle name="Normal 3 2 6 5" xfId="1443"/>
    <cellStyle name="Normal 3 2 6 6" xfId="1444"/>
    <cellStyle name="Normal 3 2 6_DGO" xfId="1445"/>
    <cellStyle name="Normal 3 2 7" xfId="1446"/>
    <cellStyle name="Normal 3 2 7 2" xfId="1447"/>
    <cellStyle name="Normal 3 2 7 2 2" xfId="1448"/>
    <cellStyle name="Normal 3 2 7 3" xfId="1449"/>
    <cellStyle name="Normal 3 2 7 3 2" xfId="1450"/>
    <cellStyle name="Normal 3 2 7 4" xfId="1451"/>
    <cellStyle name="Normal 3 2 7 5" xfId="1452"/>
    <cellStyle name="Normal 3 2 8" xfId="1453"/>
    <cellStyle name="Normal 3 2 8 2" xfId="1454"/>
    <cellStyle name="Normal 3 2 8 2 2" xfId="1455"/>
    <cellStyle name="Normal 3 2 8 2 2 2" xfId="1456"/>
    <cellStyle name="Normal 3 2 8 2 3" xfId="1457"/>
    <cellStyle name="Normal 3 2 8 2 3 2" xfId="1458"/>
    <cellStyle name="Normal 3 2 8 2 4" xfId="1459"/>
    <cellStyle name="Normal 3 2 8 2 5" xfId="1460"/>
    <cellStyle name="Normal 3 2 8 3" xfId="1461"/>
    <cellStyle name="Normal 3 2 8 3 2" xfId="1462"/>
    <cellStyle name="Normal 3 2 8 4" xfId="1463"/>
    <cellStyle name="Normal 3 2 8 4 2" xfId="1464"/>
    <cellStyle name="Normal 3 2 8 5" xfId="1465"/>
    <cellStyle name="Normal 3 2 8 6" xfId="1466"/>
    <cellStyle name="Normal 3 2 8_DGO" xfId="1467"/>
    <cellStyle name="Normal 3 2 9" xfId="1468"/>
    <cellStyle name="Normal 3 2 9 2" xfId="1469"/>
    <cellStyle name="Normal 3 2 9 2 2" xfId="1470"/>
    <cellStyle name="Normal 3 2 9 3" xfId="1471"/>
    <cellStyle name="Normal 3 2 9 3 2" xfId="1472"/>
    <cellStyle name="Normal 3 2 9 4" xfId="1473"/>
    <cellStyle name="Normal 3 2 9 5" xfId="1474"/>
    <cellStyle name="Normal 3 2_DGO" xfId="1475"/>
    <cellStyle name="Normal 3 3" xfId="1476"/>
    <cellStyle name="Normal 3 3 2" xfId="1477"/>
    <cellStyle name="Normal 3 4" xfId="1478"/>
    <cellStyle name="Normal 3 5" xfId="1479"/>
    <cellStyle name="Normal 3 6" xfId="1480"/>
    <cellStyle name="Normal 3 6 2" xfId="1481"/>
    <cellStyle name="Normal 3 7" xfId="1482"/>
    <cellStyle name="Normal 3 8" xfId="1483"/>
    <cellStyle name="Normal 3 9" xfId="1484"/>
    <cellStyle name="Normal 3_Xl0000003" xfId="1485"/>
    <cellStyle name="Normal 30" xfId="1486"/>
    <cellStyle name="Normal 30 2" xfId="1487"/>
    <cellStyle name="Normal 31" xfId="1488"/>
    <cellStyle name="Normal 31 2" xfId="1489"/>
    <cellStyle name="Normal 32" xfId="1490"/>
    <cellStyle name="Normal 32 2" xfId="1491"/>
    <cellStyle name="Normal 33" xfId="1492"/>
    <cellStyle name="Normal 33 2" xfId="1493"/>
    <cellStyle name="Normal 34" xfId="1494"/>
    <cellStyle name="Normal 34 2" xfId="1495"/>
    <cellStyle name="Normal 35" xfId="1496"/>
    <cellStyle name="Normal 35 2" xfId="1497"/>
    <cellStyle name="Normal 36" xfId="1498"/>
    <cellStyle name="Normal 36 2" xfId="1499"/>
    <cellStyle name="Normal 37" xfId="1500"/>
    <cellStyle name="Normal 37 2" xfId="1501"/>
    <cellStyle name="Normal 38" xfId="1502"/>
    <cellStyle name="Normal 38 2" xfId="1503"/>
    <cellStyle name="Normal 39" xfId="1504"/>
    <cellStyle name="Normal 39 2" xfId="1505"/>
    <cellStyle name="Normal 4" xfId="1506"/>
    <cellStyle name="Normal 4 10" xfId="1507"/>
    <cellStyle name="Normal 4 10 2" xfId="1508"/>
    <cellStyle name="Normal 4 11" xfId="1509"/>
    <cellStyle name="Normal 4 2" xfId="1510"/>
    <cellStyle name="Normal 4 2 2" xfId="1511"/>
    <cellStyle name="Normal 4 3" xfId="1512"/>
    <cellStyle name="Normal 4 3 2" xfId="1513"/>
    <cellStyle name="Normal 4 3 2 2" xfId="1514"/>
    <cellStyle name="Normal 4 3 3" xfId="1515"/>
    <cellStyle name="Normal 4 3 3 2" xfId="1516"/>
    <cellStyle name="Normal 4 3 4" xfId="1517"/>
    <cellStyle name="Normal 4 3 5" xfId="1518"/>
    <cellStyle name="Normal 4 4" xfId="1519"/>
    <cellStyle name="Normal 4 4 2" xfId="1520"/>
    <cellStyle name="Normal 4 5" xfId="1521"/>
    <cellStyle name="Normal 4 5 2" xfId="1522"/>
    <cellStyle name="Normal 4 6" xfId="1523"/>
    <cellStyle name="Normal 4 6 2" xfId="1524"/>
    <cellStyle name="Normal 4 7" xfId="1525"/>
    <cellStyle name="Normal 4 7 2" xfId="1526"/>
    <cellStyle name="Normal 4 8" xfId="1527"/>
    <cellStyle name="Normal 4 8 2" xfId="1528"/>
    <cellStyle name="Normal 4 9" xfId="1529"/>
    <cellStyle name="Normal 4 9 2" xfId="1530"/>
    <cellStyle name="Normal 40" xfId="1531"/>
    <cellStyle name="Normal 40 2" xfId="1532"/>
    <cellStyle name="Normal 41" xfId="1533"/>
    <cellStyle name="Normal 41 2" xfId="1534"/>
    <cellStyle name="Normal 42" xfId="1535"/>
    <cellStyle name="Normal 42 2" xfId="1536"/>
    <cellStyle name="Normal 43" xfId="1537"/>
    <cellStyle name="Normal 43 2" xfId="1538"/>
    <cellStyle name="Normal 44" xfId="1539"/>
    <cellStyle name="Normal 44 2" xfId="1540"/>
    <cellStyle name="Normal 44 2 2" xfId="1541"/>
    <cellStyle name="Normal 44 2 2 2" xfId="1542"/>
    <cellStyle name="Normal 44 2 3" xfId="1543"/>
    <cellStyle name="Normal 44 2 4" xfId="1544"/>
    <cellStyle name="Normal 44 3" xfId="1545"/>
    <cellStyle name="Normal 45" xfId="1546"/>
    <cellStyle name="Normal 45 2" xfId="1547"/>
    <cellStyle name="Normal 46" xfId="1548"/>
    <cellStyle name="Normal 46 2" xfId="1549"/>
    <cellStyle name="Normal 47" xfId="1550"/>
    <cellStyle name="Normal 47 2" xfId="1551"/>
    <cellStyle name="Normal 48" xfId="1552"/>
    <cellStyle name="Normal 48 2" xfId="1553"/>
    <cellStyle name="Normal 49" xfId="1554"/>
    <cellStyle name="Normal 49 2" xfId="1555"/>
    <cellStyle name="Normal 5" xfId="1556"/>
    <cellStyle name="Normal 5 10" xfId="1557"/>
    <cellStyle name="Normal 5 10 2" xfId="1558"/>
    <cellStyle name="Normal 5 10 2 10" xfId="1559"/>
    <cellStyle name="Normal 5 10 2 10 2" xfId="1560"/>
    <cellStyle name="Normal 5 10 2 11" xfId="1561"/>
    <cellStyle name="Normal 5 10 2 11 2" xfId="1562"/>
    <cellStyle name="Normal 5 10 2 12" xfId="1563"/>
    <cellStyle name="Normal 5 10 2 12 2" xfId="1564"/>
    <cellStyle name="Normal 5 10 2 13" xfId="1565"/>
    <cellStyle name="Normal 5 10 2 2" xfId="1566"/>
    <cellStyle name="Normal 5 10 2 2 2" xfId="1567"/>
    <cellStyle name="Normal 5 10 2 3" xfId="1568"/>
    <cellStyle name="Normal 5 10 2 3 2" xfId="1569"/>
    <cellStyle name="Normal 5 10 2 4" xfId="1570"/>
    <cellStyle name="Normal 5 10 2 4 2" xfId="1571"/>
    <cellStyle name="Normal 5 10 2 5" xfId="1572"/>
    <cellStyle name="Normal 5 10 2 5 2" xfId="1573"/>
    <cellStyle name="Normal 5 10 2 6" xfId="1574"/>
    <cellStyle name="Normal 5 10 2 6 2" xfId="1575"/>
    <cellStyle name="Normal 5 10 2 7" xfId="1576"/>
    <cellStyle name="Normal 5 10 2 7 2" xfId="1577"/>
    <cellStyle name="Normal 5 10 2 8" xfId="1578"/>
    <cellStyle name="Normal 5 10 2 8 2" xfId="1579"/>
    <cellStyle name="Normal 5 10 2 9" xfId="1580"/>
    <cellStyle name="Normal 5 10 2 9 2" xfId="1581"/>
    <cellStyle name="Normal 5 10 3" xfId="1582"/>
    <cellStyle name="Normal 5 11" xfId="1583"/>
    <cellStyle name="Normal 5 2" xfId="1584"/>
    <cellStyle name="Normal 5 2 2" xfId="1585"/>
    <cellStyle name="Normal 5 3" xfId="1586"/>
    <cellStyle name="Normal 5 4" xfId="1587"/>
    <cellStyle name="Normal 5 4 2" xfId="1588"/>
    <cellStyle name="Normal 5 4 2 2" xfId="1589"/>
    <cellStyle name="Normal 5 4 3" xfId="1590"/>
    <cellStyle name="Normal 5 4 3 2" xfId="1591"/>
    <cellStyle name="Normal 5 4 4" xfId="1592"/>
    <cellStyle name="Normal 5 4 5" xfId="1593"/>
    <cellStyle name="Normal 5 5" xfId="1594"/>
    <cellStyle name="Normal 5 5 2" xfId="1595"/>
    <cellStyle name="Normal 5 5 2 2" xfId="1596"/>
    <cellStyle name="Normal 5 5 2 2 2" xfId="1597"/>
    <cellStyle name="Normal 5 5 2 3" xfId="1598"/>
    <cellStyle name="Normal 5 5 2 3 2" xfId="1599"/>
    <cellStyle name="Normal 5 5 2 4" xfId="1600"/>
    <cellStyle name="Normal 5 5 2 5" xfId="1601"/>
    <cellStyle name="Normal 5 5 3" xfId="1602"/>
    <cellStyle name="Normal 5 6" xfId="1603"/>
    <cellStyle name="Normal 5 6 2" xfId="1604"/>
    <cellStyle name="Normal 5 7" xfId="1605"/>
    <cellStyle name="Normal 5 7 2" xfId="1606"/>
    <cellStyle name="Normal 5 8" xfId="1607"/>
    <cellStyle name="Normal 5 8 2" xfId="1608"/>
    <cellStyle name="Normal 5 9" xfId="1609"/>
    <cellStyle name="Normal 5 9 2" xfId="1610"/>
    <cellStyle name="Normal 50" xfId="1611"/>
    <cellStyle name="Normal 50 2" xfId="1612"/>
    <cellStyle name="Normal 51" xfId="1613"/>
    <cellStyle name="Normal 51 2" xfId="1614"/>
    <cellStyle name="Normal 52" xfId="1615"/>
    <cellStyle name="Normal 52 2" xfId="1616"/>
    <cellStyle name="Normal 53" xfId="1617"/>
    <cellStyle name="Normal 53 2" xfId="1618"/>
    <cellStyle name="Normal 54" xfId="1619"/>
    <cellStyle name="Normal 54 2" xfId="1620"/>
    <cellStyle name="Normal 54 2 2" xfId="1621"/>
    <cellStyle name="Normal 54 3" xfId="1622"/>
    <cellStyle name="Normal 54 3 2" xfId="1623"/>
    <cellStyle name="Normal 54 4" xfId="1624"/>
    <cellStyle name="Normal 54 5" xfId="1625"/>
    <cellStyle name="Normal 55" xfId="1626"/>
    <cellStyle name="Normal 55 2" xfId="1627"/>
    <cellStyle name="Normal 56" xfId="1628"/>
    <cellStyle name="Normal 57" xfId="1629"/>
    <cellStyle name="Normal 57 2" xfId="1630"/>
    <cellStyle name="Normal 57 2 2" xfId="1631"/>
    <cellStyle name="Normal 57 3" xfId="1632"/>
    <cellStyle name="Normal 57 3 2" xfId="1633"/>
    <cellStyle name="Normal 57 4" xfId="1634"/>
    <cellStyle name="Normal 57 5" xfId="1635"/>
    <cellStyle name="Normal 58" xfId="1636"/>
    <cellStyle name="Normal 58 2" xfId="1637"/>
    <cellStyle name="Normal 59" xfId="1638"/>
    <cellStyle name="Normal 59 2" xfId="1639"/>
    <cellStyle name="Normal 6" xfId="1640"/>
    <cellStyle name="Normal 6 10" xfId="1641"/>
    <cellStyle name="Normal 6 10 2" xfId="1642"/>
    <cellStyle name="Normal 6 11" xfId="1643"/>
    <cellStyle name="Normal 6 11 2" xfId="1644"/>
    <cellStyle name="Normal 6 12" xfId="1645"/>
    <cellStyle name="Normal 6 12 2" xfId="1646"/>
    <cellStyle name="Normal 6 13" xfId="1647"/>
    <cellStyle name="Normal 6 13 2" xfId="1648"/>
    <cellStyle name="Normal 6 14" xfId="1649"/>
    <cellStyle name="Normal 6 14 2" xfId="1650"/>
    <cellStyle name="Normal 6 15" xfId="1651"/>
    <cellStyle name="Normal 6 2" xfId="1652"/>
    <cellStyle name="Normal 6 2 2" xfId="1653"/>
    <cellStyle name="Normal 6 2 2 2" xfId="1654"/>
    <cellStyle name="Normal 6 2 2 2 2" xfId="1655"/>
    <cellStyle name="Normal 6 2 2 2 2 2" xfId="1656"/>
    <cellStyle name="Normal 6 2 2 2 3" xfId="1657"/>
    <cellStyle name="Normal 6 2 2 2 3 2" xfId="1658"/>
    <cellStyle name="Normal 6 2 2 2 4" xfId="1659"/>
    <cellStyle name="Normal 6 2 2 2 5" xfId="1660"/>
    <cellStyle name="Normal 6 2 2 3" xfId="1661"/>
    <cellStyle name="Normal 6 2 2 3 2" xfId="1662"/>
    <cellStyle name="Normal 6 2 2 4" xfId="1663"/>
    <cellStyle name="Normal 6 2 2 4 2" xfId="1664"/>
    <cellStyle name="Normal 6 2 2 5" xfId="1665"/>
    <cellStyle name="Normal 6 2 2 6" xfId="1666"/>
    <cellStyle name="Normal 6 2 2_DGO" xfId="1667"/>
    <cellStyle name="Normal 6 2 3" xfId="1668"/>
    <cellStyle name="Normal 6 2 3 2" xfId="1669"/>
    <cellStyle name="Normal 6 2 3 2 2" xfId="1670"/>
    <cellStyle name="Normal 6 2 3 2 2 2" xfId="1671"/>
    <cellStyle name="Normal 6 2 3 2 3" xfId="1672"/>
    <cellStyle name="Normal 6 2 3 2 3 2" xfId="1673"/>
    <cellStyle name="Normal 6 2 3 2 4" xfId="1674"/>
    <cellStyle name="Normal 6 2 3 2 5" xfId="1675"/>
    <cellStyle name="Normal 6 2 3_DGO" xfId="1676"/>
    <cellStyle name="Normal 6 2 4" xfId="1677"/>
    <cellStyle name="Normal 6 2 4 2" xfId="1678"/>
    <cellStyle name="Normal 6 2 4 2 2" xfId="1679"/>
    <cellStyle name="Normal 6 2 4 3" xfId="1680"/>
    <cellStyle name="Normal 6 2 4 3 2" xfId="1681"/>
    <cellStyle name="Normal 6 2 4 4" xfId="1682"/>
    <cellStyle name="Normal 6 2 4 5" xfId="1683"/>
    <cellStyle name="Normal 6 2 5" xfId="1684"/>
    <cellStyle name="Normal 6 2 6" xfId="1685"/>
    <cellStyle name="Normal 6 2 6 2" xfId="1686"/>
    <cellStyle name="Normal 6 2 7" xfId="1687"/>
    <cellStyle name="Normal 6 2 7 2" xfId="1688"/>
    <cellStyle name="Normal 6 2 8" xfId="1689"/>
    <cellStyle name="Normal 6 2_DGO" xfId="1690"/>
    <cellStyle name="Normal 6 3" xfId="1691"/>
    <cellStyle name="Normal 6 3 2" xfId="1692"/>
    <cellStyle name="Normal 6 3 2 2" xfId="1693"/>
    <cellStyle name="Normal 6 3 3" xfId="1694"/>
    <cellStyle name="Normal 6 3 3 2" xfId="1695"/>
    <cellStyle name="Normal 6 3 4" xfId="1696"/>
    <cellStyle name="Normal 6 3 4 2" xfId="1697"/>
    <cellStyle name="Normal 6 3 5" xfId="1698"/>
    <cellStyle name="Normal 6 3 6" xfId="1699"/>
    <cellStyle name="Normal 6 3_DGO" xfId="1700"/>
    <cellStyle name="Normal 6 4" xfId="1701"/>
    <cellStyle name="Normal 6 4 2" xfId="1702"/>
    <cellStyle name="Normal 6 4 2 2" xfId="1703"/>
    <cellStyle name="Normal 6 4 2 2 2" xfId="1704"/>
    <cellStyle name="Normal 6 4 2 3" xfId="1705"/>
    <cellStyle name="Normal 6 4 2 3 2" xfId="1706"/>
    <cellStyle name="Normal 6 4 2 4" xfId="1707"/>
    <cellStyle name="Normal 6 4 2 5" xfId="1708"/>
    <cellStyle name="Normal 6 4_DGO" xfId="1709"/>
    <cellStyle name="Normal 6 5" xfId="1710"/>
    <cellStyle name="Normal 6 5 2" xfId="1711"/>
    <cellStyle name="Normal 6 5 2 2" xfId="1712"/>
    <cellStyle name="Normal 6 5 3" xfId="1713"/>
    <cellStyle name="Normal 6 5 3 2" xfId="1714"/>
    <cellStyle name="Normal 6 5 4" xfId="1715"/>
    <cellStyle name="Normal 6 5 5" xfId="1716"/>
    <cellStyle name="Normal 6 6" xfId="1717"/>
    <cellStyle name="Normal 6 7" xfId="1718"/>
    <cellStyle name="Normal 6 7 2" xfId="1719"/>
    <cellStyle name="Normal 6 8" xfId="1720"/>
    <cellStyle name="Normal 6 8 2" xfId="1721"/>
    <cellStyle name="Normal 6 9" xfId="1722"/>
    <cellStyle name="Normal 6 9 2" xfId="1723"/>
    <cellStyle name="Normal 6_DGO" xfId="1724"/>
    <cellStyle name="Normal 60" xfId="1725"/>
    <cellStyle name="Normal 60 2" xfId="1726"/>
    <cellStyle name="Normal 60_Cópia de INE_DGO_TC_NV" xfId="1727"/>
    <cellStyle name="Normal 61" xfId="1728"/>
    <cellStyle name="Normal 61 2" xfId="1729"/>
    <cellStyle name="Normal 62" xfId="1730"/>
    <cellStyle name="Normal 62 2" xfId="1731"/>
    <cellStyle name="Normal 62 3" xfId="1732"/>
    <cellStyle name="Normal 63" xfId="1733"/>
    <cellStyle name="Normal 63 2" xfId="1734"/>
    <cellStyle name="Normal 64" xfId="1735"/>
    <cellStyle name="Normal 64 2" xfId="1736"/>
    <cellStyle name="Normal 65" xfId="1737"/>
    <cellStyle name="Normal 65 2" xfId="1738"/>
    <cellStyle name="Normal 66" xfId="1739"/>
    <cellStyle name="Normal 66 2" xfId="1740"/>
    <cellStyle name="Normal 67" xfId="1741"/>
    <cellStyle name="Normal 68" xfId="1742"/>
    <cellStyle name="Normal 69" xfId="1743"/>
    <cellStyle name="Normal 69 2" xfId="1744"/>
    <cellStyle name="Normal 7" xfId="1745"/>
    <cellStyle name="Normal 7 2" xfId="1746"/>
    <cellStyle name="Normal 7 2 2" xfId="1747"/>
    <cellStyle name="Normal 7 2 2 2" xfId="1748"/>
    <cellStyle name="Normal 7 2 2 2 2" xfId="1749"/>
    <cellStyle name="Normal 7 2 2 2 2 2" xfId="1750"/>
    <cellStyle name="Normal 7 2 2 2 3" xfId="1751"/>
    <cellStyle name="Normal 7 2 2 2 3 2" xfId="1752"/>
    <cellStyle name="Normal 7 2 2 2 3 2 2" xfId="1753"/>
    <cellStyle name="Normal 7 2 2 2 3 2 3" xfId="1754"/>
    <cellStyle name="Normal 7 2 2 2 3 2 3 2" xfId="1755"/>
    <cellStyle name="Normal 7 2 2 2 3 2 4" xfId="1756"/>
    <cellStyle name="Normal 7 2 2 2 3 2 5" xfId="1757"/>
    <cellStyle name="Normal 7 2 2 2 3 2 5 2" xfId="1758"/>
    <cellStyle name="Normal 7 2 2 2 3 2 5 2 2" xfId="1759"/>
    <cellStyle name="Normal 7 2 2 2 3 2 5 2 3" xfId="1760"/>
    <cellStyle name="Normal 7 2 2 2 3 2 5 2 4" xfId="1761"/>
    <cellStyle name="Normal 7 2 2 2 3 2 5 2 4 2" xfId="1762"/>
    <cellStyle name="Normal 7 2 2 2 3 2 5 2 4 2 2" xfId="1763"/>
    <cellStyle name="Normal 7 2 2 2 3 2 5 2 4 2 2 2" xfId="1764"/>
    <cellStyle name="Normal 7 2 2 2 3 2 5 2 4 2 2 2 2" xfId="1765"/>
    <cellStyle name="Normal 7 2 2 2 3 2 5 2 4 2 2 2 2 2" xfId="1766"/>
    <cellStyle name="Normal 7 2 2 2 3 2 5 2 4 2 2 2 2 2 2" xfId="1767"/>
    <cellStyle name="Normal 7 2 2 2 3 2 5 2 4 2 2 2 2 2 3" xfId="1768"/>
    <cellStyle name="Normal 7 2 2 2 3 2 5 2 4 2 2 2 2 2 4" xfId="1769"/>
    <cellStyle name="Normal 7 2 2 2 3 2 5 2 4 3" xfId="1770"/>
    <cellStyle name="Normal 7 2 2 2 3 2 5 2 4 3 2" xfId="1771"/>
    <cellStyle name="Normal 7 2 2 2 3 2 5 2 4 3 3" xfId="1772"/>
    <cellStyle name="Normal 7 2 2 2 3 2 5 2 4 3 4" xfId="1773"/>
    <cellStyle name="Normal 7 2 2 2 3 2 5 2 4 3 5" xfId="1774"/>
    <cellStyle name="Normal 7 2 2 2 3 2 5 2 4 3 5 2" xfId="1775"/>
    <cellStyle name="Normal 7 2 2 2 3 2 5 2 4 3 5 3" xfId="1776"/>
    <cellStyle name="Normal 7 2 2 2 3 2 5 2 4 3 5 4" xfId="1777"/>
    <cellStyle name="Normal 7 2 2 2 3 2 5 2 4 3 5 4 2" xfId="1778"/>
    <cellStyle name="Normal 7 2 2 2 3 2 5 3" xfId="1779"/>
    <cellStyle name="Normal 7 2 2 2 3 2 6" xfId="1780"/>
    <cellStyle name="Normal 7 2 2 2 3 3" xfId="1781"/>
    <cellStyle name="Normal 7 2 2 2 4" xfId="1782"/>
    <cellStyle name="Normal 7 2 2 2 5" xfId="1783"/>
    <cellStyle name="Normal 7 2 2 3" xfId="1784"/>
    <cellStyle name="Normal 7 2 2 3 2" xfId="1785"/>
    <cellStyle name="Normal 7 2 2 3 2 2" xfId="1786"/>
    <cellStyle name="Normal 7 2 2 3 2 3" xfId="1787"/>
    <cellStyle name="Normal 7 2 2 3 2 3 2" xfId="1788"/>
    <cellStyle name="Normal 7 2 2 3 2 4" xfId="1789"/>
    <cellStyle name="Normal 7 2 2 3 2 5" xfId="1790"/>
    <cellStyle name="Normal 7 2 2 3 2 5 2" xfId="1791"/>
    <cellStyle name="Normal 7 2 2 3 2 5 2 2" xfId="1792"/>
    <cellStyle name="Normal 7 2 2 3 2 5 2 3" xfId="1793"/>
    <cellStyle name="Normal 7 2 2 3 2 5 2 3 2" xfId="1794"/>
    <cellStyle name="Normal 7 2 2 3 2 5 2 3 2 2" xfId="1795"/>
    <cellStyle name="Normal 7 2 2 3 2 5 2 3 2 2 2" xfId="1796"/>
    <cellStyle name="Normal 7 2 2 3 2 5 2 3 2 2 2 2" xfId="1797"/>
    <cellStyle name="Normal 7 2 2 3 2 5 2 3 2 2 2 2 2" xfId="1798"/>
    <cellStyle name="Normal 7 2 2 3 2 5 2 3 2 2 2 2 2 2" xfId="1799"/>
    <cellStyle name="Normal 7 2 2 3 2 5 2 3 2 2 2 2 2 3" xfId="1800"/>
    <cellStyle name="Normal 7 2 2 3 2 5 2 3 2 2 2 2 2 4" xfId="1801"/>
    <cellStyle name="Normal 7 2 2 3 2 5 3" xfId="1802"/>
    <cellStyle name="Normal 7 2 2 3 2 6" xfId="1803"/>
    <cellStyle name="Normal 7 2 2 3 2 6 2" xfId="1804"/>
    <cellStyle name="Normal 7 2 2 3 2 6 3" xfId="1805"/>
    <cellStyle name="Normal 7 2 2 3 2 6 3 2" xfId="1806"/>
    <cellStyle name="Normal 7 2 2 3 2 6 3 2 2" xfId="1807"/>
    <cellStyle name="Normal 7 2 2 3 2 6 3 2 3" xfId="1808"/>
    <cellStyle name="Normal 7 2 2 3 2 6 3 2 3 2" xfId="1809"/>
    <cellStyle name="Normal 7 2 2 3 2 6 3 2 3 2 2" xfId="1810"/>
    <cellStyle name="Normal 7 2 2 3 2 6 3 2 3 2 2 2" xfId="1811"/>
    <cellStyle name="Normal 7 2 2 3 2 6 3 2 3 2 2 3" xfId="1812"/>
    <cellStyle name="Normal 7 2 2 3 2 6 3 2 3 2 2 4" xfId="1813"/>
    <cellStyle name="Normal 7 2 2 3 2 7" xfId="1814"/>
    <cellStyle name="Normal 7 2 2 3 2 8" xfId="1815"/>
    <cellStyle name="Normal 7 2 2 3 2 8 2" xfId="1816"/>
    <cellStyle name="Normal 7 2 2 3 2 8 2 2" xfId="1817"/>
    <cellStyle name="Normal 7 2 2 3 2 8 2 3" xfId="1818"/>
    <cellStyle name="Normal 7 2 2 3 2 8 2 3 2" xfId="1819"/>
    <cellStyle name="Normal 7 2 2 3 2 8 2 3 2 2" xfId="1820"/>
    <cellStyle name="Normal 7 2 2 3 2 8 2 3 2 2 2" xfId="1821"/>
    <cellStyle name="Normal 7 2 2 3 2 8 2 3 2 2 3" xfId="1822"/>
    <cellStyle name="Normal 7 2 2 3 2 8 2 3 2 2 4" xfId="1823"/>
    <cellStyle name="Normal 7 2 2 3 2 8 2 4" xfId="1824"/>
    <cellStyle name="Normal 7 2 2 3 2 8 2 4 2" xfId="1825"/>
    <cellStyle name="Normal 7 2 2 3 2 8 2 4 2 2" xfId="1826"/>
    <cellStyle name="Normal 7 2 2 3 2 8 2 4 2 3" xfId="1827"/>
    <cellStyle name="Normal 7 2 2 3 2 8 2 4 2 4" xfId="1828"/>
    <cellStyle name="Normal 7 2 2 3 2 9" xfId="1829"/>
    <cellStyle name="Normal 7 2 2 3 3" xfId="1830"/>
    <cellStyle name="Normal 7 2 2 4" xfId="1831"/>
    <cellStyle name="Normal 7 2 2 4 2" xfId="1832"/>
    <cellStyle name="Normal 7 2 2 5" xfId="1833"/>
    <cellStyle name="Normal 7 2 2 6" xfId="1834"/>
    <cellStyle name="Normal 7 2 2_DGO" xfId="1835"/>
    <cellStyle name="Normal 7 2 4" xfId="1836"/>
    <cellStyle name="Normal 7 3" xfId="1837"/>
    <cellStyle name="Normal 7 3 2" xfId="1838"/>
    <cellStyle name="Normal 7 3 2 2" xfId="1839"/>
    <cellStyle name="Normal 7 3 2 2 2" xfId="1840"/>
    <cellStyle name="Normal 7 3 2 3" xfId="1841"/>
    <cellStyle name="Normal 7 3 2 3 2" xfId="1842"/>
    <cellStyle name="Normal 7 3 2 4" xfId="1843"/>
    <cellStyle name="Normal 7 3 2 5" xfId="1844"/>
    <cellStyle name="Normal 7 3 3" xfId="1845"/>
    <cellStyle name="Normal 7 3 4" xfId="1846"/>
    <cellStyle name="Normal 7 3 5" xfId="1847"/>
    <cellStyle name="Normal 7 3_DGO" xfId="1848"/>
    <cellStyle name="Normal 7 4" xfId="1849"/>
    <cellStyle name="Normal 7 4 2" xfId="1850"/>
    <cellStyle name="Normal 7 4 2 2" xfId="1851"/>
    <cellStyle name="Normal 7 4 3" xfId="1852"/>
    <cellStyle name="Normal 7 4 3 2" xfId="1853"/>
    <cellStyle name="Normal 7 4 4" xfId="1854"/>
    <cellStyle name="Normal 7 4 5" xfId="1855"/>
    <cellStyle name="Normal 7_Livro1" xfId="1856"/>
    <cellStyle name="Normal 8" xfId="1857"/>
    <cellStyle name="Normal 8 2" xfId="1858"/>
    <cellStyle name="Normal 8 2 2" xfId="1859"/>
    <cellStyle name="Normal 8 2 2 2" xfId="1860"/>
    <cellStyle name="Normal 8 2 2 2 2" xfId="1861"/>
    <cellStyle name="Normal 8 2 2 3" xfId="1862"/>
    <cellStyle name="Normal 8 2 2 3 2" xfId="1863"/>
    <cellStyle name="Normal 8 2 2 4" xfId="1864"/>
    <cellStyle name="Normal 8 2 2 5" xfId="1865"/>
    <cellStyle name="Normal 8 2 3" xfId="1866"/>
    <cellStyle name="Normal 8 2 3 2" xfId="1867"/>
    <cellStyle name="Normal 8 2 4" xfId="1868"/>
    <cellStyle name="Normal 8 2 4 2" xfId="1869"/>
    <cellStyle name="Normal 8 2 5" xfId="1870"/>
    <cellStyle name="Normal 8 2 6" xfId="1871"/>
    <cellStyle name="Normal 8 2_DGO" xfId="1872"/>
    <cellStyle name="Normal 8 3" xfId="1873"/>
    <cellStyle name="Normal 8 3 2" xfId="1874"/>
    <cellStyle name="Normal 8 3 2 2" xfId="1875"/>
    <cellStyle name="Normal 8 3 3" xfId="1876"/>
    <cellStyle name="Normal 8 3 3 2" xfId="1877"/>
    <cellStyle name="Normal 8 3 4" xfId="1878"/>
    <cellStyle name="Normal 8 3 5" xfId="1879"/>
    <cellStyle name="Normal 8 4" xfId="1880"/>
    <cellStyle name="Normal 8 4 2" xfId="1881"/>
    <cellStyle name="Normal 8 5" xfId="1882"/>
    <cellStyle name="Normal 8 5 2" xfId="1883"/>
    <cellStyle name="Normal 8 6" xfId="1884"/>
    <cellStyle name="Normal 8 6 2" xfId="1885"/>
    <cellStyle name="Normal 8 7" xfId="1886"/>
    <cellStyle name="Normal 8 8" xfId="1887"/>
    <cellStyle name="Normal 8_DGO" xfId="1888"/>
    <cellStyle name="Normal 9" xfId="1889"/>
    <cellStyle name="Normal 9 2" xfId="1890"/>
    <cellStyle name="Normal 9 3" xfId="1891"/>
    <cellStyle name="Normal Bold" xfId="1892"/>
    <cellStyle name="Normalny_koszt" xfId="1893"/>
    <cellStyle name="Nota 10" xfId="1894"/>
    <cellStyle name="Nota 10 2" xfId="1895"/>
    <cellStyle name="Nota 10 2 2" xfId="1896"/>
    <cellStyle name="Nota 10 3" xfId="1897"/>
    <cellStyle name="Nota 10 3 2" xfId="1898"/>
    <cellStyle name="Nota 10 4" xfId="1899"/>
    <cellStyle name="Nota 10 5" xfId="1900"/>
    <cellStyle name="Nota 11" xfId="1901"/>
    <cellStyle name="Nota 11 2" xfId="1902"/>
    <cellStyle name="Nota 11 2 2" xfId="1903"/>
    <cellStyle name="Nota 11 3" xfId="1904"/>
    <cellStyle name="Nota 11 3 2" xfId="1905"/>
    <cellStyle name="Nota 11 4" xfId="1906"/>
    <cellStyle name="Nota 11 5" xfId="1907"/>
    <cellStyle name="Nota 12" xfId="1908"/>
    <cellStyle name="Nota 12 2" xfId="1909"/>
    <cellStyle name="Nota 2" xfId="1910"/>
    <cellStyle name="Nota 2 10" xfId="1911"/>
    <cellStyle name="Nota 2 10 2" xfId="1912"/>
    <cellStyle name="Nota 2 11" xfId="1913"/>
    <cellStyle name="Nota 2 11 2" xfId="1914"/>
    <cellStyle name="Nota 2 12" xfId="1915"/>
    <cellStyle name="Nota 2 13" xfId="1916"/>
    <cellStyle name="Nota 2 2" xfId="1917"/>
    <cellStyle name="Nota 2 2 2" xfId="1918"/>
    <cellStyle name="Nota 2 3" xfId="1919"/>
    <cellStyle name="Nota 2 3 2" xfId="1920"/>
    <cellStyle name="Nota 2 4" xfId="1921"/>
    <cellStyle name="Nota 2 4 2" xfId="1922"/>
    <cellStyle name="Nota 2 5" xfId="1923"/>
    <cellStyle name="Nota 2 5 2" xfId="1924"/>
    <cellStyle name="Nota 2 6" xfId="1925"/>
    <cellStyle name="Nota 2 6 2" xfId="1926"/>
    <cellStyle name="Nota 2 7" xfId="1927"/>
    <cellStyle name="Nota 2 7 2" xfId="1928"/>
    <cellStyle name="Nota 2 8" xfId="1929"/>
    <cellStyle name="Nota 2 8 2" xfId="1930"/>
    <cellStyle name="Nota 2 9" xfId="1931"/>
    <cellStyle name="Nota 2 9 2" xfId="1932"/>
    <cellStyle name="Nota 2_INE_DGO_TC" xfId="1933"/>
    <cellStyle name="Nota 3" xfId="1934"/>
    <cellStyle name="Nota 4" xfId="1935"/>
    <cellStyle name="Nota 5" xfId="1936"/>
    <cellStyle name="Nota 5 2" xfId="1937"/>
    <cellStyle name="Nota 5 2 2" xfId="1938"/>
    <cellStyle name="Nota 5 3" xfId="1939"/>
    <cellStyle name="Nota 5 3 2" xfId="1940"/>
    <cellStyle name="Nota 5 4" xfId="1941"/>
    <cellStyle name="Nota 5 5" xfId="1942"/>
    <cellStyle name="Nota 6" xfId="1943"/>
    <cellStyle name="Nota 6 2" xfId="1944"/>
    <cellStyle name="Nota 6 2 2" xfId="1945"/>
    <cellStyle name="Nota 6 3" xfId="1946"/>
    <cellStyle name="Nota 6 3 2" xfId="1947"/>
    <cellStyle name="Nota 6 4" xfId="1948"/>
    <cellStyle name="Nota 6 5" xfId="1949"/>
    <cellStyle name="Nota 7" xfId="1950"/>
    <cellStyle name="Nota 7 2" xfId="1951"/>
    <cellStyle name="Nota 7 2 2" xfId="1952"/>
    <cellStyle name="Nota 7 3" xfId="1953"/>
    <cellStyle name="Nota 7 3 2" xfId="1954"/>
    <cellStyle name="Nota 7 4" xfId="1955"/>
    <cellStyle name="Nota 7 5" xfId="1956"/>
    <cellStyle name="Nota 8" xfId="1957"/>
    <cellStyle name="Nota 8 2" xfId="1958"/>
    <cellStyle name="Nota 8 2 2" xfId="1959"/>
    <cellStyle name="Nota 8 3" xfId="1960"/>
    <cellStyle name="Nota 8 3 2" xfId="1961"/>
    <cellStyle name="Nota 8 4" xfId="1962"/>
    <cellStyle name="Nota 8 5" xfId="1963"/>
    <cellStyle name="Nota 9" xfId="1964"/>
    <cellStyle name="Nota 9 2" xfId="1965"/>
    <cellStyle name="Nota 9 2 2" xfId="1966"/>
    <cellStyle name="Nota 9 3" xfId="1967"/>
    <cellStyle name="Nota 9 3 2" xfId="1968"/>
    <cellStyle name="Nota 9 4" xfId="1969"/>
    <cellStyle name="Nota 9 5" xfId="1970"/>
    <cellStyle name="Note 2" xfId="1971"/>
    <cellStyle name="Note 2 2" xfId="1972"/>
    <cellStyle name="Note 2 3" xfId="1973"/>
    <cellStyle name="Note 3" xfId="1974"/>
    <cellStyle name="Note 3 2" xfId="1975"/>
    <cellStyle name="Note 4" xfId="1976"/>
    <cellStyle name="Note 4 2" xfId="1977"/>
    <cellStyle name="Note 5" xfId="1978"/>
    <cellStyle name="Note 6" xfId="1979"/>
    <cellStyle name="num s dec" xfId="1980"/>
    <cellStyle name="num s dec 2" xfId="1981"/>
    <cellStyle name="NUMLINHA" xfId="1982"/>
    <cellStyle name="NUMLINHA 2" xfId="1983"/>
    <cellStyle name="Opis" xfId="1984"/>
    <cellStyle name="Output" xfId="1985"/>
    <cellStyle name="Output 2" xfId="1986"/>
    <cellStyle name="Output 2 2" xfId="1987"/>
    <cellStyle name="Output 2 3" xfId="1988"/>
    <cellStyle name="Output 3" xfId="1989"/>
    <cellStyle name="Output 4" xfId="1990"/>
    <cellStyle name="Output 5" xfId="1991"/>
    <cellStyle name="Output 6" xfId="1992"/>
    <cellStyle name="Output_efeito da reposicao de subsidios em 2013 (2)" xfId="1993"/>
    <cellStyle name="pequeno" xfId="1994"/>
    <cellStyle name="pequeno 2" xfId="1995"/>
    <cellStyle name="PERCENT" xfId="2110" builtinId="5"/>
    <cellStyle name="Percent [0]" xfId="1996"/>
    <cellStyle name="Percent [0] 2" xfId="1997"/>
    <cellStyle name="Percent [00]" xfId="1998"/>
    <cellStyle name="Percent [00] 2" xfId="1999"/>
    <cellStyle name="Percent [2]" xfId="2000"/>
    <cellStyle name="Percent [2] 2" xfId="2001"/>
    <cellStyle name="Percent 2" xfId="2002"/>
    <cellStyle name="Percent 2 10" xfId="2003"/>
    <cellStyle name="Percent 2 10 2" xfId="2004"/>
    <cellStyle name="Percent 2 11" xfId="2005"/>
    <cellStyle name="Percent 2 11 2" xfId="2006"/>
    <cellStyle name="Percent 2 12" xfId="2007"/>
    <cellStyle name="Percent 2 12 2" xfId="2008"/>
    <cellStyle name="Percent 2 13" xfId="2009"/>
    <cellStyle name="Percent 2 13 2" xfId="2010"/>
    <cellStyle name="Percent 2 14" xfId="2011"/>
    <cellStyle name="Percent 2 14 2" xfId="2012"/>
    <cellStyle name="Percent 2 15" xfId="2013"/>
    <cellStyle name="Percent 2 15 2" xfId="2014"/>
    <cellStyle name="Percent 2 16" xfId="2015"/>
    <cellStyle name="Percent 2 16 2" xfId="2016"/>
    <cellStyle name="Percent 2 17" xfId="2017"/>
    <cellStyle name="Percent 2 17 2" xfId="2018"/>
    <cellStyle name="Percent 2 18" xfId="2019"/>
    <cellStyle name="Percent 2 18 2" xfId="2020"/>
    <cellStyle name="Percent 2 19" xfId="2021"/>
    <cellStyle name="Percent 2 19 2" xfId="2022"/>
    <cellStyle name="Percent 2 2" xfId="2023"/>
    <cellStyle name="Percent 2 2 2" xfId="2024"/>
    <cellStyle name="Percent 2 20" xfId="2025"/>
    <cellStyle name="Percent 2 20 2" xfId="2026"/>
    <cellStyle name="Percent 2 21" xfId="2027"/>
    <cellStyle name="Percent 2 3" xfId="2028"/>
    <cellStyle name="Percent 2 3 2" xfId="2029"/>
    <cellStyle name="Percent 2 3 2 2" xfId="2030"/>
    <cellStyle name="Percent 2 3 2 2 2" xfId="2031"/>
    <cellStyle name="Percent 2 3 2 3" xfId="2032"/>
    <cellStyle name="Percent 2 3 2 3 2" xfId="2033"/>
    <cellStyle name="Percent 2 3 2 4" xfId="2034"/>
    <cellStyle name="Percent 2 3 2 5" xfId="2035"/>
    <cellStyle name="Percent 2 3 3" xfId="2036"/>
    <cellStyle name="Percent 2 3 3 2" xfId="2037"/>
    <cellStyle name="Percent 2 3 4" xfId="2038"/>
    <cellStyle name="Percent 2 3 4 2" xfId="2039"/>
    <cellStyle name="Percent 2 3 5" xfId="2040"/>
    <cellStyle name="Percent 2 3 6" xfId="2041"/>
    <cellStyle name="Percent 2 4" xfId="2042"/>
    <cellStyle name="Percent 2 4 2" xfId="2043"/>
    <cellStyle name="Percent 2 4 2 2" xfId="2044"/>
    <cellStyle name="Percent 2 4 3" xfId="2045"/>
    <cellStyle name="Percent 2 4 3 2" xfId="2046"/>
    <cellStyle name="Percent 2 4 4" xfId="2047"/>
    <cellStyle name="Percent 2 4 5" xfId="2048"/>
    <cellStyle name="Percent 2 5" xfId="2049"/>
    <cellStyle name="Percent 2 5 2" xfId="2050"/>
    <cellStyle name="Percent 2 5 2 2" xfId="2051"/>
    <cellStyle name="Percent 2 5 3" xfId="2052"/>
    <cellStyle name="Percent 2 5 3 2" xfId="2053"/>
    <cellStyle name="Percent 2 5 4" xfId="2054"/>
    <cellStyle name="Percent 2 5 5" xfId="2055"/>
    <cellStyle name="Percent 2 6" xfId="2056"/>
    <cellStyle name="Percent 2 6 2" xfId="2057"/>
    <cellStyle name="Percent 2 6 2 2" xfId="2058"/>
    <cellStyle name="Percent 2 6 3" xfId="2059"/>
    <cellStyle name="Percent 2 6 3 2" xfId="2060"/>
    <cellStyle name="Percent 2 6 4" xfId="2061"/>
    <cellStyle name="Percent 2 6 5" xfId="2062"/>
    <cellStyle name="Percent 2 7" xfId="2063"/>
    <cellStyle name="Percent 2 7 2" xfId="2064"/>
    <cellStyle name="Percent 2 7 2 2" xfId="2065"/>
    <cellStyle name="Percent 2 7 2 2 2" xfId="2066"/>
    <cellStyle name="Percent 2 7 2 3" xfId="2067"/>
    <cellStyle name="Percent 2 7 2 3 2" xfId="2068"/>
    <cellStyle name="Percent 2 7 2 4" xfId="2069"/>
    <cellStyle name="Percent 2 7 2 4 2" xfId="2070"/>
    <cellStyle name="Percent 2 7 3" xfId="2071"/>
    <cellStyle name="Percent 2 7 4" xfId="2072"/>
    <cellStyle name="Percent 2 7 5" xfId="2073"/>
    <cellStyle name="Percent 2 7 5 2" xfId="2074"/>
    <cellStyle name="Percent 2 7 6" xfId="2075"/>
    <cellStyle name="Percent 2 7 6 2" xfId="2076"/>
    <cellStyle name="Percent 2 7 7" xfId="2077"/>
    <cellStyle name="Percent 2 8" xfId="2078"/>
    <cellStyle name="Percent 2 8 2" xfId="2079"/>
    <cellStyle name="Percent 2 8 2 2" xfId="2080"/>
    <cellStyle name="Percent 2 8 3" xfId="2081"/>
    <cellStyle name="Percent 2 8 3 2" xfId="2082"/>
    <cellStyle name="Percent 2 8 4" xfId="2083"/>
    <cellStyle name="Percent 2 8 5" xfId="2084"/>
    <cellStyle name="Percent 2 9" xfId="2085"/>
    <cellStyle name="Percent 2 9 2" xfId="2086"/>
    <cellStyle name="Percent 3" xfId="2087"/>
    <cellStyle name="Percent 3 2" xfId="2088"/>
    <cellStyle name="Percent 3 3" xfId="2089"/>
    <cellStyle name="Percent 4" xfId="2090"/>
    <cellStyle name="Percent 5" xfId="2091"/>
    <cellStyle name="Percent 5 2" xfId="2092"/>
    <cellStyle name="Percent 6" xfId="2093"/>
    <cellStyle name="Percent 6 2" xfId="2094"/>
    <cellStyle name="Percent 7" xfId="2095"/>
    <cellStyle name="Percent 7 2" xfId="2096"/>
    <cellStyle name="Percent 7 2 2" xfId="2097"/>
    <cellStyle name="Percent 7 3" xfId="2098"/>
    <cellStyle name="Percent 7 3 2" xfId="2099"/>
    <cellStyle name="Percent 7 4" xfId="2100"/>
    <cellStyle name="Percent 7 5" xfId="2101"/>
    <cellStyle name="Percent 8" xfId="2102"/>
    <cellStyle name="Percent 8 2" xfId="2103"/>
    <cellStyle name="Percent 8 2 2" xfId="2104"/>
    <cellStyle name="Percent 8 3" xfId="2105"/>
    <cellStyle name="Percent 8 3 2" xfId="2106"/>
    <cellStyle name="Percent 8 4" xfId="2107"/>
    <cellStyle name="Percent 8 5" xfId="2108"/>
    <cellStyle name="PERCENT 9" xfId="2109"/>
    <cellStyle name="Percentagem 10" xfId="2111"/>
    <cellStyle name="Percentagem 10 2" xfId="2112"/>
    <cellStyle name="Percentagem 10 2 2" xfId="2113"/>
    <cellStyle name="Percentagem 10 3" xfId="2114"/>
    <cellStyle name="Percentagem 10 3 2" xfId="2115"/>
    <cellStyle name="Percentagem 10 4" xfId="2116"/>
    <cellStyle name="Percentagem 10 5" xfId="2117"/>
    <cellStyle name="Percentagem 11" xfId="2118"/>
    <cellStyle name="Percentagem 11 2" xfId="2119"/>
    <cellStyle name="Percentagem 11 2 2" xfId="2120"/>
    <cellStyle name="Percentagem 11 2 2 2" xfId="2121"/>
    <cellStyle name="Percentagem 11 2 3" xfId="2122"/>
    <cellStyle name="Percentagem 11 2 3 2" xfId="2123"/>
    <cellStyle name="Percentagem 11 2 4" xfId="2124"/>
    <cellStyle name="Percentagem 11 2 5" xfId="2125"/>
    <cellStyle name="Percentagem 11 3" xfId="2126"/>
    <cellStyle name="Percentagem 11 3 2" xfId="2127"/>
    <cellStyle name="Percentagem 11 4" xfId="2128"/>
    <cellStyle name="Percentagem 11 4 2" xfId="2129"/>
    <cellStyle name="Percentagem 11 5" xfId="2130"/>
    <cellStyle name="Percentagem 11 6" xfId="2131"/>
    <cellStyle name="Percentagem 12" xfId="2132"/>
    <cellStyle name="Percentagem 13" xfId="2133"/>
    <cellStyle name="Percentagem 13 2" xfId="2134"/>
    <cellStyle name="Percentagem 14" xfId="2135"/>
    <cellStyle name="Percentagem 14 2" xfId="2136"/>
    <cellStyle name="Percentagem 14 2 2" xfId="2137"/>
    <cellStyle name="Percentagem 14 3" xfId="2138"/>
    <cellStyle name="Percentagem 2" xfId="2139"/>
    <cellStyle name="Percentagem 2 10" xfId="2140"/>
    <cellStyle name="Percentagem 2 11" xfId="2141"/>
    <cellStyle name="Percentagem 2 12" xfId="2142"/>
    <cellStyle name="Percentagem 2 12 2" xfId="2143"/>
    <cellStyle name="Percentagem 2 2" xfId="2144"/>
    <cellStyle name="Percentagem 2 2 2" xfId="2145"/>
    <cellStyle name="Percentagem 2 2 2 2" xfId="2146"/>
    <cellStyle name="Percentagem 2 2 3" xfId="2147"/>
    <cellStyle name="Percentagem 2 2 3 2" xfId="2148"/>
    <cellStyle name="Percentagem 2 2 3 3" xfId="2149"/>
    <cellStyle name="Percentagem 2 2 4" xfId="2150"/>
    <cellStyle name="Percentagem 2 2 4 2" xfId="2151"/>
    <cellStyle name="Percentagem 2 2 5" xfId="2152"/>
    <cellStyle name="Percentagem 2 2 6" xfId="2153"/>
    <cellStyle name="Percentagem 2 3" xfId="2154"/>
    <cellStyle name="Percentagem 2 4" xfId="2155"/>
    <cellStyle name="Percentagem 2 5" xfId="2156"/>
    <cellStyle name="Percentagem 2 6" xfId="2157"/>
    <cellStyle name="Percentagem 2 7" xfId="2158"/>
    <cellStyle name="Percentagem 2 8" xfId="2159"/>
    <cellStyle name="Percentagem 2 9" xfId="2160"/>
    <cellStyle name="Percentagem 3" xfId="2161"/>
    <cellStyle name="Percentagem 3 2" xfId="2162"/>
    <cellStyle name="Percentagem 4" xfId="2163"/>
    <cellStyle name="Percentagem 4 10" xfId="2164"/>
    <cellStyle name="Percentagem 4 10 2" xfId="2165"/>
    <cellStyle name="Percentagem 4 2" xfId="2166"/>
    <cellStyle name="Percentagem 4 2 2" xfId="2167"/>
    <cellStyle name="Percentagem 4 2 2 2" xfId="2168"/>
    <cellStyle name="Percentagem 4 2 2 2 2" xfId="2169"/>
    <cellStyle name="Percentagem 4 2 2 3" xfId="2170"/>
    <cellStyle name="Percentagem 4 2 2 4" xfId="2171"/>
    <cellStyle name="Percentagem 4 2 3" xfId="2172"/>
    <cellStyle name="Percentagem 4 3" xfId="2173"/>
    <cellStyle name="Percentagem 4 3 2" xfId="2174"/>
    <cellStyle name="Percentagem 4 4" xfId="2175"/>
    <cellStyle name="Percentagem 4 4 2" xfId="2176"/>
    <cellStyle name="Percentagem 4 5" xfId="2177"/>
    <cellStyle name="Percentagem 4 5 2" xfId="2178"/>
    <cellStyle name="Percentagem 4 6" xfId="2179"/>
    <cellStyle name="Percentagem 4 6 2" xfId="2180"/>
    <cellStyle name="Percentagem 4 7" xfId="2181"/>
    <cellStyle name="Percentagem 4 7 2" xfId="2182"/>
    <cellStyle name="Percentagem 4 8" xfId="2183"/>
    <cellStyle name="Percentagem 4 8 2" xfId="2184"/>
    <cellStyle name="Percentagem 4 9" xfId="2185"/>
    <cellStyle name="Percentagem 4 9 2" xfId="2186"/>
    <cellStyle name="Percentagem 5" xfId="2187"/>
    <cellStyle name="Percentagem 5 10" xfId="2188"/>
    <cellStyle name="Percentagem 5 10 2" xfId="2189"/>
    <cellStyle name="Percentagem 5 11" xfId="2190"/>
    <cellStyle name="Percentagem 5 11 2" xfId="2191"/>
    <cellStyle name="Percentagem 5 12" xfId="2192"/>
    <cellStyle name="Percentagem 5 12 2" xfId="2193"/>
    <cellStyle name="Percentagem 5 13" xfId="2194"/>
    <cellStyle name="Percentagem 5 2" xfId="2195"/>
    <cellStyle name="Percentagem 5 2 2" xfId="2196"/>
    <cellStyle name="Percentagem 5 2 2 2" xfId="2197"/>
    <cellStyle name="Percentagem 5 2 3" xfId="2198"/>
    <cellStyle name="Percentagem 5 2 3 2" xfId="2199"/>
    <cellStyle name="Percentagem 5 2 4" xfId="2200"/>
    <cellStyle name="Percentagem 5 2 5" xfId="2201"/>
    <cellStyle name="Percentagem 5 3" xfId="2202"/>
    <cellStyle name="Percentagem 5 3 2" xfId="2203"/>
    <cellStyle name="Percentagem 5 4" xfId="2204"/>
    <cellStyle name="Percentagem 5 4 2" xfId="2205"/>
    <cellStyle name="Percentagem 5 5" xfId="2206"/>
    <cellStyle name="Percentagem 5 5 2" xfId="2207"/>
    <cellStyle name="Percentagem 5 6" xfId="2208"/>
    <cellStyle name="Percentagem 5 6 2" xfId="2209"/>
    <cellStyle name="Percentagem 5 7" xfId="2210"/>
    <cellStyle name="Percentagem 5 7 2" xfId="2211"/>
    <cellStyle name="Percentagem 5 8" xfId="2212"/>
    <cellStyle name="Percentagem 5 8 2" xfId="2213"/>
    <cellStyle name="Percentagem 5 9" xfId="2214"/>
    <cellStyle name="Percentagem 5 9 2" xfId="2215"/>
    <cellStyle name="Percentagem 6" xfId="2216"/>
    <cellStyle name="Percentagem 6 2" xfId="2217"/>
    <cellStyle name="Percentagem 6 3" xfId="2218"/>
    <cellStyle name="Percentagem 6 3 2" xfId="2219"/>
    <cellStyle name="Percentagem 6 3 2 2" xfId="2220"/>
    <cellStyle name="Percentagem 6 3 3" xfId="2221"/>
    <cellStyle name="Percentagem 6 4" xfId="2222"/>
    <cellStyle name="Percentagem 6 4 2" xfId="2223"/>
    <cellStyle name="Percentagem 6 5" xfId="2224"/>
    <cellStyle name="Percentagem 6 6" xfId="2225"/>
    <cellStyle name="Percentagem 7" xfId="2226"/>
    <cellStyle name="Percentagem 7 2" xfId="2227"/>
    <cellStyle name="Percentagem 7 2 2" xfId="2228"/>
    <cellStyle name="Percentagem 7 3" xfId="2229"/>
    <cellStyle name="Percentagem 7 3 2" xfId="2230"/>
    <cellStyle name="Percentagem 7 4" xfId="2231"/>
    <cellStyle name="Percentagem 7 5" xfId="2232"/>
    <cellStyle name="Percentagem 8" xfId="2233"/>
    <cellStyle name="Percentagem 8 2" xfId="2234"/>
    <cellStyle name="Percentagem 8 2 2" xfId="2235"/>
    <cellStyle name="Percentagem 8 3" xfId="2236"/>
    <cellStyle name="Percentagem 8 3 2" xfId="2237"/>
    <cellStyle name="Percentagem 8 4" xfId="2238"/>
    <cellStyle name="Percentagem 8 5" xfId="2239"/>
    <cellStyle name="Percentagem 9" xfId="2240"/>
    <cellStyle name="Percentagem 9 2" xfId="2241"/>
    <cellStyle name="Percentagem 9 2 2" xfId="2242"/>
    <cellStyle name="Percentagem 9 2 2 2" xfId="2243"/>
    <cellStyle name="Percentagem 9 2 3" xfId="2244"/>
    <cellStyle name="Percentagem 9 2 3 2" xfId="2245"/>
    <cellStyle name="Percentagem 9 2 4" xfId="2246"/>
    <cellStyle name="Percentagem 9 2 5" xfId="2247"/>
    <cellStyle name="Percentagem 9 3" xfId="2248"/>
    <cellStyle name="Percentagem 9 3 2" xfId="2249"/>
    <cellStyle name="Percentagem 9 4" xfId="2250"/>
    <cellStyle name="Percentagem 9 4 2" xfId="2251"/>
    <cellStyle name="Percentagem 9 5" xfId="2252"/>
    <cellStyle name="Percentagem 9 6" xfId="2253"/>
    <cellStyle name="PercentSales" xfId="2254"/>
    <cellStyle name="PercentSales 2" xfId="2255"/>
    <cellStyle name="PrePop Currency (0)" xfId="2256"/>
    <cellStyle name="PrePop Currency (2)" xfId="2257"/>
    <cellStyle name="PrePop Units (0)" xfId="2258"/>
    <cellStyle name="PrePop Units (1)" xfId="2259"/>
    <cellStyle name="PrePop Units (2)" xfId="2260"/>
    <cellStyle name="Ratio" xfId="2261"/>
    <cellStyle name="Red font" xfId="2262"/>
    <cellStyle name="RInfo" xfId="2263"/>
    <cellStyle name="Saída 2" xfId="2264"/>
    <cellStyle name="Saída 2 2" xfId="2265"/>
    <cellStyle name="Saída 2 3" xfId="2266"/>
    <cellStyle name="Saída 2 4" xfId="2267"/>
    <cellStyle name="Saída 2 5" xfId="2268"/>
    <cellStyle name="Saída 2 6" xfId="2269"/>
    <cellStyle name="Saída 3" xfId="2270"/>
    <cellStyle name="Saída 4" xfId="2271"/>
    <cellStyle name="Sheet Title" xfId="2272"/>
    <cellStyle name="sombreado" xfId="2273"/>
    <cellStyle name="sombreado 2" xfId="2274"/>
    <cellStyle name="Standard_WBBasis" xfId="2275"/>
    <cellStyle name="Style 1" xfId="2276"/>
    <cellStyle name="Style 1 2" xfId="2277"/>
    <cellStyle name="Style 1 2 2" xfId="2278"/>
    <cellStyle name="Style 1 2 2 2" xfId="2279"/>
    <cellStyle name="Style 1 2 3" xfId="2280"/>
    <cellStyle name="Style 1 2 3 2" xfId="2281"/>
    <cellStyle name="Style 1 2 4" xfId="2282"/>
    <cellStyle name="Style 1 2 4 2" xfId="2283"/>
    <cellStyle name="Style 1 2 5" xfId="2284"/>
    <cellStyle name="Style 1 3" xfId="2285"/>
    <cellStyle name="Style 1 3 2" xfId="2286"/>
    <cellStyle name="Style 1 4" xfId="2287"/>
    <cellStyle name="Style 1 4 2" xfId="2288"/>
    <cellStyle name="Style 1 5" xfId="2289"/>
    <cellStyle name="Text Indent A" xfId="2290"/>
    <cellStyle name="Text Indent B" xfId="2291"/>
    <cellStyle name="Text Indent C" xfId="2292"/>
    <cellStyle name="Texto de Aviso 10" xfId="2293"/>
    <cellStyle name="Texto de Aviso 10 2" xfId="2294"/>
    <cellStyle name="Texto de Aviso 11" xfId="2295"/>
    <cellStyle name="Texto de Aviso 11 2" xfId="2296"/>
    <cellStyle name="Texto de Aviso 2" xfId="2297"/>
    <cellStyle name="Texto de Aviso 2 10" xfId="2298"/>
    <cellStyle name="Texto de Aviso 2 11" xfId="2299"/>
    <cellStyle name="Texto de Aviso 2 2" xfId="2300"/>
    <cellStyle name="Texto de Aviso 2 3" xfId="2301"/>
    <cellStyle name="Texto de Aviso 2 4" xfId="2302"/>
    <cellStyle name="Texto de Aviso 2 5" xfId="2303"/>
    <cellStyle name="Texto de Aviso 2 6" xfId="2304"/>
    <cellStyle name="Texto de Aviso 2 7" xfId="2305"/>
    <cellStyle name="Texto de Aviso 2 8" xfId="2306"/>
    <cellStyle name="Texto de Aviso 2 9" xfId="2307"/>
    <cellStyle name="Texto de Aviso 2_DGO" xfId="2308"/>
    <cellStyle name="Texto de Aviso 3" xfId="2309"/>
    <cellStyle name="Texto de Aviso 4" xfId="2310"/>
    <cellStyle name="Texto de Aviso 5" xfId="2311"/>
    <cellStyle name="Texto de Aviso 5 2" xfId="2312"/>
    <cellStyle name="Texto de Aviso 6" xfId="2313"/>
    <cellStyle name="Texto de Aviso 6 2" xfId="2314"/>
    <cellStyle name="Texto de Aviso 7" xfId="2315"/>
    <cellStyle name="Texto de Aviso 7 2" xfId="2316"/>
    <cellStyle name="Texto de Aviso 8" xfId="2317"/>
    <cellStyle name="Texto de Aviso 8 2" xfId="2318"/>
    <cellStyle name="Texto de Aviso 9" xfId="2319"/>
    <cellStyle name="Texto de Aviso 9 2" xfId="2320"/>
    <cellStyle name="Texto Explicativo 2" xfId="2321"/>
    <cellStyle name="Texto Explicativo 3" xfId="2322"/>
    <cellStyle name="Texto Explicativo 4" xfId="2323"/>
    <cellStyle name="Title" xfId="2324"/>
    <cellStyle name="Title 1" xfId="2325"/>
    <cellStyle name="Title 3" xfId="2326"/>
    <cellStyle name="Title 4" xfId="2327"/>
    <cellStyle name="Title_Saldos" xfId="2328"/>
    <cellStyle name="Titulo" xfId="2329"/>
    <cellStyle name="Título 1" xfId="2330"/>
    <cellStyle name="Título 2" xfId="2331"/>
    <cellStyle name="Título 3" xfId="2332"/>
    <cellStyle name="Título 4" xfId="2333"/>
    <cellStyle name="Total 10" xfId="2334"/>
    <cellStyle name="Total 11" xfId="2335"/>
    <cellStyle name="Total 12" xfId="2336"/>
    <cellStyle name="Total 13" xfId="2337"/>
    <cellStyle name="Total 14" xfId="2338"/>
    <cellStyle name="Total 15" xfId="2339"/>
    <cellStyle name="Total 16" xfId="2340"/>
    <cellStyle name="Total 17" xfId="2341"/>
    <cellStyle name="Total 18" xfId="2342"/>
    <cellStyle name="Total 2" xfId="2343"/>
    <cellStyle name="Total 2 10" xfId="2344"/>
    <cellStyle name="Total 2 11" xfId="2345"/>
    <cellStyle name="Total 2 12" xfId="2346"/>
    <cellStyle name="Total 2 13" xfId="2347"/>
    <cellStyle name="Total 2 2" xfId="2348"/>
    <cellStyle name="Total 2 2 2" xfId="2349"/>
    <cellStyle name="Total 2 2 3" xfId="2350"/>
    <cellStyle name="Total 2 3" xfId="2351"/>
    <cellStyle name="Total 2 4" xfId="2352"/>
    <cellStyle name="Total 2 5" xfId="2353"/>
    <cellStyle name="Total 2 6" xfId="2354"/>
    <cellStyle name="Total 2 7" xfId="2355"/>
    <cellStyle name="Total 2 8" xfId="2356"/>
    <cellStyle name="Total 2 9" xfId="2357"/>
    <cellStyle name="Total 2_DGO" xfId="2358"/>
    <cellStyle name="Total 3" xfId="2359"/>
    <cellStyle name="Total 4" xfId="2360"/>
    <cellStyle name="Total 5" xfId="2361"/>
    <cellStyle name="Total 6" xfId="2362"/>
    <cellStyle name="Total 7" xfId="2363"/>
    <cellStyle name="Total 8" xfId="2364"/>
    <cellStyle name="Total 9" xfId="2365"/>
    <cellStyle name="Verificar Célula 2" xfId="2366"/>
    <cellStyle name="Verificar Célula 3" xfId="2367"/>
    <cellStyle name="Verificar Célula 4" xfId="2368"/>
    <cellStyle name="Vírgula 10" xfId="2370"/>
    <cellStyle name="Vírgula 10 2" xfId="2371"/>
    <cellStyle name="Vírgula 11" xfId="2372"/>
    <cellStyle name="Vírgula 11 2" xfId="2373"/>
    <cellStyle name="Vírgula 12" xfId="2374"/>
    <cellStyle name="Vírgula 12 2" xfId="2375"/>
    <cellStyle name="Vírgula 12 2 2" xfId="2376"/>
    <cellStyle name="Vírgula 12 3" xfId="2377"/>
    <cellStyle name="Vírgula 12 3 2" xfId="2378"/>
    <cellStyle name="Vírgula 12 4" xfId="2379"/>
    <cellStyle name="Vírgula 12 5" xfId="2380"/>
    <cellStyle name="Vírgula 13" xfId="2381"/>
    <cellStyle name="Vírgula 13 2" xfId="2382"/>
    <cellStyle name="Vírgula 13 3" xfId="2383"/>
    <cellStyle name="Vírgula 14" xfId="2384"/>
    <cellStyle name="Vírgula 14 2" xfId="2385"/>
    <cellStyle name="Vírgula 14 3" xfId="2386"/>
    <cellStyle name="Vírgula 15" xfId="2387"/>
    <cellStyle name="Vírgula 2" xfId="2388"/>
    <cellStyle name="Vírgula 2 10" xfId="2389"/>
    <cellStyle name="Vírgula 2 10 2" xfId="2390"/>
    <cellStyle name="Vírgula 2 11" xfId="2391"/>
    <cellStyle name="Vírgula 2 11 2" xfId="2392"/>
    <cellStyle name="Vírgula 2 12" xfId="2393"/>
    <cellStyle name="Vírgula 2 12 2" xfId="2394"/>
    <cellStyle name="Vírgula 2 13" xfId="2395"/>
    <cellStyle name="Vírgula 2 2" xfId="2396"/>
    <cellStyle name="Vírgula 2 2 2" xfId="2397"/>
    <cellStyle name="Vírgula 2 2 3" xfId="2398"/>
    <cellStyle name="Vírgula 2 2 3 2" xfId="2399"/>
    <cellStyle name="Vírgula 2 2 4" xfId="2400"/>
    <cellStyle name="Vírgula 2 2 4 2" xfId="2401"/>
    <cellStyle name="Vírgula 2 2 5" xfId="2402"/>
    <cellStyle name="Vírgula 2 2 5 2" xfId="2403"/>
    <cellStyle name="Vírgula 2 2 6" xfId="2404"/>
    <cellStyle name="Vírgula 2 2 6 2" xfId="2405"/>
    <cellStyle name="Vírgula 2 2 7" xfId="2406"/>
    <cellStyle name="Vírgula 2 2 7 2" xfId="2407"/>
    <cellStyle name="Vírgula 2 2 8" xfId="2408"/>
    <cellStyle name="Vírgula 2 2 8 2" xfId="2409"/>
    <cellStyle name="Vírgula 2 2 9" xfId="2410"/>
    <cellStyle name="Vírgula 2 3" xfId="2411"/>
    <cellStyle name="Vírgula 2 3 2" xfId="2412"/>
    <cellStyle name="Vírgula 2 4" xfId="2413"/>
    <cellStyle name="Vírgula 2 4 2" xfId="2414"/>
    <cellStyle name="Vírgula 2 4 2 2" xfId="2415"/>
    <cellStyle name="Vírgula 2 4 2 2 2" xfId="2416"/>
    <cellStyle name="Vírgula 2 4 2 3" xfId="2417"/>
    <cellStyle name="Vírgula 2 4 2 4" xfId="2418"/>
    <cellStyle name="Vírgula 2 4 3" xfId="2419"/>
    <cellStyle name="Vírgula 2 5" xfId="2420"/>
    <cellStyle name="Vírgula 2 5 2" xfId="2421"/>
    <cellStyle name="Vírgula 2 6" xfId="2422"/>
    <cellStyle name="Vírgula 2 6 2" xfId="2423"/>
    <cellStyle name="Vírgula 2 7" xfId="2424"/>
    <cellStyle name="Vírgula 2 7 2" xfId="2425"/>
    <cellStyle name="Vírgula 2 8" xfId="2426"/>
    <cellStyle name="Vírgula 2 8 2" xfId="2427"/>
    <cellStyle name="Vírgula 2 9" xfId="2428"/>
    <cellStyle name="Vírgula 2 9 2" xfId="2429"/>
    <cellStyle name="Vírgula 3" xfId="2430"/>
    <cellStyle name="Vírgula 3 2" xfId="2431"/>
    <cellStyle name="Vírgula 3 2 2" xfId="2432"/>
    <cellStyle name="Vírgula 3 2 2 2" xfId="2433"/>
    <cellStyle name="Vírgula 3 2 3" xfId="2434"/>
    <cellStyle name="Vírgula 3 3" xfId="2435"/>
    <cellStyle name="Vírgula 3 3 2" xfId="2436"/>
    <cellStyle name="Vírgula 3 4" xfId="2437"/>
    <cellStyle name="Vírgula 3 4 2" xfId="2438"/>
    <cellStyle name="Vírgula 3 5" xfId="2439"/>
    <cellStyle name="Vírgula 4" xfId="2440"/>
    <cellStyle name="Vírgula 4 2" xfId="2441"/>
    <cellStyle name="Vírgula 4 2 2" xfId="2442"/>
    <cellStyle name="Vírgula 4 3" xfId="2443"/>
    <cellStyle name="Vírgula 4 3 2" xfId="2444"/>
    <cellStyle name="Vírgula 4 4" xfId="2445"/>
    <cellStyle name="Vírgula 5" xfId="2446"/>
    <cellStyle name="Vírgula 5 2" xfId="2447"/>
    <cellStyle name="Vírgula 5 2 2" xfId="2448"/>
    <cellStyle name="Vírgula 5 3" xfId="2449"/>
    <cellStyle name="Vírgula 5 4" xfId="2450"/>
    <cellStyle name="Vírgula 6" xfId="2451"/>
    <cellStyle name="Vírgula 6 2" xfId="2452"/>
    <cellStyle name="Vírgula 6 2 2" xfId="2453"/>
    <cellStyle name="Vírgula 6 3" xfId="2454"/>
    <cellStyle name="Vírgula 6 3 2" xfId="2455"/>
    <cellStyle name="Vírgula 6 4" xfId="2456"/>
    <cellStyle name="Vírgula 6 4 2" xfId="2457"/>
    <cellStyle name="Vírgula 6 4 2 2" xfId="2458"/>
    <cellStyle name="Vírgula 6 4 3" xfId="2459"/>
    <cellStyle name="Vírgula 6 4 4" xfId="2460"/>
    <cellStyle name="Vírgula 6 5" xfId="2461"/>
    <cellStyle name="Vírgula 6 5 2" xfId="2462"/>
    <cellStyle name="Vírgula 6 6" xfId="2463"/>
    <cellStyle name="Vírgula 6 6 2" xfId="2464"/>
    <cellStyle name="Vírgula 6 7" xfId="2465"/>
    <cellStyle name="Vírgula 7" xfId="2466"/>
    <cellStyle name="Vírgula 7 2" xfId="2467"/>
    <cellStyle name="Vírgula 8" xfId="2468"/>
    <cellStyle name="Vírgula 8 2" xfId="2469"/>
    <cellStyle name="Vírgula 8 2 2" xfId="2470"/>
    <cellStyle name="Vírgula 8 3" xfId="2471"/>
    <cellStyle name="Vírgula 9" xfId="2472"/>
    <cellStyle name="Vírgula 9 2" xfId="2473"/>
    <cellStyle name="Vírgula 9 2 2" xfId="2474"/>
    <cellStyle name="Vírgula 9 3" xfId="24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trlProps/ctrlProp1.xml><?xml version="1.0" encoding="utf-8"?>
<formControlPr xmlns="http://schemas.microsoft.com/office/spreadsheetml/2009/9/main" objectType="Drop" dropLines="5" dropStyle="combo" dx="15" fmlaLink="$Z$1" fmlaRange="$Y$1:$Y$2" sel="2"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Indice_index!A1"/></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Indice_index!A1"/></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Indice_index!A1"/></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Indice_index!A1"/></Relationships>
</file>

<file path=xl/drawings/_rels/drawing7.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Indice_index!A1"/></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Indice_index!A1"/></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25400</xdr:colOff>
      <xdr:row>0</xdr:row>
      <xdr:rowOff>0</xdr:rowOff>
    </xdr:from>
    <xdr:to>
      <xdr:col>11</xdr:col>
      <xdr:colOff>774700</xdr:colOff>
      <xdr:row>53</xdr:row>
      <xdr:rowOff>254000</xdr:rowOff>
    </xdr:to>
    <xdr:pic>
      <xdr:nvPicPr>
        <xdr:cNvPr id="1025" name="Imagem 1">
          <a:extLst>
            <a:ext uri="{FF2B5EF4-FFF2-40B4-BE49-F238E27FC236}">
              <a16:creationId xmlns:a16="http://schemas.microsoft.com/office/drawing/2014/main" id="{E630D91C-F6F6-2043-B5F4-6365AC030F4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400" y="0"/>
          <a:ext cx="8432800" cy="1035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400050</xdr:colOff>
      <xdr:row>15</xdr:row>
      <xdr:rowOff>31750</xdr:rowOff>
    </xdr:from>
    <xdr:to>
      <xdr:col>11</xdr:col>
      <xdr:colOff>523929</xdr:colOff>
      <xdr:row>16</xdr:row>
      <xdr:rowOff>127000</xdr:rowOff>
    </xdr:to>
    <xdr:sp macro="" textlink="">
      <xdr:nvSpPr>
        <xdr:cNvPr id="3" name="CaixaDeTexto 2">
          <a:extLst>
            <a:ext uri="{FF2B5EF4-FFF2-40B4-BE49-F238E27FC236}">
              <a16:creationId xmlns:a16="http://schemas.microsoft.com/office/drawing/2014/main" id="{CEA296A4-3DBC-4241-B8C1-B0BA4F428E6D}"/>
            </a:ext>
          </a:extLst>
        </xdr:cNvPr>
        <xdr:cNvSpPr txBox="1"/>
      </xdr:nvSpPr>
      <xdr:spPr>
        <a:xfrm>
          <a:off x="5175250" y="2889250"/>
          <a:ext cx="192087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PT" sz="2000" i="1">
              <a:solidFill>
                <a:schemeClr val="bg1"/>
              </a:solidFill>
            </a:rPr>
            <a:t>September 2018</a:t>
          </a:r>
        </a:p>
      </xdr:txBody>
    </xdr:sp>
    <xdr:clientData/>
  </xdr:twoCellAnchor>
  <xdr:twoCellAnchor>
    <xdr:from>
      <xdr:col>1</xdr:col>
      <xdr:colOff>415925</xdr:colOff>
      <xdr:row>5</xdr:row>
      <xdr:rowOff>15875</xdr:rowOff>
    </xdr:from>
    <xdr:to>
      <xdr:col>9</xdr:col>
      <xdr:colOff>76177</xdr:colOff>
      <xdr:row>13</xdr:row>
      <xdr:rowOff>158750</xdr:rowOff>
    </xdr:to>
    <xdr:sp macro="" textlink="">
      <xdr:nvSpPr>
        <xdr:cNvPr id="4" name="CaixaDeTexto 3">
          <a:extLst>
            <a:ext uri="{FF2B5EF4-FFF2-40B4-BE49-F238E27FC236}">
              <a16:creationId xmlns:a16="http://schemas.microsoft.com/office/drawing/2014/main" id="{19B680E0-9AEC-DA4C-B548-C11A3FC86A51}"/>
            </a:ext>
          </a:extLst>
        </xdr:cNvPr>
        <xdr:cNvSpPr txBox="1"/>
      </xdr:nvSpPr>
      <xdr:spPr>
        <a:xfrm>
          <a:off x="974725" y="968375"/>
          <a:ext cx="4575175" cy="166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lnSpc>
              <a:spcPts val="3700"/>
            </a:lnSpc>
          </a:pPr>
          <a:r>
            <a:rPr lang="pt-PT" sz="3200" b="1" i="1">
              <a:solidFill>
                <a:srgbClr val="002060"/>
              </a:solidFill>
              <a:effectLst/>
              <a:latin typeface="+mn-lt"/>
              <a:ea typeface="+mn-ea"/>
              <a:cs typeface="+mn-cs"/>
            </a:rPr>
            <a:t>Complementary </a:t>
          </a:r>
          <a:endParaRPr lang="pt-PT" sz="3200" b="1" i="1">
            <a:solidFill>
              <a:srgbClr val="002060"/>
            </a:solidFill>
            <a:effectLst/>
          </a:endParaRPr>
        </a:p>
        <a:p>
          <a:pPr eaLnBrk="1" fontAlgn="auto" latinLnBrk="0" hangingPunct="1">
            <a:lnSpc>
              <a:spcPts val="3800"/>
            </a:lnSpc>
          </a:pPr>
          <a:r>
            <a:rPr lang="pt-PT" sz="3200" b="1" i="1">
              <a:solidFill>
                <a:srgbClr val="002060"/>
              </a:solidFill>
              <a:effectLst/>
              <a:latin typeface="+mn-lt"/>
              <a:ea typeface="+mn-ea"/>
              <a:cs typeface="+mn-cs"/>
            </a:rPr>
            <a:t>Statistics Information</a:t>
          </a:r>
          <a:endParaRPr lang="pt-PT" sz="3200" b="1" i="1">
            <a:solidFill>
              <a:srgbClr val="002060"/>
            </a:solidFill>
            <a:effectLst/>
          </a:endParaRPr>
        </a:p>
        <a:p>
          <a:pPr marL="0" marR="0" indent="0" algn="l" defTabSz="914400" eaLnBrk="1" fontAlgn="auto" latinLnBrk="0" hangingPunct="1">
            <a:lnSpc>
              <a:spcPts val="3400"/>
            </a:lnSpc>
            <a:spcBef>
              <a:spcPts val="600"/>
            </a:spcBef>
            <a:spcAft>
              <a:spcPts val="0"/>
            </a:spcAft>
            <a:buClrTx/>
            <a:buSzTx/>
            <a:buFontTx/>
            <a:buNone/>
            <a:tabLst/>
            <a:defRPr/>
          </a:pPr>
          <a:r>
            <a:rPr lang="pt-PT" sz="2400" b="0" i="1" spc="20" baseline="0">
              <a:solidFill>
                <a:srgbClr val="002060"/>
              </a:solidFill>
              <a:effectLst/>
              <a:latin typeface="+mn-lt"/>
              <a:ea typeface="+mn-ea"/>
              <a:cs typeface="+mn-cs"/>
            </a:rPr>
            <a:t>Budget Outturn</a:t>
          </a:r>
        </a:p>
        <a:p>
          <a:pPr algn="l" eaLnBrk="1" fontAlgn="auto" latinLnBrk="0" hangingPunct="1">
            <a:lnSpc>
              <a:spcPts val="3700"/>
            </a:lnSpc>
          </a:pPr>
          <a:endParaRPr lang="pt-PT" sz="3200" b="1">
            <a:solidFill>
              <a:srgbClr val="00206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3200400</xdr:colOff>
          <xdr:row>0</xdr:row>
          <xdr:rowOff>292100</xdr:rowOff>
        </xdr:from>
        <xdr:to>
          <xdr:col>2</xdr:col>
          <xdr:colOff>6172200</xdr:colOff>
          <xdr:row>1</xdr:row>
          <xdr:rowOff>25400</xdr:rowOff>
        </xdr:to>
        <xdr:sp macro="" textlink="">
          <xdr:nvSpPr>
            <xdr:cNvPr id="4097" name="Drop Down 1" hidden="1">
              <a:extLst>
                <a:ext uri="{63B3BB69-23CF-44E3-9099-C40C66FF867C}">
                  <a14:compatExt spid="_x0000_s4097"/>
                </a:ext>
                <a:ext uri="{FF2B5EF4-FFF2-40B4-BE49-F238E27FC236}">
                  <a16:creationId xmlns:a16="http://schemas.microsoft.com/office/drawing/2014/main" id="{22951439-AAF7-AD46-BBE0-9C1D895ADE7A}"/>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13</xdr:col>
      <xdr:colOff>0</xdr:colOff>
      <xdr:row>1</xdr:row>
      <xdr:rowOff>0</xdr:rowOff>
    </xdr:from>
    <xdr:to>
      <xdr:col>13</xdr:col>
      <xdr:colOff>355600</xdr:colOff>
      <xdr:row>1</xdr:row>
      <xdr:rowOff>292100</xdr:rowOff>
    </xdr:to>
    <xdr:pic>
      <xdr:nvPicPr>
        <xdr:cNvPr id="5121" name="Imagem 1" descr="flecha054.gif">
          <a:hlinkClick xmlns:r="http://schemas.openxmlformats.org/officeDocument/2006/relationships" r:id="rId1"/>
          <a:extLst>
            <a:ext uri="{FF2B5EF4-FFF2-40B4-BE49-F238E27FC236}">
              <a16:creationId xmlns:a16="http://schemas.microsoft.com/office/drawing/2014/main" id="{1DF20BCE-358B-D74E-AC3C-AE6631B67A7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61600" y="139700"/>
          <a:ext cx="3556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21</xdr:col>
      <xdr:colOff>0</xdr:colOff>
      <xdr:row>4</xdr:row>
      <xdr:rowOff>0</xdr:rowOff>
    </xdr:from>
    <xdr:to>
      <xdr:col>21</xdr:col>
      <xdr:colOff>342900</xdr:colOff>
      <xdr:row>5</xdr:row>
      <xdr:rowOff>101600</xdr:rowOff>
    </xdr:to>
    <xdr:pic>
      <xdr:nvPicPr>
        <xdr:cNvPr id="6145" name="Imagem 2" descr="flecha054.gif">
          <a:hlinkClick xmlns:r="http://schemas.openxmlformats.org/officeDocument/2006/relationships" r:id="rId1"/>
          <a:extLst>
            <a:ext uri="{FF2B5EF4-FFF2-40B4-BE49-F238E27FC236}">
              <a16:creationId xmlns:a16="http://schemas.microsoft.com/office/drawing/2014/main" id="{1F4242D1-5AF9-D143-B2D2-A46805F7889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48100" y="787400"/>
          <a:ext cx="3429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26</xdr:col>
      <xdr:colOff>0</xdr:colOff>
      <xdr:row>4</xdr:row>
      <xdr:rowOff>0</xdr:rowOff>
    </xdr:from>
    <xdr:to>
      <xdr:col>26</xdr:col>
      <xdr:colOff>342900</xdr:colOff>
      <xdr:row>5</xdr:row>
      <xdr:rowOff>101600</xdr:rowOff>
    </xdr:to>
    <xdr:pic>
      <xdr:nvPicPr>
        <xdr:cNvPr id="7169" name="Imagem 2" descr="flecha054.gif">
          <a:hlinkClick xmlns:r="http://schemas.openxmlformats.org/officeDocument/2006/relationships" r:id="rId1"/>
          <a:extLst>
            <a:ext uri="{FF2B5EF4-FFF2-40B4-BE49-F238E27FC236}">
              <a16:creationId xmlns:a16="http://schemas.microsoft.com/office/drawing/2014/main" id="{9CA71C2D-B32C-884F-A618-711B38A8B35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812000" y="787400"/>
          <a:ext cx="3429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0</xdr:colOff>
      <xdr:row>0</xdr:row>
      <xdr:rowOff>12700</xdr:rowOff>
    </xdr:from>
    <xdr:to>
      <xdr:col>9</xdr:col>
      <xdr:colOff>342900</xdr:colOff>
      <xdr:row>0</xdr:row>
      <xdr:rowOff>317500</xdr:rowOff>
    </xdr:to>
    <xdr:pic>
      <xdr:nvPicPr>
        <xdr:cNvPr id="8193" name="Imagem 1" descr="flecha054.gif">
          <a:hlinkClick xmlns:r="http://schemas.openxmlformats.org/officeDocument/2006/relationships" r:id="rId1"/>
          <a:extLst>
            <a:ext uri="{FF2B5EF4-FFF2-40B4-BE49-F238E27FC236}">
              <a16:creationId xmlns:a16="http://schemas.microsoft.com/office/drawing/2014/main" id="{D5C256AD-D68F-6F4D-98E2-32B9728389C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499600" y="12700"/>
          <a:ext cx="3429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60</xdr:col>
      <xdr:colOff>0</xdr:colOff>
      <xdr:row>1</xdr:row>
      <xdr:rowOff>0</xdr:rowOff>
    </xdr:from>
    <xdr:to>
      <xdr:col>60</xdr:col>
      <xdr:colOff>342900</xdr:colOff>
      <xdr:row>2</xdr:row>
      <xdr:rowOff>63500</xdr:rowOff>
    </xdr:to>
    <xdr:pic>
      <xdr:nvPicPr>
        <xdr:cNvPr id="8194" name="Imagem 2" descr="flecha054.gif">
          <a:hlinkClick xmlns:r="http://schemas.openxmlformats.org/officeDocument/2006/relationships" r:id="rId1"/>
          <a:extLst>
            <a:ext uri="{FF2B5EF4-FFF2-40B4-BE49-F238E27FC236}">
              <a16:creationId xmlns:a16="http://schemas.microsoft.com/office/drawing/2014/main" id="{A58B63A8-593D-164C-8E26-D0EBF89B48C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782200" y="571500"/>
          <a:ext cx="342900" cy="31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26</xdr:col>
      <xdr:colOff>0</xdr:colOff>
      <xdr:row>1</xdr:row>
      <xdr:rowOff>0</xdr:rowOff>
    </xdr:from>
    <xdr:to>
      <xdr:col>26</xdr:col>
      <xdr:colOff>355600</xdr:colOff>
      <xdr:row>2</xdr:row>
      <xdr:rowOff>76200</xdr:rowOff>
    </xdr:to>
    <xdr:pic>
      <xdr:nvPicPr>
        <xdr:cNvPr id="9217" name="Imagem 2" descr="flecha054.gif">
          <a:hlinkClick xmlns:r="http://schemas.openxmlformats.org/officeDocument/2006/relationships" r:id="rId1"/>
          <a:extLst>
            <a:ext uri="{FF2B5EF4-FFF2-40B4-BE49-F238E27FC236}">
              <a16:creationId xmlns:a16="http://schemas.microsoft.com/office/drawing/2014/main" id="{05548E20-445A-3A46-8216-A6BED71499C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189700" y="177800"/>
          <a:ext cx="35560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0</xdr:colOff>
      <xdr:row>0</xdr:row>
      <xdr:rowOff>12700</xdr:rowOff>
    </xdr:from>
    <xdr:to>
      <xdr:col>9</xdr:col>
      <xdr:colOff>342900</xdr:colOff>
      <xdr:row>0</xdr:row>
      <xdr:rowOff>317500</xdr:rowOff>
    </xdr:to>
    <xdr:pic>
      <xdr:nvPicPr>
        <xdr:cNvPr id="10241" name="Imagem 1" descr="flecha054.gif">
          <a:hlinkClick xmlns:r="http://schemas.openxmlformats.org/officeDocument/2006/relationships" r:id="rId1"/>
          <a:extLst>
            <a:ext uri="{FF2B5EF4-FFF2-40B4-BE49-F238E27FC236}">
              <a16:creationId xmlns:a16="http://schemas.microsoft.com/office/drawing/2014/main" id="{E0FF6E2F-8EC4-A944-8591-02E3BD58E8D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359900" y="12700"/>
          <a:ext cx="3429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60</xdr:col>
      <xdr:colOff>0</xdr:colOff>
      <xdr:row>2</xdr:row>
      <xdr:rowOff>0</xdr:rowOff>
    </xdr:from>
    <xdr:to>
      <xdr:col>60</xdr:col>
      <xdr:colOff>342900</xdr:colOff>
      <xdr:row>3</xdr:row>
      <xdr:rowOff>139700</xdr:rowOff>
    </xdr:to>
    <xdr:pic>
      <xdr:nvPicPr>
        <xdr:cNvPr id="10242" name="Imagem 2" descr="flecha054.gif">
          <a:hlinkClick xmlns:r="http://schemas.openxmlformats.org/officeDocument/2006/relationships" r:id="rId1"/>
          <a:extLst>
            <a:ext uri="{FF2B5EF4-FFF2-40B4-BE49-F238E27FC236}">
              <a16:creationId xmlns:a16="http://schemas.microsoft.com/office/drawing/2014/main" id="{D304EA90-D8CD-3F4A-A405-121D08BED51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66300" y="749300"/>
          <a:ext cx="3429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2743200</xdr:colOff>
      <xdr:row>0</xdr:row>
      <xdr:rowOff>101600</xdr:rowOff>
    </xdr:from>
    <xdr:to>
      <xdr:col>3</xdr:col>
      <xdr:colOff>1562100</xdr:colOff>
      <xdr:row>2</xdr:row>
      <xdr:rowOff>101600</xdr:rowOff>
    </xdr:to>
    <xdr:pic>
      <xdr:nvPicPr>
        <xdr:cNvPr id="11265" name="Imagem 2">
          <a:extLst>
            <a:ext uri="{FF2B5EF4-FFF2-40B4-BE49-F238E27FC236}">
              <a16:creationId xmlns:a16="http://schemas.microsoft.com/office/drawing/2014/main" id="{24254428-33CC-5940-A689-6ADEFEE49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0809"/>
        <a:stretch>
          <a:fillRect/>
        </a:stretch>
      </xdr:blipFill>
      <xdr:spPr bwMode="auto">
        <a:xfrm>
          <a:off x="8407400" y="101600"/>
          <a:ext cx="2298700" cy="330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4"/>
  <sheetViews>
    <sheetView view="pageBreakPreview" zoomScale="60" zoomScaleNormal="100" zoomScalePageLayoutView="50" workbookViewId="0">
      <selection activeCell="M25" sqref="M25"/>
    </sheetView>
  </sheetViews>
  <sheetFormatPr baseColWidth="10" defaultColWidth="9.1640625" defaultRowHeight="15"/>
  <cols>
    <col min="1" max="10" width="9.1640625" style="352"/>
    <col min="11" max="11" width="9.1640625" style="352" customWidth="1"/>
    <col min="12" max="12" width="10.6640625" style="352" customWidth="1"/>
    <col min="13" max="16384" width="9.1640625" style="352"/>
  </cols>
  <sheetData>
    <row r="54" ht="20.25" customHeight="1"/>
  </sheetData>
  <printOptions horizontalCentered="1"/>
  <pageMargins left="7.874015748031496E-2" right="0" top="0.39370078740157483" bottom="0" header="0" footer="0"/>
  <pageSetup scale="85" orientation="portrait" horizontalDpi="1200" verticalDpi="120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pageSetUpPr fitToPage="1"/>
  </sheetPr>
  <dimension ref="B1:Z23"/>
  <sheetViews>
    <sheetView showGridLines="0" zoomScaleNormal="100" workbookViewId="0">
      <selection activeCell="G6" sqref="G6"/>
    </sheetView>
  </sheetViews>
  <sheetFormatPr baseColWidth="10" defaultColWidth="9.1640625" defaultRowHeight="13"/>
  <cols>
    <col min="1" max="1" width="1.5" style="143" customWidth="1"/>
    <col min="2" max="2" width="4.83203125" style="143" customWidth="1"/>
    <col min="3" max="3" width="103.5" style="143" customWidth="1"/>
    <col min="4" max="4" width="1" style="143" customWidth="1"/>
    <col min="5" max="5" width="20.5" style="143" customWidth="1"/>
    <col min="6" max="6" width="20.5" style="142" customWidth="1"/>
    <col min="7" max="7" width="20.5" style="143" customWidth="1"/>
    <col min="8" max="21" width="9.1640625" style="143"/>
    <col min="22" max="26" width="9.1640625" style="143" customWidth="1"/>
    <col min="27" max="16384" width="9.1640625" style="143"/>
  </cols>
  <sheetData>
    <row r="1" spans="2:26" s="14" customFormat="1" ht="39.75" customHeight="1">
      <c r="B1" s="12" t="s">
        <v>10</v>
      </c>
      <c r="C1" s="12"/>
      <c r="D1" s="15"/>
      <c r="E1" s="15"/>
      <c r="F1" s="142"/>
      <c r="I1" s="16"/>
      <c r="J1" s="16"/>
      <c r="X1" s="22">
        <v>1</v>
      </c>
      <c r="Y1" s="14" t="s">
        <v>0</v>
      </c>
      <c r="Z1" s="22">
        <v>2</v>
      </c>
    </row>
    <row r="2" spans="2:26" s="14" customFormat="1" ht="15" customHeight="1">
      <c r="B2" s="13"/>
      <c r="C2" s="13"/>
      <c r="D2" s="15"/>
      <c r="E2" s="15"/>
      <c r="F2" s="142"/>
      <c r="X2" s="22">
        <v>2</v>
      </c>
      <c r="Y2" s="14" t="s">
        <v>1</v>
      </c>
    </row>
    <row r="3" spans="2:26" ht="6.75" customHeight="1"/>
    <row r="4" spans="2:26" ht="31.5" customHeight="1">
      <c r="B4" s="17"/>
      <c r="C4" s="144" t="str">
        <f>IF(Indice_index!$Z$1=1,"Índice","Index")</f>
        <v>Index</v>
      </c>
      <c r="D4" s="145"/>
      <c r="E4" s="146" t="str">
        <f>IF(Indice_index!$Z$1=1,"Última actualização","Last updated on")</f>
        <v>Last updated on</v>
      </c>
      <c r="F4" s="146" t="str">
        <f>IF(Indice_index!$Z$1=1,"Próxima actualização","Next update")</f>
        <v>Next update</v>
      </c>
      <c r="G4" s="146" t="str">
        <f>IF(Indice_index!$Z$1=1,"Último valor disponível","Last available figures")</f>
        <v>Last available figures</v>
      </c>
    </row>
    <row r="5" spans="2:26" ht="4.5" customHeight="1">
      <c r="C5" s="147"/>
      <c r="F5" s="143"/>
    </row>
    <row r="6" spans="2:26" ht="20.25" customHeight="1">
      <c r="C6" s="148" t="str">
        <f>IF(Indice_index!$Z$1=1,"1 - Evolução da Execução Orçamental - Administrações Públicas","1 - Budget Execution Evolution - General Government")</f>
        <v>1 - Budget Execution Evolution - General Government</v>
      </c>
      <c r="E6" s="266" t="str">
        <f>IF($Z$1=1,"25-outubro-18","25-October-18")</f>
        <v>25-October-18</v>
      </c>
      <c r="F6" s="266" t="str">
        <f>IF($Z$1=1,"26-novembro-18","26-November-18")</f>
        <v>26-November-18</v>
      </c>
      <c r="G6" s="150" t="str">
        <f>IF($Z$1=1,"setembro 2018","September 2018")</f>
        <v>September 2018</v>
      </c>
    </row>
    <row r="7" spans="2:26" ht="20.25" customHeight="1">
      <c r="C7" s="148" t="str">
        <f>IF(Indice_index!$Z$1=1,"2 - Receita do subsetor Estado - Classificação Económica","2 - State subsector  revenue - Economic Classification")</f>
        <v>2 - State subsector  revenue - Economic Classification</v>
      </c>
      <c r="E7" s="266" t="str">
        <f t="shared" ref="E7:G12" si="0">E$6</f>
        <v>25-October-18</v>
      </c>
      <c r="F7" s="266" t="str">
        <f t="shared" si="0"/>
        <v>26-November-18</v>
      </c>
      <c r="G7" s="266" t="str">
        <f t="shared" si="0"/>
        <v>September 2018</v>
      </c>
    </row>
    <row r="8" spans="2:26" ht="20.25" customHeight="1">
      <c r="C8" s="148" t="str">
        <f>IF(Indice_index!$Z$1=1,"3 - Despesa do subsetor Estado - Classificação Funcional","3 - State subsector expenditure - Functional Classification")</f>
        <v>3 - State subsector expenditure - Functional Classification</v>
      </c>
      <c r="E8" s="266" t="str">
        <f t="shared" si="0"/>
        <v>25-October-18</v>
      </c>
      <c r="F8" s="266" t="str">
        <f t="shared" si="0"/>
        <v>26-November-18</v>
      </c>
      <c r="G8" s="266" t="str">
        <f t="shared" si="0"/>
        <v>September 2018</v>
      </c>
    </row>
    <row r="9" spans="2:26" ht="20.25" customHeight="1">
      <c r="C9" s="148" t="str">
        <f>IF(Indice_index!$Z$1=1,"4 - Despesa do subsetor Estado - Classificação Económica/Orgânica","4 - State subsector expenditure - Economic/Organic Classification")</f>
        <v>4 - State subsector expenditure - Economic/Organic Classification</v>
      </c>
      <c r="E9" s="266" t="str">
        <f t="shared" si="0"/>
        <v>25-October-18</v>
      </c>
      <c r="F9" s="266" t="str">
        <f t="shared" si="0"/>
        <v>26-November-18</v>
      </c>
      <c r="G9" s="266" t="str">
        <f t="shared" si="0"/>
        <v>September 2018</v>
      </c>
    </row>
    <row r="10" spans="2:26" ht="20.25" customHeight="1">
      <c r="C10" s="148" t="str">
        <f>IF(Indice_index!$Z$1=1,"5 - Despesa dos Serviços e Fundos Autónomos - Classificação Funcional","5 -  Autonomous Services and Funds expenditure - Functional Classification")</f>
        <v>5 -  Autonomous Services and Funds expenditure - Functional Classification</v>
      </c>
      <c r="E10" s="266" t="str">
        <f t="shared" si="0"/>
        <v>25-October-18</v>
      </c>
      <c r="F10" s="266" t="str">
        <f t="shared" si="0"/>
        <v>26-November-18</v>
      </c>
      <c r="G10" s="266" t="str">
        <f t="shared" si="0"/>
        <v>September 2018</v>
      </c>
    </row>
    <row r="11" spans="2:26" ht="20.25" customHeight="1">
      <c r="C11" s="148" t="str">
        <f>IF(Indice_index!$Z$1=1,"6 - Despesa dos Serviços e Fundos Autónomos - Classificação Económica/Orgânica","6 - Autonomous Services and Funds expenditure - Economic/Organic Classification")</f>
        <v>6 - Autonomous Services and Funds expenditure - Economic/Organic Classification</v>
      </c>
      <c r="E11" s="266" t="str">
        <f t="shared" si="0"/>
        <v>25-October-18</v>
      </c>
      <c r="F11" s="266" t="str">
        <f t="shared" si="0"/>
        <v>26-November-18</v>
      </c>
      <c r="G11" s="266" t="str">
        <f t="shared" si="0"/>
        <v>September 2018</v>
      </c>
    </row>
    <row r="12" spans="2:26" ht="20.25" customHeight="1">
      <c r="C12" s="148" t="str">
        <f>IF(Indice_index!$Z$1=1,"7 - Metadados","7 - Metadata")</f>
        <v>7 - Metadata</v>
      </c>
      <c r="E12" s="266" t="str">
        <f t="shared" si="0"/>
        <v>25-October-18</v>
      </c>
      <c r="F12" s="266" t="str">
        <f t="shared" si="0"/>
        <v>26-November-18</v>
      </c>
      <c r="G12" s="266" t="str">
        <f t="shared" si="0"/>
        <v>September 2018</v>
      </c>
    </row>
    <row r="13" spans="2:26" ht="19">
      <c r="C13" s="144"/>
      <c r="D13" s="145"/>
      <c r="E13" s="146"/>
      <c r="F13" s="146"/>
      <c r="G13" s="146"/>
    </row>
    <row r="23" spans="6:6" ht="15">
      <c r="F23" s="149"/>
    </row>
  </sheetData>
  <mergeCells count="1">
    <mergeCell ref="B1:C1"/>
  </mergeCells>
  <hyperlinks>
    <hyperlink ref="C6" location="Evolução!A1" display="Evolução!A1"/>
    <hyperlink ref="C9" location="'Estado - orgânica'!A1" display="'Estado - orgânica'!A1"/>
    <hyperlink ref="C8" location="'Estado - Funcional'!A1" display="'Estado - Funcional'!A1"/>
    <hyperlink ref="C11" location="'SFA - orgânica'!A1" display="'SFA - orgânica'!A1"/>
    <hyperlink ref="C10" location="'SFA - Funcional'!A1" display="'SFA - Funcional'!A1"/>
    <hyperlink ref="C12" location="'MetaInfo Metadata'!A1" display="'MetaInfo Metadata'!A1"/>
    <hyperlink ref="C7" location="'Receita - orgânica'!A1" display="'Receita - orgânica'!A1"/>
  </hyperlinks>
  <printOptions horizontalCentered="1" verticalCentered="1"/>
  <pageMargins left="0" right="0" top="0.74803149606299213" bottom="0.74803149606299213" header="0.74803149606299213" footer="0.74803149606299213"/>
  <pageSetup paperSize="9" scale="85" orientation="landscape"/>
  <headerFooter>
    <oddHeader>&amp;L&amp;G</oddHeader>
  </headerFooter>
  <ignoredErrors>
    <ignoredError sqref="E6:F6" twoDigitTextYear="1"/>
  </ignoredErrors>
  <drawing r:id="rId1"/>
  <legacyDrawing r:id="rId2"/>
  <legacyDrawingHF r:id="rId3"/>
  <mc:AlternateContent xmlns:mc="http://schemas.openxmlformats.org/markup-compatibility/2006">
    <mc:Choice Requires="x14">
      <controls>
        <mc:AlternateContent xmlns:mc="http://schemas.openxmlformats.org/markup-compatibility/2006">
          <mc:Choice Requires="x14">
            <control shapeId="4097" r:id="rId4" name="Drop Down 1">
              <controlPr defaultSize="0" autoLine="0" autoPict="0">
                <anchor moveWithCells="1">
                  <from>
                    <xdr:col>2</xdr:col>
                    <xdr:colOff>3200400</xdr:colOff>
                    <xdr:row>0</xdr:row>
                    <xdr:rowOff>292100</xdr:rowOff>
                  </from>
                  <to>
                    <xdr:col>2</xdr:col>
                    <xdr:colOff>6172200</xdr:colOff>
                    <xdr:row>1</xdr:row>
                    <xdr:rowOff>25400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B749"/>
  <sheetViews>
    <sheetView showGridLines="0" zoomScaleNormal="100" zoomScaleSheetLayoutView="100" workbookViewId="0">
      <selection activeCell="G367" sqref="G367"/>
    </sheetView>
  </sheetViews>
  <sheetFormatPr baseColWidth="10" defaultColWidth="16.5" defaultRowHeight="13"/>
  <cols>
    <col min="1" max="1" width="1.6640625" style="19" customWidth="1"/>
    <col min="2" max="2" width="4.1640625" style="19" customWidth="1"/>
    <col min="3" max="3" width="7.5" style="19" customWidth="1"/>
    <col min="4" max="4" width="14.5" style="19" customWidth="1"/>
    <col min="5" max="5" width="11" style="19" customWidth="1"/>
    <col min="6" max="6" width="11.33203125" style="19" customWidth="1"/>
    <col min="7" max="7" width="11" style="19" customWidth="1"/>
    <col min="8" max="8" width="12.33203125" style="23" customWidth="1"/>
    <col min="9" max="10" width="11.33203125" style="19" customWidth="1"/>
    <col min="11" max="11" width="12.1640625" style="19" customWidth="1"/>
    <col min="12" max="12" width="14.5" customWidth="1"/>
    <col min="13" max="13" width="11.83203125" style="24" customWidth="1"/>
    <col min="14" max="15" width="9.1640625" style="19" customWidth="1"/>
    <col min="16" max="16" width="7" style="19" bestFit="1" customWidth="1"/>
    <col min="17" max="25" width="9.1640625" style="19" customWidth="1"/>
    <col min="26" max="28" width="9.1640625" style="14" customWidth="1"/>
    <col min="29" max="254" width="9.1640625" style="19" customWidth="1"/>
    <col min="255" max="255" width="2.1640625" style="19" customWidth="1"/>
    <col min="256" max="16384" width="16.5" style="19"/>
  </cols>
  <sheetData>
    <row r="1" spans="2:28" s="14" customFormat="1" ht="11.25" customHeight="1">
      <c r="B1" s="13"/>
      <c r="C1" s="13"/>
      <c r="H1" s="15"/>
      <c r="I1" s="15"/>
      <c r="L1"/>
      <c r="M1" s="16"/>
    </row>
    <row r="2" spans="2:28" ht="26.25" customHeight="1" thickBot="1">
      <c r="B2" s="17"/>
      <c r="C2" s="136" t="str">
        <f>IF(Indice_index!$Z$1=1,"1 - Evolução da Execução Orçamental - Administrações Públicas","1 - Budget Execution Evolution - General Government")</f>
        <v>1 - Budget Execution Evolution - General Government</v>
      </c>
      <c r="D2" s="136"/>
      <c r="E2" s="136"/>
      <c r="F2" s="136"/>
      <c r="G2" s="136"/>
      <c r="H2" s="136"/>
      <c r="I2" s="136"/>
      <c r="J2" s="136"/>
      <c r="K2" s="136"/>
      <c r="M2" s="18"/>
      <c r="N2" s="6"/>
      <c r="O2" s="6"/>
      <c r="P2" s="18"/>
      <c r="Z2" s="20">
        <v>1</v>
      </c>
      <c r="AA2" s="21" t="s">
        <v>0</v>
      </c>
      <c r="AB2" s="22">
        <v>1</v>
      </c>
    </row>
    <row r="3" spans="2:28" ht="8.25" customHeight="1">
      <c r="Z3" s="20">
        <v>2</v>
      </c>
      <c r="AA3" s="21" t="s">
        <v>1</v>
      </c>
    </row>
    <row r="4" spans="2:28" ht="36" customHeight="1">
      <c r="C4" s="5" t="str">
        <f>IF(Indice_index!$Z$1=1,"Os valores de execução orçamental correspondem aos divulgados no respetivo período (publicação mensal), podendo, em alguns casos, terem ocorrido ajustamentos à posteriori em sede de apuramento definitivo.","The budget execution data presented corresponds to that reported during the respective period (monthly publication) and may, in some cases, have been subject to adjustments during the final clearance.")</f>
        <v>The budget execution data presented corresponds to that reported during the respective period (monthly publication) and may, in some cases, have been subject to adjustments during the final clearance.</v>
      </c>
      <c r="D4" s="5"/>
      <c r="E4" s="5"/>
      <c r="F4" s="5"/>
      <c r="G4" s="5"/>
      <c r="H4" s="5"/>
      <c r="I4" s="5"/>
      <c r="J4" s="5"/>
      <c r="K4" s="5"/>
    </row>
    <row r="5" spans="2:28" ht="6" customHeight="1">
      <c r="D5" s="25"/>
      <c r="E5" s="25"/>
      <c r="F5" s="25"/>
      <c r="G5" s="36"/>
      <c r="H5" s="75"/>
      <c r="I5" s="36"/>
      <c r="J5" s="36"/>
      <c r="K5" s="36"/>
    </row>
    <row r="6" spans="2:28">
      <c r="C6" s="84" t="str">
        <f>IF(Indice_index!$Z$1=1,"1.1 Evolução da Receita, Despesa e Saldo do Estado (valores acumulados)","1.1 State Revenue, Expenditure and Balance Evolution (cumulative values)")</f>
        <v>1.1 State Revenue, Expenditure and Balance Evolution (cumulative values)</v>
      </c>
      <c r="D6" s="76"/>
      <c r="E6" s="76"/>
      <c r="F6" s="77"/>
      <c r="G6" s="78"/>
      <c r="H6" s="78"/>
      <c r="I6" s="79"/>
      <c r="J6" s="80"/>
      <c r="K6" s="81" t="str">
        <f>IF(Indice_index!$Z$1=1,"€ Milhões","€ Millions")</f>
        <v>€ Millions</v>
      </c>
    </row>
    <row r="7" spans="2:28" s="27" customFormat="1" ht="15.75" customHeight="1">
      <c r="C7" s="9"/>
      <c r="D7" s="4"/>
      <c r="E7" s="11" t="str">
        <f>IF(Indice_index!$Z$1=1,"Receita
efetiva","Effective
revenue")</f>
        <v>Effective
revenue</v>
      </c>
      <c r="F7" s="11"/>
      <c r="G7" s="11" t="str">
        <f>IF(Indice_index!$Z$1=1,"Despesa 
efetiva","Effective
expenditure")</f>
        <v>Effective
expenditure</v>
      </c>
      <c r="H7" s="11"/>
      <c r="I7" s="11" t="str">
        <f>IF(Indice_index!$Z$1=1,"Saldo
global","Overall
balance")</f>
        <v>Overall
balance</v>
      </c>
      <c r="J7" s="10" t="str">
        <f>IF(Indice_index!$Z$1=1,"VH (%)","YOY Change Rate (%)")</f>
        <v>YOY Change Rate (%)</v>
      </c>
      <c r="K7" s="8"/>
      <c r="L7"/>
      <c r="M7" s="28"/>
      <c r="Z7" s="14"/>
      <c r="AA7" s="14"/>
      <c r="AB7" s="14"/>
    </row>
    <row r="8" spans="2:28" s="27" customFormat="1" ht="15.75" customHeight="1">
      <c r="C8" s="9"/>
      <c r="D8" s="4"/>
      <c r="E8" s="11"/>
      <c r="F8" s="11"/>
      <c r="G8" s="11"/>
      <c r="H8" s="11"/>
      <c r="I8" s="11"/>
      <c r="J8" s="73" t="str">
        <f>IF(Indice_index!$Z$1=1,"Receita","Revenue")</f>
        <v>Revenue</v>
      </c>
      <c r="K8" s="74" t="str">
        <f>IF(Indice_index!$Z$1=1,"Despesa","Expenditure")</f>
        <v>Expenditure</v>
      </c>
      <c r="L8"/>
      <c r="M8" s="28"/>
      <c r="Z8" s="14"/>
      <c r="AA8" s="14"/>
      <c r="AB8" s="14"/>
    </row>
    <row r="9" spans="2:28" s="27" customFormat="1" ht="15.75" customHeight="1">
      <c r="C9" s="29"/>
      <c r="D9" s="29"/>
      <c r="E9" s="30" t="str">
        <f>IF(Indice_index!$Z$1=1,"Ano n-1","Year n-1")</f>
        <v>Year n-1</v>
      </c>
      <c r="F9" s="30" t="str">
        <f>IF(Indice_index!$Z$1=1,"Ano n","Year n")</f>
        <v>Year n</v>
      </c>
      <c r="G9" s="30" t="str">
        <f>IF(Indice_index!$Z$1=1,"Ano n-1","Year n-1")</f>
        <v>Year n-1</v>
      </c>
      <c r="H9" s="30" t="str">
        <f>IF(Indice_index!$Z$1=1,"Ano n","Year n")</f>
        <v>Year n</v>
      </c>
      <c r="I9" s="30" t="str">
        <f>IF(Indice_index!$Z$1=1,"Ano n","Year n")</f>
        <v>Year n</v>
      </c>
      <c r="J9" s="31" t="str">
        <f>IF(Indice_index!$Z$1=1,"Ano n","Year n")</f>
        <v>Year n</v>
      </c>
      <c r="K9" s="31" t="str">
        <f>IF(Indice_index!$Z$1=1,"Ano n","Year n")</f>
        <v>Year n</v>
      </c>
      <c r="L9"/>
      <c r="M9" s="28"/>
      <c r="Z9" s="14"/>
      <c r="AA9" s="14"/>
      <c r="AB9" s="14"/>
    </row>
    <row r="10" spans="2:28" s="27" customFormat="1" ht="15.75" customHeight="1">
      <c r="C10" s="32" t="s">
        <v>2</v>
      </c>
      <c r="D10" s="19" t="str">
        <f>IF(Indice_index!$Z$1=1,"janeiro","January")</f>
        <v>January</v>
      </c>
      <c r="E10" s="33">
        <v>3232.6</v>
      </c>
      <c r="F10" s="33">
        <v>2788.5</v>
      </c>
      <c r="G10" s="33">
        <v>3598.8913309999998</v>
      </c>
      <c r="H10" s="33">
        <v>3416.8252779999998</v>
      </c>
      <c r="I10" s="19">
        <f>IF(F10="","",+F10-H10)</f>
        <v>-628.3252779999998</v>
      </c>
      <c r="J10" s="34">
        <f>IF(F10="","",IF(E10=0,"-",(F10-E10)/E10))</f>
        <v>-0.1373816741941471</v>
      </c>
      <c r="K10" s="34">
        <f t="shared" ref="K10:K20" si="0">IF(H10="","",IF(G10=0,"-",(H10-G10)/G10))</f>
        <v>-5.0589483331082E-2</v>
      </c>
      <c r="L10"/>
      <c r="M10" s="28"/>
      <c r="Z10" s="14"/>
      <c r="AA10" s="14"/>
      <c r="AB10" s="14"/>
    </row>
    <row r="11" spans="2:28" s="27" customFormat="1" ht="15.75" customHeight="1">
      <c r="C11" s="35"/>
      <c r="D11" s="19" t="str">
        <f>IF(Indice_index!$Z$1=1,"fevereiro","February")</f>
        <v>February</v>
      </c>
      <c r="E11" s="33">
        <v>6611.3</v>
      </c>
      <c r="F11" s="33">
        <v>6024.3</v>
      </c>
      <c r="G11" s="33">
        <v>6684.2983889999996</v>
      </c>
      <c r="H11" s="33">
        <v>6931.2606050000004</v>
      </c>
      <c r="I11" s="19">
        <f>IF(F11="","",+F11-H11)</f>
        <v>-906.96060500000021</v>
      </c>
      <c r="J11" s="34">
        <f t="shared" ref="J11:J20" si="1">IF(F11="","",IF(E11=0,"-",(F11-E11)/E11))</f>
        <v>-8.8787379184124146E-2</v>
      </c>
      <c r="K11" s="34">
        <f t="shared" si="0"/>
        <v>3.6946617524797158E-2</v>
      </c>
      <c r="L11"/>
      <c r="M11" s="28"/>
      <c r="Z11" s="14"/>
      <c r="AA11" s="14"/>
      <c r="AB11" s="14"/>
    </row>
    <row r="12" spans="2:28" s="27" customFormat="1" ht="15.75" customHeight="1">
      <c r="C12" s="35"/>
      <c r="D12" s="19" t="str">
        <f>IF(Indice_index!$Z$1=1,"março","March")</f>
        <v>March</v>
      </c>
      <c r="E12" s="33">
        <v>8952.6</v>
      </c>
      <c r="F12" s="33">
        <v>7958.9</v>
      </c>
      <c r="G12" s="33">
        <v>9832.9757989999998</v>
      </c>
      <c r="H12" s="33">
        <v>10314.676221</v>
      </c>
      <c r="I12" s="19">
        <f t="shared" ref="I12:I21" si="2">IF(F12="","",+F12-H12)</f>
        <v>-2355.7762210000001</v>
      </c>
      <c r="J12" s="34">
        <f t="shared" si="1"/>
        <v>-0.11099568840336893</v>
      </c>
      <c r="K12" s="34">
        <f t="shared" si="0"/>
        <v>4.8988264778297139E-2</v>
      </c>
      <c r="L12"/>
      <c r="M12" s="28"/>
      <c r="Z12" s="14"/>
      <c r="AA12" s="14"/>
      <c r="AB12" s="14"/>
    </row>
    <row r="13" spans="2:28" s="27" customFormat="1" ht="15.75" customHeight="1">
      <c r="C13" s="35"/>
      <c r="D13" s="19" t="str">
        <f>IF(Indice_index!$Z$1=1,"abril","April")</f>
        <v>April</v>
      </c>
      <c r="E13" s="33">
        <v>11584.2</v>
      </c>
      <c r="F13" s="33">
        <v>9657.2999999999993</v>
      </c>
      <c r="G13" s="33">
        <v>13894.127858</v>
      </c>
      <c r="H13" s="33">
        <v>14509.549102999999</v>
      </c>
      <c r="I13" s="19">
        <f t="shared" si="2"/>
        <v>-4852.2491030000001</v>
      </c>
      <c r="J13" s="34">
        <f t="shared" si="1"/>
        <v>-0.16633863365618698</v>
      </c>
      <c r="K13" s="34">
        <f t="shared" si="0"/>
        <v>4.4293621830005729E-2</v>
      </c>
      <c r="L13"/>
      <c r="M13" s="28"/>
      <c r="Z13" s="14"/>
      <c r="AA13" s="14"/>
      <c r="AB13" s="14"/>
    </row>
    <row r="14" spans="2:28" s="27" customFormat="1" ht="15.75" customHeight="1">
      <c r="C14" s="35"/>
      <c r="D14" s="19" t="str">
        <f>IF(Indice_index!$Z$1=1,"maio","May")</f>
        <v>May</v>
      </c>
      <c r="E14" s="33">
        <v>16991</v>
      </c>
      <c r="F14" s="33">
        <v>13960</v>
      </c>
      <c r="G14" s="33">
        <v>17546.424715000001</v>
      </c>
      <c r="H14" s="33">
        <v>18290.697161</v>
      </c>
      <c r="I14" s="19">
        <f t="shared" si="2"/>
        <v>-4330.6971610000001</v>
      </c>
      <c r="J14" s="34">
        <f t="shared" si="1"/>
        <v>-0.17838855864869638</v>
      </c>
      <c r="K14" s="34">
        <f t="shared" si="0"/>
        <v>4.2417327637335661E-2</v>
      </c>
      <c r="L14"/>
      <c r="M14" s="28"/>
      <c r="Z14" s="14"/>
      <c r="AA14" s="14"/>
      <c r="AB14" s="14"/>
    </row>
    <row r="15" spans="2:28" s="27" customFormat="1" ht="15.75" customHeight="1">
      <c r="C15" s="35"/>
      <c r="D15" s="19" t="str">
        <f>IF(Indice_index!$Z$1=1,"junho","June")</f>
        <v>June</v>
      </c>
      <c r="E15" s="33">
        <v>20312</v>
      </c>
      <c r="F15" s="33">
        <v>16105</v>
      </c>
      <c r="G15" s="33">
        <v>22213.192896</v>
      </c>
      <c r="H15" s="33">
        <v>23410.777948999999</v>
      </c>
      <c r="I15" s="19">
        <f t="shared" si="2"/>
        <v>-7305.7779489999994</v>
      </c>
      <c r="J15" s="34">
        <f t="shared" si="1"/>
        <v>-0.20711894446632534</v>
      </c>
      <c r="K15" s="34">
        <f t="shared" si="0"/>
        <v>5.3913233392739852E-2</v>
      </c>
      <c r="L15"/>
      <c r="M15" s="28"/>
      <c r="Z15" s="14"/>
      <c r="AA15" s="14"/>
      <c r="AB15" s="14"/>
    </row>
    <row r="16" spans="2:28" s="27" customFormat="1" ht="15.75" customHeight="1">
      <c r="C16" s="35"/>
      <c r="D16" s="19" t="str">
        <f>IF(Indice_index!$Z$1=1,"julho","July")</f>
        <v>July</v>
      </c>
      <c r="E16" s="33">
        <v>23528.400000000001</v>
      </c>
      <c r="F16" s="33">
        <v>19114.599999999999</v>
      </c>
      <c r="G16" s="33">
        <v>26706.753399000001</v>
      </c>
      <c r="H16" s="33">
        <v>27685.045110999999</v>
      </c>
      <c r="I16" s="19">
        <f t="shared" si="2"/>
        <v>-8570.4451110000009</v>
      </c>
      <c r="J16" s="34">
        <f t="shared" si="1"/>
        <v>-0.18759456656636248</v>
      </c>
      <c r="K16" s="34">
        <f t="shared" si="0"/>
        <v>3.6630873748833476E-2</v>
      </c>
      <c r="L16"/>
      <c r="M16" s="28"/>
      <c r="Z16" s="14"/>
      <c r="AA16" s="14"/>
      <c r="AB16" s="14"/>
    </row>
    <row r="17" spans="3:28" s="27" customFormat="1" ht="15.75" customHeight="1">
      <c r="C17" s="35"/>
      <c r="D17" s="19" t="str">
        <f>IF(Indice_index!$Z$1=1,"agosto","August")</f>
        <v>August</v>
      </c>
      <c r="E17" s="33">
        <v>26411.200000000001</v>
      </c>
      <c r="F17" s="33">
        <v>22350.5</v>
      </c>
      <c r="G17" s="33">
        <v>29847.172641000001</v>
      </c>
      <c r="H17" s="33">
        <v>31063.144512999999</v>
      </c>
      <c r="I17" s="19">
        <f t="shared" si="2"/>
        <v>-8712.6445129999993</v>
      </c>
      <c r="J17" s="34">
        <f t="shared" si="1"/>
        <v>-0.15374916702005212</v>
      </c>
      <c r="K17" s="34">
        <f t="shared" si="0"/>
        <v>4.0739934955502648E-2</v>
      </c>
      <c r="L17"/>
      <c r="M17" s="28"/>
      <c r="Z17" s="14"/>
      <c r="AA17" s="14"/>
      <c r="AB17" s="14"/>
    </row>
    <row r="18" spans="3:28" s="27" customFormat="1" ht="15.75" customHeight="1">
      <c r="C18" s="35"/>
      <c r="D18" s="19" t="str">
        <f>IF(Indice_index!$Z$1=1,"setembro","September")</f>
        <v>September</v>
      </c>
      <c r="E18" s="33">
        <v>29875.4</v>
      </c>
      <c r="F18" s="33">
        <v>26045.7</v>
      </c>
      <c r="G18" s="33">
        <v>33447.512817000003</v>
      </c>
      <c r="H18" s="33">
        <v>35133.403563</v>
      </c>
      <c r="I18" s="19">
        <f t="shared" si="2"/>
        <v>-9087.7035629999991</v>
      </c>
      <c r="J18" s="34">
        <f t="shared" si="1"/>
        <v>-0.12818907863995127</v>
      </c>
      <c r="K18" s="34">
        <f t="shared" si="0"/>
        <v>5.0404069062591941E-2</v>
      </c>
      <c r="L18"/>
      <c r="M18" s="28"/>
      <c r="Z18" s="14"/>
      <c r="AA18" s="14"/>
      <c r="AB18" s="14"/>
    </row>
    <row r="19" spans="3:28" s="27" customFormat="1" ht="15.75" customHeight="1">
      <c r="C19" s="35"/>
      <c r="D19" s="19" t="str">
        <f>IF(Indice_index!$Z$1=1,"outubro","October")</f>
        <v>October</v>
      </c>
      <c r="E19" s="33">
        <v>32681.3</v>
      </c>
      <c r="F19" s="33">
        <v>28072.3</v>
      </c>
      <c r="G19" s="33">
        <v>37582.371186999997</v>
      </c>
      <c r="H19" s="33">
        <v>39746.282120000003</v>
      </c>
      <c r="I19" s="19">
        <f t="shared" si="2"/>
        <v>-11673.982120000004</v>
      </c>
      <c r="J19" s="34">
        <f t="shared" si="1"/>
        <v>-0.14102866165054634</v>
      </c>
      <c r="K19" s="34">
        <f t="shared" si="0"/>
        <v>5.7577818127359626E-2</v>
      </c>
      <c r="L19"/>
      <c r="M19" s="28"/>
      <c r="Z19" s="14"/>
      <c r="AA19" s="14"/>
      <c r="AB19" s="14"/>
    </row>
    <row r="20" spans="3:28" s="27" customFormat="1" ht="15.75" customHeight="1">
      <c r="C20" s="35"/>
      <c r="D20" s="19" t="str">
        <f>IF(Indice_index!$Z$1=1,"novembro","November")</f>
        <v>November</v>
      </c>
      <c r="E20" s="33">
        <v>35954.1</v>
      </c>
      <c r="F20" s="33">
        <v>30963.7</v>
      </c>
      <c r="G20" s="33">
        <v>42117.340882999997</v>
      </c>
      <c r="H20" s="33">
        <v>44035.147434999999</v>
      </c>
      <c r="I20" s="19">
        <f t="shared" si="2"/>
        <v>-13071.447434999998</v>
      </c>
      <c r="J20" s="34">
        <f t="shared" si="1"/>
        <v>-0.13879919119099068</v>
      </c>
      <c r="K20" s="34">
        <f t="shared" si="0"/>
        <v>4.5534844123411751E-2</v>
      </c>
      <c r="L20"/>
      <c r="M20" s="28"/>
      <c r="Z20" s="14"/>
      <c r="AA20" s="14"/>
      <c r="AB20" s="14"/>
    </row>
    <row r="21" spans="3:28" s="27" customFormat="1" ht="15.75" customHeight="1">
      <c r="C21" s="35"/>
      <c r="D21" s="36" t="str">
        <f>IF(Indice_index!$Z$1=1,"dezembro","December")</f>
        <v>December</v>
      </c>
      <c r="E21" s="33">
        <v>40810.5</v>
      </c>
      <c r="F21" s="33">
        <v>34708.200000000004</v>
      </c>
      <c r="G21" s="33">
        <v>45990.200000000004</v>
      </c>
      <c r="H21" s="33">
        <v>48765.5</v>
      </c>
      <c r="I21" s="36">
        <f t="shared" si="2"/>
        <v>-14057.299999999996</v>
      </c>
      <c r="J21" s="34">
        <f>IF(F21="","",IF(E21=0,"-",(F21-E21)/E21))</f>
        <v>-0.14952769507847236</v>
      </c>
      <c r="K21" s="34">
        <f>IF(H21="","",IF(G21=0,"-",(H21-G21)/G21))</f>
        <v>6.0345464903392362E-2</v>
      </c>
      <c r="L21"/>
      <c r="M21" s="28"/>
      <c r="Z21" s="14"/>
      <c r="AA21" s="14"/>
      <c r="AB21" s="14"/>
    </row>
    <row r="22" spans="3:28" s="27" customFormat="1">
      <c r="C22" s="35"/>
      <c r="D22" s="36"/>
      <c r="E22" s="33"/>
      <c r="F22" s="33"/>
      <c r="G22" s="33"/>
      <c r="H22" s="33"/>
      <c r="I22" s="36"/>
      <c r="J22" s="37"/>
      <c r="K22" s="37"/>
      <c r="L22"/>
      <c r="M22" s="28"/>
      <c r="Z22" s="38"/>
      <c r="AA22" s="38"/>
      <c r="AB22" s="38"/>
    </row>
    <row r="23" spans="3:28" ht="15.75" customHeight="1">
      <c r="C23" s="32" t="s">
        <v>3</v>
      </c>
      <c r="D23" s="19" t="str">
        <f>IF(Indice_index!$Z$1=1,"janeiro","January")</f>
        <v>January</v>
      </c>
      <c r="E23" s="33">
        <v>2846</v>
      </c>
      <c r="F23" s="33">
        <v>2720</v>
      </c>
      <c r="G23" s="33">
        <v>3416.8252779999998</v>
      </c>
      <c r="H23" s="33">
        <v>3882.39869</v>
      </c>
      <c r="I23" s="36">
        <f t="shared" ref="I23:I34" si="3">IF(F23="","",+F23-H23)</f>
        <v>-1162.39869</v>
      </c>
      <c r="J23" s="34">
        <f t="shared" ref="J23:J30" si="4">IF(F23="","",IF(E23=0,"-",(F23-E23)/E23))</f>
        <v>-4.4272663387210122E-2</v>
      </c>
      <c r="K23" s="34">
        <f t="shared" ref="K23:K30" si="5">IF(H23="","",IF(G23=0,"-",(H23-G23)/G23))</f>
        <v>0.13625906334681484</v>
      </c>
    </row>
    <row r="24" spans="3:28" ht="15.75" customHeight="1">
      <c r="C24" s="36"/>
      <c r="D24" s="19" t="str">
        <f>IF(Indice_index!$Z$1=1,"fevereiro","February")</f>
        <v>February</v>
      </c>
      <c r="E24" s="33">
        <v>6039.6</v>
      </c>
      <c r="F24" s="33">
        <v>5831</v>
      </c>
      <c r="G24" s="33">
        <v>6931.2606050000004</v>
      </c>
      <c r="H24" s="33">
        <v>7073.220413</v>
      </c>
      <c r="I24" s="36">
        <f t="shared" si="3"/>
        <v>-1242.220413</v>
      </c>
      <c r="J24" s="34">
        <f t="shared" si="4"/>
        <v>-3.4538711172925417E-2</v>
      </c>
      <c r="K24" s="34">
        <f t="shared" si="5"/>
        <v>2.0481095155705748E-2</v>
      </c>
    </row>
    <row r="25" spans="3:28" ht="15.75" customHeight="1">
      <c r="D25" s="19" t="str">
        <f>IF(Indice_index!$Z$1=1,"março","March")</f>
        <v>March</v>
      </c>
      <c r="E25" s="33">
        <v>7929.8</v>
      </c>
      <c r="F25" s="33">
        <v>7897.9</v>
      </c>
      <c r="G25" s="33">
        <v>10314.700000000001</v>
      </c>
      <c r="H25" s="33">
        <v>10271</v>
      </c>
      <c r="I25" s="36">
        <f t="shared" si="3"/>
        <v>-2373.1000000000004</v>
      </c>
      <c r="J25" s="34">
        <f t="shared" si="4"/>
        <v>-4.0228000706197566E-3</v>
      </c>
      <c r="K25" s="34">
        <f t="shared" si="5"/>
        <v>-4.2366719342298584E-3</v>
      </c>
    </row>
    <row r="26" spans="3:28" ht="15.75" customHeight="1">
      <c r="D26" s="19" t="str">
        <f>IF(Indice_index!$Z$1=1,"abril","April")</f>
        <v>April</v>
      </c>
      <c r="E26" s="33">
        <v>9649.5</v>
      </c>
      <c r="F26" s="33">
        <v>9668.4</v>
      </c>
      <c r="G26" s="33">
        <v>14509.549102999999</v>
      </c>
      <c r="H26" s="33">
        <v>14230.34571761</v>
      </c>
      <c r="I26" s="36">
        <f t="shared" si="3"/>
        <v>-4561.9457176100004</v>
      </c>
      <c r="J26" s="34">
        <f t="shared" si="4"/>
        <v>1.9586507072904954E-3</v>
      </c>
      <c r="K26" s="34">
        <f t="shared" si="5"/>
        <v>-1.9242733417006812E-2</v>
      </c>
    </row>
    <row r="27" spans="3:28" ht="15.75" customHeight="1">
      <c r="D27" s="19" t="str">
        <f>IF(Indice_index!$Z$1=1,"maio","May")</f>
        <v>May</v>
      </c>
      <c r="E27" s="33">
        <v>13932.600000000002</v>
      </c>
      <c r="F27" s="33">
        <v>14112</v>
      </c>
      <c r="G27" s="33">
        <v>18290.697160930002</v>
      </c>
      <c r="H27" s="33">
        <v>18536.255102789997</v>
      </c>
      <c r="I27" s="36">
        <f t="shared" si="3"/>
        <v>-4424.2551027899972</v>
      </c>
      <c r="J27" s="34">
        <f t="shared" si="4"/>
        <v>1.2876275784849761E-2</v>
      </c>
      <c r="K27" s="34">
        <f t="shared" si="5"/>
        <v>1.3425291540254769E-2</v>
      </c>
    </row>
    <row r="28" spans="3:28" ht="15.75" customHeight="1">
      <c r="D28" s="19" t="str">
        <f>IF(Indice_index!$Z$1=1,"junho","June")</f>
        <v>June</v>
      </c>
      <c r="E28" s="24">
        <v>16110</v>
      </c>
      <c r="F28" s="33">
        <v>16665.900000000001</v>
      </c>
      <c r="G28" s="24">
        <v>23410.777948609993</v>
      </c>
      <c r="H28" s="33">
        <v>24428.896356209996</v>
      </c>
      <c r="I28" s="36">
        <f t="shared" si="3"/>
        <v>-7762.9963562099947</v>
      </c>
      <c r="J28" s="34">
        <f>IF(F28="","",IF(E28=0,"-",(F28-E28)/E28))</f>
        <v>3.4506517690875323E-2</v>
      </c>
      <c r="K28" s="34">
        <f>IF(H28="","",IF(G28=0,"-",(H28-G28)/G28))</f>
        <v>4.3489302655166706E-2</v>
      </c>
    </row>
    <row r="29" spans="3:28" ht="15.75" customHeight="1">
      <c r="D29" s="19" t="str">
        <f>IF(Indice_index!$Z$1=1,"julho","July")</f>
        <v>July</v>
      </c>
      <c r="E29" s="33">
        <v>19129.399999999998</v>
      </c>
      <c r="F29" s="39">
        <v>19820.900000000001</v>
      </c>
      <c r="G29" s="39">
        <v>27685.045111359999</v>
      </c>
      <c r="H29" s="39">
        <v>28723.63917617</v>
      </c>
      <c r="I29" s="36">
        <f t="shared" si="3"/>
        <v>-8902.7391761699982</v>
      </c>
      <c r="J29" s="34">
        <f>IF(F29="","",IF(E29=0,"-",(F29-E29)/E29))</f>
        <v>3.6148546216818289E-2</v>
      </c>
      <c r="K29" s="34">
        <f>IF(H29="","",IF(G29=0,"-",(H29-G29)/G29))</f>
        <v>3.751462425408273E-2</v>
      </c>
    </row>
    <row r="30" spans="3:28" ht="15.75" customHeight="1">
      <c r="D30" s="19" t="str">
        <f>IF(Indice_index!$Z$1=1,"agosto","August")</f>
        <v>August</v>
      </c>
      <c r="E30" s="33">
        <v>22318.699999999997</v>
      </c>
      <c r="F30" s="39">
        <v>22723.9</v>
      </c>
      <c r="G30" s="33">
        <v>31063.144512820003</v>
      </c>
      <c r="H30" s="39">
        <v>31913.596601069996</v>
      </c>
      <c r="I30" s="36">
        <f t="shared" si="3"/>
        <v>-9189.6966010699944</v>
      </c>
      <c r="J30" s="34">
        <f t="shared" si="4"/>
        <v>1.8155179289116499E-2</v>
      </c>
      <c r="K30" s="34">
        <f t="shared" si="5"/>
        <v>2.7378171192520596E-2</v>
      </c>
    </row>
    <row r="31" spans="3:28" ht="15.75" customHeight="1">
      <c r="D31" s="19" t="str">
        <f>IF(Indice_index!$Z$1=1,"setembro","September")</f>
        <v>September</v>
      </c>
      <c r="E31" s="39">
        <v>26023.399999999998</v>
      </c>
      <c r="F31" s="39">
        <v>26519.7</v>
      </c>
      <c r="G31" s="39">
        <v>35133.403563089996</v>
      </c>
      <c r="H31" s="39">
        <v>35837.388228950003</v>
      </c>
      <c r="I31" s="36">
        <f t="shared" si="3"/>
        <v>-9317.6882289500027</v>
      </c>
      <c r="J31" s="34">
        <f>IF(F31="","",IF(E31=0,"-",(F31-E31)/E31))</f>
        <v>1.9071297370827908E-2</v>
      </c>
      <c r="K31" s="34">
        <f>IF(H31="","",IF(G31=0,"-",(H31-G31)/G31))</f>
        <v>2.0037474154641553E-2</v>
      </c>
    </row>
    <row r="32" spans="3:28" ht="15.75" customHeight="1">
      <c r="D32" s="19" t="str">
        <f>IF(Indice_index!$Z$1=1,"outubro","October")</f>
        <v>October</v>
      </c>
      <c r="E32" s="39">
        <v>28076</v>
      </c>
      <c r="F32" s="33">
        <v>28971.369999999995</v>
      </c>
      <c r="G32" s="39">
        <v>39746.282119739997</v>
      </c>
      <c r="H32" s="33">
        <v>40856.434958240003</v>
      </c>
      <c r="I32" s="36">
        <f t="shared" si="3"/>
        <v>-11885.064958240007</v>
      </c>
      <c r="J32" s="34">
        <f>IF(F32="","",IF(E32=0,"-",(F32-E32)/E32))</f>
        <v>3.1890938880182199E-2</v>
      </c>
      <c r="K32" s="34">
        <f>IF(H32="","",IF(G32=0,"-",(H32-G32)/G32))</f>
        <v>2.7930985724791805E-2</v>
      </c>
    </row>
    <row r="33" spans="3:28" ht="15.75" customHeight="1">
      <c r="D33" s="19" t="str">
        <f>IF(Indice_index!$Z$1=1,"novembro","November")</f>
        <v>November</v>
      </c>
      <c r="E33" s="39">
        <v>30996.5</v>
      </c>
      <c r="F33" s="33">
        <v>32241.98</v>
      </c>
      <c r="G33" s="39">
        <v>44035.147434739993</v>
      </c>
      <c r="H33" s="33">
        <v>45181.188696770005</v>
      </c>
      <c r="I33" s="36">
        <f t="shared" si="3"/>
        <v>-12939.208696770005</v>
      </c>
      <c r="J33" s="34">
        <f>IF(F33="","",IF(E33=0,"-",(F33-E33)/E33))</f>
        <v>4.0181310793154054E-2</v>
      </c>
      <c r="K33" s="34">
        <f>IF(H33="","",IF(G33=0,"-",(H33-G33)/G33))</f>
        <v>2.6025602928398121E-2</v>
      </c>
    </row>
    <row r="34" spans="3:28" ht="15.75" customHeight="1">
      <c r="D34" s="36" t="str">
        <f>IF(Indice_index!$Z$1=1,"dezembro","December")</f>
        <v>December</v>
      </c>
      <c r="E34" s="33">
        <v>34715.9</v>
      </c>
      <c r="F34" s="33">
        <v>36287.100000000006</v>
      </c>
      <c r="G34" s="33">
        <v>48773.210227310003</v>
      </c>
      <c r="H34" s="33">
        <v>50565.443819210006</v>
      </c>
      <c r="I34" s="36">
        <f t="shared" si="3"/>
        <v>-14278.34381921</v>
      </c>
      <c r="J34" s="34">
        <f>IF(F34="","",IF(E34=0,"-",(F34-E34)/E34))</f>
        <v>4.5258800722435662E-2</v>
      </c>
      <c r="K34" s="34">
        <f>IF(H34="","",IF(G34=0,"-",(H34-G34)/G34))</f>
        <v>3.6746270822593151E-2</v>
      </c>
    </row>
    <row r="35" spans="3:28" s="27" customFormat="1">
      <c r="C35" s="35"/>
      <c r="D35" s="36"/>
      <c r="E35" s="40"/>
      <c r="F35" s="40"/>
      <c r="G35" s="40"/>
      <c r="H35" s="40"/>
      <c r="I35" s="36"/>
      <c r="L35"/>
      <c r="M35" s="28"/>
      <c r="Z35" s="14"/>
      <c r="AA35" s="14"/>
      <c r="AB35" s="14"/>
    </row>
    <row r="36" spans="3:28" ht="15.75" customHeight="1">
      <c r="C36" s="32" t="s">
        <v>4</v>
      </c>
      <c r="D36" s="19" t="str">
        <f>IF(Indice_index!$Z$1=1,"janeiro","January")</f>
        <v>January</v>
      </c>
      <c r="E36" s="24">
        <v>2735.7999999999997</v>
      </c>
      <c r="F36" s="24">
        <v>3128.3999999999996</v>
      </c>
      <c r="G36" s="24">
        <v>3882.39868991</v>
      </c>
      <c r="H36" s="41">
        <v>3915.43923614</v>
      </c>
      <c r="I36" s="36">
        <f t="shared" ref="I36:I47" si="6">IF(F36="","",+F36-H36)</f>
        <v>-787.03923614000041</v>
      </c>
      <c r="J36" s="34">
        <f t="shared" ref="J36:J47" si="7">IF(F36="","",IF(E36=0,"-",(F36-E36)/E36))</f>
        <v>0.1435046421522041</v>
      </c>
      <c r="K36" s="34">
        <f t="shared" ref="K36:K47" si="8">IF(H36="","",IF(G36=0,"-",(H36-G36)/G36))</f>
        <v>8.5103434420244848E-3</v>
      </c>
    </row>
    <row r="37" spans="3:28" ht="15.75" customHeight="1">
      <c r="C37" s="32"/>
      <c r="D37" s="19" t="str">
        <f>IF(Indice_index!$Z$1=1,"fevereiro","February")</f>
        <v>February</v>
      </c>
      <c r="E37" s="24">
        <v>5858.1999999999989</v>
      </c>
      <c r="F37" s="24">
        <v>6442</v>
      </c>
      <c r="G37" s="24">
        <v>7073.2204131999997</v>
      </c>
      <c r="H37" s="41">
        <v>6815.5784267700001</v>
      </c>
      <c r="I37" s="36">
        <f t="shared" si="6"/>
        <v>-373.57842677000008</v>
      </c>
      <c r="J37" s="34">
        <f t="shared" si="7"/>
        <v>9.9655184186269022E-2</v>
      </c>
      <c r="K37" s="34">
        <f t="shared" si="8"/>
        <v>-3.6424990510572776E-2</v>
      </c>
    </row>
    <row r="38" spans="3:28" ht="15.75" customHeight="1">
      <c r="C38" s="32"/>
      <c r="D38" s="19" t="str">
        <f>IF(Indice_index!$Z$1=1,"março","March")</f>
        <v>March</v>
      </c>
      <c r="E38" s="24">
        <v>7722.2000000000007</v>
      </c>
      <c r="F38" s="24">
        <v>8877.2999999999993</v>
      </c>
      <c r="G38" s="24">
        <v>10271.02503918</v>
      </c>
      <c r="H38" s="41">
        <v>9896.3523886099993</v>
      </c>
      <c r="I38" s="36">
        <f t="shared" si="6"/>
        <v>-1019.05238861</v>
      </c>
      <c r="J38" s="34">
        <f t="shared" si="7"/>
        <v>0.14958172541503698</v>
      </c>
      <c r="K38" s="34">
        <f t="shared" si="8"/>
        <v>-3.6478603561063194E-2</v>
      </c>
    </row>
    <row r="39" spans="3:28" ht="15.75" customHeight="1">
      <c r="C39" s="32"/>
      <c r="D39" s="19" t="str">
        <f>IF(Indice_index!$Z$1=1,"abril","April")</f>
        <v>April</v>
      </c>
      <c r="E39" s="24">
        <v>9592.6999999999989</v>
      </c>
      <c r="F39" s="24">
        <v>11265.800000000001</v>
      </c>
      <c r="G39" s="24">
        <v>14230.34571761</v>
      </c>
      <c r="H39" s="41">
        <v>13804.92192823</v>
      </c>
      <c r="I39" s="36">
        <f t="shared" si="6"/>
        <v>-2539.121928229999</v>
      </c>
      <c r="J39" s="34">
        <f t="shared" si="7"/>
        <v>0.17441387721913562</v>
      </c>
      <c r="K39" s="34">
        <f t="shared" si="8"/>
        <v>-2.9895534361722473E-2</v>
      </c>
    </row>
    <row r="40" spans="3:28" ht="15.75" customHeight="1">
      <c r="C40" s="32"/>
      <c r="D40" s="19" t="str">
        <f>IF(Indice_index!$Z$1=1,"maio","May")</f>
        <v>May</v>
      </c>
      <c r="E40" s="24">
        <v>14118.699999999999</v>
      </c>
      <c r="F40" s="24">
        <v>15089.599999999999</v>
      </c>
      <c r="G40" s="24">
        <v>18536.255102789997</v>
      </c>
      <c r="H40" s="41">
        <v>17195.516632790001</v>
      </c>
      <c r="I40" s="36">
        <f t="shared" si="6"/>
        <v>-2105.916632790002</v>
      </c>
      <c r="J40" s="34">
        <f t="shared" si="7"/>
        <v>6.876695446464616E-2</v>
      </c>
      <c r="K40" s="34">
        <f t="shared" si="8"/>
        <v>-7.2330600898894315E-2</v>
      </c>
    </row>
    <row r="41" spans="3:28" ht="15.75" customHeight="1">
      <c r="C41" s="32"/>
      <c r="D41" s="19" t="str">
        <f>IF(Indice_index!$Z$1=1,"junho","June")</f>
        <v>June</v>
      </c>
      <c r="E41" s="24">
        <v>16651.2</v>
      </c>
      <c r="F41" s="24">
        <v>17445.7</v>
      </c>
      <c r="G41" s="24">
        <v>24428.905698209997</v>
      </c>
      <c r="H41" s="41">
        <v>23597.151310159996</v>
      </c>
      <c r="I41" s="36">
        <f t="shared" si="6"/>
        <v>-6151.451310159995</v>
      </c>
      <c r="J41" s="34">
        <f t="shared" si="7"/>
        <v>4.7714278850773513E-2</v>
      </c>
      <c r="K41" s="34">
        <f t="shared" si="8"/>
        <v>-3.4047959344775218E-2</v>
      </c>
    </row>
    <row r="42" spans="3:28" ht="15.75" customHeight="1">
      <c r="C42" s="36"/>
      <c r="D42" s="19" t="str">
        <f>IF(Indice_index!$Z$1=1,"julho","July")</f>
        <v>July</v>
      </c>
      <c r="E42" s="24">
        <v>19793.7</v>
      </c>
      <c r="F42" s="24">
        <v>20662.200000000004</v>
      </c>
      <c r="G42" s="24">
        <v>28723.63917617</v>
      </c>
      <c r="H42" s="41">
        <v>27348.986220600003</v>
      </c>
      <c r="I42" s="36">
        <f t="shared" si="6"/>
        <v>-6686.7862205999991</v>
      </c>
      <c r="J42" s="34">
        <f t="shared" si="7"/>
        <v>4.3877597417360248E-2</v>
      </c>
      <c r="K42" s="34">
        <f t="shared" si="8"/>
        <v>-4.7857896666187408E-2</v>
      </c>
      <c r="M42" s="42"/>
    </row>
    <row r="43" spans="3:28" ht="15.75" customHeight="1">
      <c r="C43" s="36"/>
      <c r="D43" s="19" t="str">
        <f>IF(Indice_index!$Z$1=1,"agosto","August")</f>
        <v>August</v>
      </c>
      <c r="E43" s="24">
        <v>22687.9</v>
      </c>
      <c r="F43" s="24">
        <v>23787.599999999999</v>
      </c>
      <c r="G43" s="24">
        <v>31913.596601069996</v>
      </c>
      <c r="H43" s="41">
        <v>30989.851806180002</v>
      </c>
      <c r="I43" s="36">
        <f t="shared" si="6"/>
        <v>-7202.2518061800038</v>
      </c>
      <c r="J43" s="34">
        <f t="shared" si="7"/>
        <v>4.8470770763270159E-2</v>
      </c>
      <c r="K43" s="34">
        <f t="shared" si="8"/>
        <v>-2.8945179900501165E-2</v>
      </c>
      <c r="M43" s="42"/>
    </row>
    <row r="44" spans="3:28" ht="15.75" customHeight="1">
      <c r="C44" s="36"/>
      <c r="D44" s="19" t="str">
        <f>IF(Indice_index!$Z$1=1,"setembro","September")</f>
        <v>September</v>
      </c>
      <c r="E44" s="24">
        <v>26532.199999999997</v>
      </c>
      <c r="F44" s="24">
        <v>27896.699999999997</v>
      </c>
      <c r="G44" s="24">
        <v>35837.388228950003</v>
      </c>
      <c r="H44" s="41">
        <v>34458.234949590013</v>
      </c>
      <c r="I44" s="36">
        <f t="shared" si="6"/>
        <v>-6561.5349495900155</v>
      </c>
      <c r="J44" s="34">
        <f t="shared" si="7"/>
        <v>5.1428076073601142E-2</v>
      </c>
      <c r="K44" s="34">
        <f t="shared" si="8"/>
        <v>-3.8483643689354828E-2</v>
      </c>
      <c r="M44" s="42"/>
    </row>
    <row r="45" spans="3:28" ht="15.75" customHeight="1">
      <c r="C45" s="36"/>
      <c r="D45" s="19" t="str">
        <f>IF(Indice_index!$Z$1=1,"outubro","October")</f>
        <v>October</v>
      </c>
      <c r="E45" s="19">
        <v>28988.300000000003</v>
      </c>
      <c r="F45" s="19">
        <v>30484.199999999997</v>
      </c>
      <c r="G45" s="19">
        <v>40856.434958240003</v>
      </c>
      <c r="H45" s="23">
        <v>39384.38391841999</v>
      </c>
      <c r="I45" s="36">
        <f t="shared" si="6"/>
        <v>-8900.1839184199926</v>
      </c>
      <c r="J45" s="34">
        <f t="shared" si="7"/>
        <v>5.1603577995259949E-2</v>
      </c>
      <c r="K45" s="34">
        <f t="shared" si="8"/>
        <v>-3.6029845514534475E-2</v>
      </c>
      <c r="M45" s="42"/>
    </row>
    <row r="46" spans="3:28" ht="15.75" customHeight="1">
      <c r="C46" s="36"/>
      <c r="D46" s="19" t="str">
        <f>IF(Indice_index!$Z$1=1,"novembro","November")</f>
        <v>November</v>
      </c>
      <c r="E46" s="19">
        <v>32229.1</v>
      </c>
      <c r="F46" s="19">
        <v>34141.300000000003</v>
      </c>
      <c r="G46" s="19">
        <v>45181.188696770005</v>
      </c>
      <c r="H46" s="23">
        <v>44043.116553829997</v>
      </c>
      <c r="I46" s="36">
        <f t="shared" si="6"/>
        <v>-9901.8165538299945</v>
      </c>
      <c r="J46" s="34">
        <f t="shared" si="7"/>
        <v>5.9331473730262541E-2</v>
      </c>
      <c r="K46" s="34">
        <f t="shared" si="8"/>
        <v>-2.518907040224393E-2</v>
      </c>
      <c r="M46" s="42"/>
    </row>
    <row r="47" spans="3:28" ht="15.75" customHeight="1">
      <c r="C47" s="36"/>
      <c r="D47" s="24" t="str">
        <f>IF(Indice_index!$Z$1=1,"dezembro","December")</f>
        <v>December</v>
      </c>
      <c r="E47" s="19">
        <v>36287.100000000006</v>
      </c>
      <c r="F47" s="19">
        <v>41537.199999999997</v>
      </c>
      <c r="G47" s="19">
        <v>50565.443819210006</v>
      </c>
      <c r="H47" s="23">
        <v>48731.727464230011</v>
      </c>
      <c r="I47" s="19">
        <f t="shared" si="6"/>
        <v>-7194.5274642300137</v>
      </c>
      <c r="J47" s="43">
        <f t="shared" si="7"/>
        <v>0.14468227000779865</v>
      </c>
      <c r="K47" s="43">
        <f t="shared" si="8"/>
        <v>-3.6264219523835357E-2</v>
      </c>
      <c r="M47" s="42"/>
    </row>
    <row r="48" spans="3:28">
      <c r="D48" s="24"/>
      <c r="J48" s="43"/>
      <c r="K48" s="43"/>
      <c r="M48" s="42"/>
    </row>
    <row r="49" spans="3:28" ht="15.75" customHeight="1">
      <c r="C49" s="35" t="s">
        <v>5</v>
      </c>
      <c r="D49" s="24" t="str">
        <f>IF(Indice_index!$Z$1=1,"janeiro","January")</f>
        <v>January</v>
      </c>
      <c r="E49" s="19">
        <v>3173.2000000000003</v>
      </c>
      <c r="F49" s="19">
        <v>2980.6000000000004</v>
      </c>
      <c r="G49" s="19">
        <v>3915.43923614</v>
      </c>
      <c r="H49" s="23">
        <v>3416.5586975499982</v>
      </c>
      <c r="I49" s="19">
        <f t="shared" ref="I49:I60" si="9">IF(F49="","",+F49-H49)</f>
        <v>-435.95869754999785</v>
      </c>
      <c r="J49" s="43">
        <f t="shared" ref="J49:J60" si="10">IF(F49="","",IF(E49=0,"-",(F49-E49)/E49))</f>
        <v>-6.0695827555779618E-2</v>
      </c>
      <c r="K49" s="43">
        <f t="shared" ref="K49:K60" si="11">IF(H49="","",IF(G49=0,"-",(H49-G49)/G49))</f>
        <v>-0.12741368426440416</v>
      </c>
      <c r="M49" s="42"/>
    </row>
    <row r="50" spans="3:28" ht="15.75" customHeight="1">
      <c r="C50" s="35"/>
      <c r="D50" s="24" t="str">
        <f>IF(Indice_index!$Z$1=1,"fevereiro","February")</f>
        <v>February</v>
      </c>
      <c r="E50" s="19">
        <v>6541.2999999999993</v>
      </c>
      <c r="F50" s="19">
        <v>6258.9000000000005</v>
      </c>
      <c r="G50" s="19">
        <v>6815.5784267700001</v>
      </c>
      <c r="H50" s="23">
        <v>7057.492915750001</v>
      </c>
      <c r="I50" s="19">
        <f t="shared" si="9"/>
        <v>-798.59291575000043</v>
      </c>
      <c r="J50" s="43">
        <f t="shared" si="10"/>
        <v>-4.3171846574839676E-2</v>
      </c>
      <c r="K50" s="43">
        <f t="shared" si="11"/>
        <v>3.549434454892593E-2</v>
      </c>
      <c r="M50" s="42"/>
    </row>
    <row r="51" spans="3:28" ht="15.75" customHeight="1">
      <c r="C51" s="35"/>
      <c r="D51" s="24" t="str">
        <f>IF(Indice_index!$Z$1=1,"março","March")</f>
        <v>March</v>
      </c>
      <c r="E51" s="19">
        <v>9004.1</v>
      </c>
      <c r="F51" s="19">
        <v>8610</v>
      </c>
      <c r="G51" s="19">
        <v>9896.3523886099993</v>
      </c>
      <c r="H51" s="23">
        <v>10246.981375730003</v>
      </c>
      <c r="I51" s="19">
        <f t="shared" si="9"/>
        <v>-1636.9813757300035</v>
      </c>
      <c r="J51" s="43">
        <f t="shared" si="10"/>
        <v>-4.3768949700691943E-2</v>
      </c>
      <c r="K51" s="43">
        <f t="shared" si="11"/>
        <v>3.5430123478985387E-2</v>
      </c>
      <c r="M51" s="42"/>
    </row>
    <row r="52" spans="3:28" ht="15.75" customHeight="1">
      <c r="C52" s="35"/>
      <c r="D52" s="24" t="str">
        <f>IF(Indice_index!$Z$1=1,"abril","April")</f>
        <v>April</v>
      </c>
      <c r="E52" s="19">
        <v>11351.7</v>
      </c>
      <c r="F52" s="19">
        <v>11103.300000000001</v>
      </c>
      <c r="G52" s="19">
        <v>13804.92192823</v>
      </c>
      <c r="H52" s="23">
        <v>14162.098254779998</v>
      </c>
      <c r="I52" s="19">
        <f t="shared" si="9"/>
        <v>-3058.7982547799966</v>
      </c>
      <c r="J52" s="43">
        <f t="shared" si="10"/>
        <v>-2.1882185047173517E-2</v>
      </c>
      <c r="K52" s="43">
        <f t="shared" si="11"/>
        <v>2.5873114560655327E-2</v>
      </c>
      <c r="M52" s="42"/>
    </row>
    <row r="53" spans="3:28" ht="15.75" customHeight="1">
      <c r="C53" s="35"/>
      <c r="D53" s="24" t="str">
        <f>IF(Indice_index!$Z$1=1,"maio","May")</f>
        <v>May</v>
      </c>
      <c r="E53" s="19">
        <v>15176.9</v>
      </c>
      <c r="F53" s="19">
        <v>14822.599999999999</v>
      </c>
      <c r="G53" s="19">
        <v>17195.516632790001</v>
      </c>
      <c r="H53" s="23">
        <v>17538.5445095</v>
      </c>
      <c r="I53" s="19">
        <f t="shared" si="9"/>
        <v>-2715.944509500001</v>
      </c>
      <c r="J53" s="43">
        <f t="shared" si="10"/>
        <v>-2.3344688309206829E-2</v>
      </c>
      <c r="K53" s="43">
        <f t="shared" si="11"/>
        <v>1.9948681044911539E-2</v>
      </c>
      <c r="M53" s="42"/>
    </row>
    <row r="54" spans="3:28" ht="15.75" customHeight="1">
      <c r="C54" s="35"/>
      <c r="D54" s="24" t="str">
        <f>IF(Indice_index!$Z$1=1,"junho","June")</f>
        <v>June</v>
      </c>
      <c r="E54" s="19">
        <v>17547.800000000003</v>
      </c>
      <c r="F54" s="19">
        <v>19865.399999999998</v>
      </c>
      <c r="G54" s="19">
        <v>23597.151310159996</v>
      </c>
      <c r="H54" s="23">
        <v>23087.224164270003</v>
      </c>
      <c r="I54" s="19">
        <f t="shared" si="9"/>
        <v>-3221.824164270005</v>
      </c>
      <c r="J54" s="43">
        <f t="shared" si="10"/>
        <v>0.13207353628375035</v>
      </c>
      <c r="K54" s="43">
        <f t="shared" si="11"/>
        <v>-2.1609690898173738E-2</v>
      </c>
      <c r="M54" s="42"/>
    </row>
    <row r="55" spans="3:28" ht="15.75" customHeight="1">
      <c r="C55" s="35"/>
      <c r="D55" s="24" t="str">
        <f>IF(Indice_index!$Z$1=1,"julho","July")</f>
        <v>July</v>
      </c>
      <c r="E55" s="19">
        <v>20785.800000000003</v>
      </c>
      <c r="F55" s="19">
        <v>23165.200000000001</v>
      </c>
      <c r="G55" s="19">
        <v>27348.9862206</v>
      </c>
      <c r="H55" s="23">
        <v>27145.079220180003</v>
      </c>
      <c r="I55" s="19">
        <f t="shared" si="9"/>
        <v>-3979.8792201800024</v>
      </c>
      <c r="J55" s="43">
        <f t="shared" si="10"/>
        <v>0.11447238018262455</v>
      </c>
      <c r="K55" s="43">
        <f t="shared" si="11"/>
        <v>-7.4557425556932826E-3</v>
      </c>
      <c r="M55" s="42"/>
    </row>
    <row r="56" spans="3:28" ht="15.75" customHeight="1">
      <c r="C56" s="35"/>
      <c r="D56" s="24" t="str">
        <f>IF(Indice_index!$Z$1=1,"agosto","August")</f>
        <v>August</v>
      </c>
      <c r="E56" s="19">
        <v>23893.599999999999</v>
      </c>
      <c r="F56" s="19">
        <v>26430.5</v>
      </c>
      <c r="G56" s="19">
        <v>30989.851806180002</v>
      </c>
      <c r="H56" s="23">
        <v>31325.823311140015</v>
      </c>
      <c r="I56" s="19">
        <f t="shared" si="9"/>
        <v>-4895.323311140015</v>
      </c>
      <c r="J56" s="43">
        <f t="shared" si="10"/>
        <v>0.10617487528040988</v>
      </c>
      <c r="K56" s="43">
        <f t="shared" si="11"/>
        <v>1.0841339515312338E-2</v>
      </c>
      <c r="M56" s="42"/>
    </row>
    <row r="57" spans="3:28" ht="15.75" customHeight="1">
      <c r="C57" s="35"/>
      <c r="D57" s="24" t="str">
        <f>IF(Indice_index!$Z$1=1,"setembro","September")</f>
        <v>September</v>
      </c>
      <c r="E57" s="19">
        <v>27999</v>
      </c>
      <c r="F57" s="19">
        <v>29793.5</v>
      </c>
      <c r="G57" s="19">
        <v>34458.234949590013</v>
      </c>
      <c r="H57" s="23">
        <v>34946.786918849997</v>
      </c>
      <c r="I57" s="19">
        <f t="shared" si="9"/>
        <v>-5153.2869188499972</v>
      </c>
      <c r="J57" s="43">
        <f t="shared" si="10"/>
        <v>6.409157469909639E-2</v>
      </c>
      <c r="K57" s="43">
        <f t="shared" si="11"/>
        <v>1.4178090374469324E-2</v>
      </c>
      <c r="M57" s="42"/>
    </row>
    <row r="58" spans="3:28" ht="15.75" customHeight="1">
      <c r="C58" s="35"/>
      <c r="D58" s="24" t="str">
        <f>IF(Indice_index!$Z$1=1,"outubro","October")</f>
        <v>October</v>
      </c>
      <c r="E58" s="19">
        <v>30567.3</v>
      </c>
      <c r="F58" s="19">
        <v>32274.1</v>
      </c>
      <c r="G58" s="19">
        <v>39384.38391841999</v>
      </c>
      <c r="H58" s="23">
        <v>39609.517817409993</v>
      </c>
      <c r="I58" s="19">
        <f t="shared" si="9"/>
        <v>-7335.4178174099943</v>
      </c>
      <c r="J58" s="43">
        <f t="shared" si="10"/>
        <v>5.5837447206655455E-2</v>
      </c>
      <c r="K58" s="43">
        <f t="shared" si="11"/>
        <v>5.7163239992871536E-3</v>
      </c>
      <c r="M58" s="42"/>
    </row>
    <row r="59" spans="3:28" ht="15.75" customHeight="1">
      <c r="C59" s="35"/>
      <c r="D59" s="24" t="str">
        <f>IF(Indice_index!$Z$1=1,"novembro","November")</f>
        <v>November</v>
      </c>
      <c r="E59" s="19">
        <v>34259.1</v>
      </c>
      <c r="F59" s="19">
        <v>35305.5</v>
      </c>
      <c r="G59" s="19">
        <v>44043.116553829997</v>
      </c>
      <c r="H59" s="23">
        <v>43029.630257249977</v>
      </c>
      <c r="I59" s="19">
        <f t="shared" si="9"/>
        <v>-7724.1302572499771</v>
      </c>
      <c r="J59" s="43">
        <f t="shared" si="10"/>
        <v>3.0543709554541758E-2</v>
      </c>
      <c r="K59" s="43">
        <f t="shared" si="11"/>
        <v>-2.3011230264355288E-2</v>
      </c>
      <c r="M59" s="42"/>
    </row>
    <row r="60" spans="3:28" ht="15.75" customHeight="1">
      <c r="C60" s="32"/>
      <c r="D60" s="44" t="str">
        <f>IF(Indice_index!$Z$1=1,"dezembro","December")</f>
        <v>December</v>
      </c>
      <c r="E60" s="44">
        <v>41682.5</v>
      </c>
      <c r="F60" s="44">
        <v>39851.799999999996</v>
      </c>
      <c r="G60" s="44">
        <v>48726.321876370013</v>
      </c>
      <c r="H60" s="44">
        <v>48769.940350429999</v>
      </c>
      <c r="I60" s="45">
        <f t="shared" si="9"/>
        <v>-8918.1403504300033</v>
      </c>
      <c r="J60" s="46">
        <f t="shared" si="10"/>
        <v>-4.3920110358064042E-2</v>
      </c>
      <c r="K60" s="46">
        <f t="shared" si="11"/>
        <v>8.9517271939088265E-4</v>
      </c>
      <c r="M60" s="42"/>
    </row>
    <row r="61" spans="3:28" ht="15.75" customHeight="1">
      <c r="D61" s="44"/>
      <c r="E61" s="44"/>
      <c r="F61" s="44"/>
      <c r="G61" s="44"/>
      <c r="H61" s="44"/>
      <c r="I61" s="45"/>
      <c r="J61" s="46"/>
      <c r="K61" s="46"/>
      <c r="M61" s="42"/>
    </row>
    <row r="62" spans="3:28" s="47" customFormat="1" ht="15.75" customHeight="1">
      <c r="C62" s="32" t="s">
        <v>7</v>
      </c>
      <c r="D62" s="85" t="str">
        <f>IF(Indice_index!$Z$1=1,"janeiro","January")</f>
        <v>January</v>
      </c>
      <c r="E62" s="85">
        <v>2998.9000000000005</v>
      </c>
      <c r="F62" s="85">
        <v>3068.6</v>
      </c>
      <c r="G62" s="85">
        <v>3416.5586975500009</v>
      </c>
      <c r="H62" s="85">
        <v>3805.230396670001</v>
      </c>
      <c r="I62" s="85">
        <f t="shared" ref="I62:I73" si="12">IF(F62="","",+F62-H62)</f>
        <v>-736.63039667000112</v>
      </c>
      <c r="J62" s="219">
        <f t="shared" ref="J62:J73" si="13">IF(F62="","",IF(E62=0,"-",(F62-E62)/E62))</f>
        <v>2.3241855346960334E-2</v>
      </c>
      <c r="K62" s="219">
        <f t="shared" ref="K62:K73" si="14">IF(H62="","",IF(G62=0,"-",(H62-G62)/G62))</f>
        <v>0.11376116540854833</v>
      </c>
      <c r="L62" s="218"/>
      <c r="M62" s="218"/>
      <c r="Z62" s="14"/>
      <c r="AA62" s="14"/>
      <c r="AB62" s="14"/>
    </row>
    <row r="63" spans="3:28" s="47" customFormat="1" ht="15.75" customHeight="1">
      <c r="C63" s="85"/>
      <c r="D63" s="85" t="str">
        <f>IF(Indice_index!$Z$1=1,"fevereiro","February")</f>
        <v>February</v>
      </c>
      <c r="E63" s="85">
        <v>6305.7006160000001</v>
      </c>
      <c r="F63" s="85">
        <v>6433.1499410000006</v>
      </c>
      <c r="G63" s="85">
        <v>7057.4100227500012</v>
      </c>
      <c r="H63" s="85">
        <v>7304.2644009999985</v>
      </c>
      <c r="I63" s="85">
        <f t="shared" si="12"/>
        <v>-871.11445999999796</v>
      </c>
      <c r="J63" s="219">
        <f t="shared" si="13"/>
        <v>2.0211762778050753E-2</v>
      </c>
      <c r="K63" s="219">
        <f t="shared" si="14"/>
        <v>3.4978041158760347E-2</v>
      </c>
      <c r="L63" s="218"/>
      <c r="M63" s="218"/>
      <c r="Z63" s="14"/>
      <c r="AA63" s="14"/>
      <c r="AB63" s="14"/>
    </row>
    <row r="64" spans="3:28" s="47" customFormat="1" ht="15.75" customHeight="1">
      <c r="C64" s="85"/>
      <c r="D64" s="85" t="str">
        <f>IF(Indice_index!$Z$1=1,"março","March")</f>
        <v>March</v>
      </c>
      <c r="E64" s="85">
        <v>8658.4240280000013</v>
      </c>
      <c r="F64" s="85">
        <v>8936.6458549999988</v>
      </c>
      <c r="G64" s="85">
        <v>10246.897045730002</v>
      </c>
      <c r="H64" s="85">
        <v>10788.607881029997</v>
      </c>
      <c r="I64" s="85">
        <f t="shared" si="12"/>
        <v>-1851.962026029998</v>
      </c>
      <c r="J64" s="219">
        <f t="shared" si="13"/>
        <v>3.2133079426495091E-2</v>
      </c>
      <c r="K64" s="219">
        <f t="shared" si="14"/>
        <v>5.2865841520846731E-2</v>
      </c>
      <c r="L64" s="218"/>
      <c r="M64" s="218"/>
      <c r="Z64" s="14"/>
      <c r="AA64" s="14"/>
      <c r="AB64" s="14"/>
    </row>
    <row r="65" spans="3:28" s="47" customFormat="1" ht="15.75" customHeight="1">
      <c r="C65" s="85"/>
      <c r="D65" s="85" t="str">
        <f>IF(Indice_index!$Z$1=1,"abril","April")</f>
        <v>April</v>
      </c>
      <c r="E65" s="85">
        <v>11133.452095000001</v>
      </c>
      <c r="F65" s="85">
        <v>11612.055524999998</v>
      </c>
      <c r="G65" s="85">
        <v>14162.011795139999</v>
      </c>
      <c r="H65" s="85">
        <v>14589.658748449994</v>
      </c>
      <c r="I65" s="85">
        <f t="shared" si="12"/>
        <v>-2977.6032234499962</v>
      </c>
      <c r="J65" s="219">
        <f t="shared" si="13"/>
        <v>4.2987873475014704E-2</v>
      </c>
      <c r="K65" s="219">
        <f t="shared" si="14"/>
        <v>3.0196765791195825E-2</v>
      </c>
      <c r="L65"/>
      <c r="M65"/>
      <c r="N65"/>
      <c r="O65"/>
      <c r="P65"/>
      <c r="Q65"/>
      <c r="Z65" s="14"/>
      <c r="AA65" s="14"/>
      <c r="AB65" s="14"/>
    </row>
    <row r="66" spans="3:28" s="47" customFormat="1" ht="15.75" customHeight="1">
      <c r="C66" s="85"/>
      <c r="D66" s="85" t="str">
        <f>IF(Indice_index!$Z$1=1,"maio","May")</f>
        <v>May</v>
      </c>
      <c r="E66" s="85">
        <v>14826.058716220003</v>
      </c>
      <c r="F66" s="85">
        <v>15965.996132230001</v>
      </c>
      <c r="G66" s="85">
        <v>17538.417024859998</v>
      </c>
      <c r="H66" s="85">
        <v>18646.484580070006</v>
      </c>
      <c r="I66" s="85">
        <f t="shared" si="12"/>
        <v>-2680.4884478400054</v>
      </c>
      <c r="J66" s="219">
        <f t="shared" si="13"/>
        <v>7.6887420846572241E-2</v>
      </c>
      <c r="K66" s="219">
        <f t="shared" si="14"/>
        <v>6.3179450781639321E-2</v>
      </c>
      <c r="L66"/>
      <c r="M66"/>
      <c r="N66"/>
      <c r="O66"/>
      <c r="P66"/>
      <c r="Q66"/>
      <c r="Z66" s="14"/>
      <c r="AA66" s="14"/>
      <c r="AB66" s="14"/>
    </row>
    <row r="67" spans="3:28" s="47" customFormat="1" ht="15.75" customHeight="1">
      <c r="C67" s="85"/>
      <c r="D67" s="40" t="str">
        <f>IF(Indice_index!$Z$1=1,"junho","June")</f>
        <v>June</v>
      </c>
      <c r="E67" s="40">
        <v>19867.24326209</v>
      </c>
      <c r="F67" s="40">
        <v>18650.755292359998</v>
      </c>
      <c r="G67" s="40">
        <v>23087.095345630009</v>
      </c>
      <c r="H67" s="40">
        <v>23501.930389390003</v>
      </c>
      <c r="I67" s="40">
        <f t="shared" si="12"/>
        <v>-4851.1750970300054</v>
      </c>
      <c r="J67" s="241">
        <f t="shared" si="13"/>
        <v>-6.1230838807478802E-2</v>
      </c>
      <c r="K67" s="241">
        <f t="shared" si="14"/>
        <v>1.7968264848809399E-2</v>
      </c>
      <c r="L67"/>
      <c r="M67"/>
      <c r="N67"/>
      <c r="O67"/>
      <c r="P67"/>
      <c r="Q67"/>
      <c r="Z67" s="14"/>
      <c r="AA67" s="14"/>
      <c r="AB67" s="14"/>
    </row>
    <row r="68" spans="3:28" s="47" customFormat="1" ht="15.75" customHeight="1">
      <c r="C68" s="85"/>
      <c r="D68" s="45" t="str">
        <f>IF(Indice_index!$Z$1=1,"julho","July")</f>
        <v>July</v>
      </c>
      <c r="E68" s="45">
        <v>23168.670938000003</v>
      </c>
      <c r="F68" s="45">
        <v>21989.555156279999</v>
      </c>
      <c r="G68" s="45">
        <v>27141.297239910007</v>
      </c>
      <c r="H68" s="45">
        <v>27686.129182839995</v>
      </c>
      <c r="I68" s="45">
        <f t="shared" si="12"/>
        <v>-5696.5740265599961</v>
      </c>
      <c r="J68" s="221">
        <f t="shared" si="13"/>
        <v>-5.0892681106971989E-2</v>
      </c>
      <c r="K68" s="221">
        <f t="shared" si="14"/>
        <v>2.0073909441912684E-2</v>
      </c>
      <c r="L68"/>
      <c r="M68"/>
      <c r="N68"/>
      <c r="O68"/>
      <c r="P68"/>
      <c r="Q68"/>
      <c r="Z68" s="14"/>
      <c r="AA68" s="14"/>
      <c r="AB68" s="14"/>
    </row>
    <row r="69" spans="3:28" s="47" customFormat="1" ht="15.75" customHeight="1">
      <c r="C69" s="85"/>
      <c r="D69" s="45" t="str">
        <f>IF(Indice_index!$Z$1=1,"agosto","August")</f>
        <v>August</v>
      </c>
      <c r="E69" s="45">
        <v>26436.031611360002</v>
      </c>
      <c r="F69" s="45">
        <v>25209.113279379999</v>
      </c>
      <c r="G69" s="45">
        <v>31322.041330870008</v>
      </c>
      <c r="H69" s="45">
        <v>31236.367103649995</v>
      </c>
      <c r="I69" s="45">
        <f t="shared" si="12"/>
        <v>-6027.2538242699957</v>
      </c>
      <c r="J69" s="221">
        <f t="shared" si="13"/>
        <v>-4.6410836165469552E-2</v>
      </c>
      <c r="K69" s="221">
        <f t="shared" si="14"/>
        <v>-2.7352695922655515E-3</v>
      </c>
      <c r="L69"/>
      <c r="M69"/>
      <c r="N69"/>
      <c r="O69"/>
      <c r="P69"/>
      <c r="Q69"/>
      <c r="Z69" s="14"/>
      <c r="AA69" s="14"/>
      <c r="AB69" s="14"/>
    </row>
    <row r="70" spans="3:28" s="47" customFormat="1" ht="15.75" customHeight="1">
      <c r="C70" s="45"/>
      <c r="D70" s="45" t="str">
        <f>IF(Indice_index!$Z$1=1,"setembro","September")</f>
        <v>September</v>
      </c>
      <c r="E70" s="45">
        <v>29805.758869909998</v>
      </c>
      <c r="F70" s="45">
        <v>29495.021431149995</v>
      </c>
      <c r="G70" s="45">
        <v>34943.002809299993</v>
      </c>
      <c r="H70" s="45">
        <v>34938.153055259994</v>
      </c>
      <c r="I70" s="45">
        <f t="shared" si="12"/>
        <v>-5443.1316241099994</v>
      </c>
      <c r="J70" s="221">
        <f t="shared" si="13"/>
        <v>-1.0425416112243456E-2</v>
      </c>
      <c r="K70" s="221">
        <f t="shared" si="14"/>
        <v>-1.3879042011546202E-4</v>
      </c>
      <c r="L70"/>
      <c r="M70"/>
      <c r="N70"/>
      <c r="O70"/>
      <c r="P70"/>
      <c r="Q70"/>
      <c r="Z70" s="14"/>
      <c r="AA70" s="14"/>
      <c r="AB70" s="14"/>
    </row>
    <row r="71" spans="3:28" ht="15.75" customHeight="1">
      <c r="C71" s="45"/>
      <c r="D71" s="45" t="str">
        <f>IF(Indice_index!$Z$1=1,"outubro","October")</f>
        <v>October</v>
      </c>
      <c r="E71" s="45">
        <v>32280.747179060007</v>
      </c>
      <c r="F71" s="45">
        <v>32448.833813720004</v>
      </c>
      <c r="G71" s="45">
        <v>39603.399320489996</v>
      </c>
      <c r="H71" s="45">
        <v>40166.40891118002</v>
      </c>
      <c r="I71" s="45">
        <f t="shared" si="12"/>
        <v>-7717.575097460016</v>
      </c>
      <c r="J71" s="221">
        <f t="shared" si="13"/>
        <v>5.2070242899777998E-3</v>
      </c>
      <c r="K71" s="221">
        <f t="shared" si="14"/>
        <v>1.4216193567978253E-2</v>
      </c>
      <c r="M71"/>
      <c r="N71"/>
      <c r="O71"/>
      <c r="P71"/>
      <c r="Q71"/>
    </row>
    <row r="72" spans="3:28" s="36" customFormat="1" ht="15.75" customHeight="1">
      <c r="C72" s="45"/>
      <c r="D72" s="45" t="str">
        <f>IF(Indice_index!$Z$1=1,"novembro","November")</f>
        <v>November</v>
      </c>
      <c r="E72" s="45">
        <v>35327.54353915</v>
      </c>
      <c r="F72" s="45">
        <v>35923.852231340003</v>
      </c>
      <c r="G72" s="45">
        <v>43021.159694219976</v>
      </c>
      <c r="H72" s="45">
        <v>44599.415640930019</v>
      </c>
      <c r="I72" s="45">
        <f t="shared" si="12"/>
        <v>-8675.5634095900168</v>
      </c>
      <c r="J72" s="221">
        <f t="shared" si="13"/>
        <v>1.6879426998063805E-2</v>
      </c>
      <c r="K72" s="221">
        <f t="shared" si="14"/>
        <v>3.6685574213427982E-2</v>
      </c>
      <c r="L72" s="236"/>
      <c r="M72" s="236"/>
      <c r="N72" s="236"/>
      <c r="O72" s="236"/>
      <c r="P72" s="236"/>
      <c r="Q72" s="236"/>
      <c r="Z72" s="54"/>
      <c r="AA72" s="54"/>
      <c r="AB72" s="54"/>
    </row>
    <row r="73" spans="3:28" s="36" customFormat="1" ht="15.75" customHeight="1">
      <c r="C73" s="45"/>
      <c r="D73" s="45" t="str">
        <f>IF(Indice_index!$Z$1=1,"dezembro","December")</f>
        <v>December</v>
      </c>
      <c r="E73" s="45">
        <v>39859.480407930001</v>
      </c>
      <c r="F73" s="45">
        <v>41188.966814049993</v>
      </c>
      <c r="G73" s="45">
        <v>48755.493391869997</v>
      </c>
      <c r="H73" s="45">
        <v>48876.479680049997</v>
      </c>
      <c r="I73" s="45">
        <f t="shared" si="12"/>
        <v>-7687.5128660000046</v>
      </c>
      <c r="J73" s="221">
        <f t="shared" si="13"/>
        <v>3.3354333586734147E-2</v>
      </c>
      <c r="K73" s="221">
        <f t="shared" si="14"/>
        <v>2.4814903873001211E-3</v>
      </c>
      <c r="L73" s="236"/>
      <c r="M73" s="236"/>
      <c r="N73" s="236"/>
      <c r="O73" s="236"/>
      <c r="P73" s="236"/>
      <c r="Q73" s="236"/>
      <c r="Z73" s="54"/>
      <c r="AA73" s="54"/>
      <c r="AB73" s="54"/>
    </row>
    <row r="74" spans="3:28" ht="15.75" customHeight="1">
      <c r="D74" s="44"/>
      <c r="E74" s="44"/>
      <c r="F74" s="44"/>
      <c r="G74" s="44"/>
      <c r="H74" s="44"/>
      <c r="I74" s="45"/>
      <c r="J74" s="46"/>
      <c r="K74" s="46"/>
      <c r="M74" s="42"/>
      <c r="O74" s="272"/>
      <c r="P74" s="272"/>
      <c r="Q74" s="272"/>
    </row>
    <row r="75" spans="3:28" s="47" customFormat="1" ht="15.75" customHeight="1">
      <c r="C75" s="32" t="s">
        <v>16</v>
      </c>
      <c r="D75" s="85" t="str">
        <f>IF(Indice_index!$Z$1=1,"janeiro","January")</f>
        <v>January</v>
      </c>
      <c r="E75" s="85">
        <v>3073.5563798699995</v>
      </c>
      <c r="F75" s="85">
        <v>3341.5428716400006</v>
      </c>
      <c r="G75" s="85">
        <v>3805.2303966700001</v>
      </c>
      <c r="H75" s="85">
        <v>3522.9457239799995</v>
      </c>
      <c r="I75" s="85">
        <f t="shared" ref="I75:I84" si="15">IF(F75="","",+F75-H75)</f>
        <v>-181.40285233999884</v>
      </c>
      <c r="J75" s="219">
        <f t="shared" ref="J75:J84" si="16">IF(F75="","",IF(E75=0,"-",(F75-E75)/E75))</f>
        <v>8.7191012185478742E-2</v>
      </c>
      <c r="K75" s="219">
        <f t="shared" ref="K75:K84" si="17">IF(H75="","",IF(G75=0,"-",(H75-G75)/G75))</f>
        <v>-7.4183332745641664E-2</v>
      </c>
      <c r="L75"/>
      <c r="M75" s="218"/>
      <c r="O75" s="273"/>
      <c r="P75" s="273"/>
      <c r="Q75" s="272"/>
      <c r="Z75" s="14"/>
      <c r="AA75" s="14"/>
      <c r="AB75" s="14"/>
    </row>
    <row r="76" spans="3:28" s="47" customFormat="1" ht="15.75" customHeight="1">
      <c r="C76" s="85"/>
      <c r="D76" s="85" t="str">
        <f>IF(Indice_index!$Z$1=1,"fevereiro","February")</f>
        <v>February</v>
      </c>
      <c r="E76" s="85">
        <v>6436.1101623699997</v>
      </c>
      <c r="F76" s="85">
        <v>6870.3325750500007</v>
      </c>
      <c r="G76" s="85">
        <v>7304.2638447599984</v>
      </c>
      <c r="H76" s="85">
        <v>7449.3841173699993</v>
      </c>
      <c r="I76" s="85">
        <f t="shared" si="15"/>
        <v>-579.05154231999859</v>
      </c>
      <c r="J76" s="219">
        <f t="shared" si="16"/>
        <v>6.7466591112558774E-2</v>
      </c>
      <c r="K76" s="219">
        <f t="shared" si="17"/>
        <v>1.9867884799110686E-2</v>
      </c>
      <c r="L76"/>
      <c r="M76" s="218"/>
      <c r="O76" s="273"/>
      <c r="P76" s="274"/>
      <c r="Q76" s="273"/>
      <c r="Z76" s="14"/>
      <c r="AA76" s="14"/>
      <c r="AB76" s="14"/>
    </row>
    <row r="77" spans="3:28" s="47" customFormat="1" ht="15.75" customHeight="1">
      <c r="C77" s="85"/>
      <c r="D77" s="85" t="str">
        <f>IF(Indice_index!$Z$1=1,"março","March")</f>
        <v>March</v>
      </c>
      <c r="E77" s="85">
        <v>8947.7000000000007</v>
      </c>
      <c r="F77" s="85">
        <v>9334.9</v>
      </c>
      <c r="G77" s="85">
        <v>10788.6</v>
      </c>
      <c r="H77" s="85">
        <v>10824.3</v>
      </c>
      <c r="I77" s="85">
        <f t="shared" si="15"/>
        <v>-1489.3999999999996</v>
      </c>
      <c r="J77" s="219">
        <f t="shared" si="16"/>
        <v>4.3273690445589243E-2</v>
      </c>
      <c r="K77" s="219">
        <f t="shared" si="17"/>
        <v>3.30904844001992E-3</v>
      </c>
      <c r="L77"/>
      <c r="M77" s="218"/>
      <c r="O77" s="273"/>
      <c r="P77" s="273"/>
      <c r="Q77" s="273"/>
      <c r="Z77" s="14"/>
      <c r="AA77" s="14"/>
      <c r="AB77" s="14"/>
    </row>
    <row r="78" spans="3:28" s="47" customFormat="1" ht="15.75" customHeight="1">
      <c r="C78" s="85"/>
      <c r="D78" s="85" t="str">
        <f>IF(Indice_index!$Z$1=1,"abril","April")</f>
        <v>April</v>
      </c>
      <c r="E78" s="85">
        <v>11620.7</v>
      </c>
      <c r="F78" s="85">
        <v>12135.6</v>
      </c>
      <c r="G78" s="85">
        <v>14589.7</v>
      </c>
      <c r="H78" s="85">
        <v>14876.2</v>
      </c>
      <c r="I78" s="85">
        <f t="shared" si="15"/>
        <v>-2740.6000000000004</v>
      </c>
      <c r="J78" s="219">
        <f t="shared" si="16"/>
        <v>4.4308862633059935E-2</v>
      </c>
      <c r="K78" s="219">
        <f t="shared" si="17"/>
        <v>1.963714127089659E-2</v>
      </c>
      <c r="L78"/>
      <c r="M78" s="218"/>
      <c r="N78"/>
      <c r="O78"/>
      <c r="P78"/>
      <c r="Q78"/>
      <c r="Z78" s="14"/>
      <c r="AA78" s="14"/>
      <c r="AB78" s="14"/>
    </row>
    <row r="79" spans="3:28" s="47" customFormat="1" ht="15.75" customHeight="1">
      <c r="C79" s="85"/>
      <c r="D79" s="85" t="str">
        <f>IF(Indice_index!$Z$1=1,"maio","May")</f>
        <v>May</v>
      </c>
      <c r="E79" s="85">
        <v>15976.547066900002</v>
      </c>
      <c r="F79" s="85">
        <v>16178.136649690003</v>
      </c>
      <c r="G79" s="85">
        <v>18646.484580069995</v>
      </c>
      <c r="H79" s="85">
        <v>18564.580004220003</v>
      </c>
      <c r="I79" s="85">
        <f t="shared" si="15"/>
        <v>-2386.4433545299999</v>
      </c>
      <c r="J79" s="219">
        <f t="shared" si="16"/>
        <v>1.2617844265464029E-2</v>
      </c>
      <c r="K79" s="219">
        <f t="shared" si="17"/>
        <v>-4.3924942258303651E-3</v>
      </c>
      <c r="M79"/>
      <c r="N79"/>
      <c r="O79"/>
      <c r="P79"/>
      <c r="Q79"/>
      <c r="Z79" s="14"/>
      <c r="AA79" s="14"/>
      <c r="AB79" s="14"/>
    </row>
    <row r="80" spans="3:28" s="47" customFormat="1" ht="15.75" customHeight="1">
      <c r="C80" s="85"/>
      <c r="D80" s="40" t="str">
        <f>IF(Indice_index!$Z$1=1,"junho","June")</f>
        <v>June</v>
      </c>
      <c r="E80" s="40">
        <v>18667.462441070005</v>
      </c>
      <c r="F80" s="40">
        <v>19007.494346359999</v>
      </c>
      <c r="G80" s="40">
        <v>23501.930389390003</v>
      </c>
      <c r="H80" s="40">
        <v>24313.460831789998</v>
      </c>
      <c r="I80" s="40">
        <f t="shared" si="15"/>
        <v>-5305.966485429999</v>
      </c>
      <c r="J80" s="241">
        <f t="shared" si="16"/>
        <v>1.82152183974344E-2</v>
      </c>
      <c r="K80" s="241">
        <f t="shared" si="17"/>
        <v>3.4530373843944417E-2</v>
      </c>
      <c r="L80"/>
      <c r="M80"/>
      <c r="N80"/>
      <c r="O80"/>
      <c r="P80"/>
      <c r="Q80"/>
      <c r="Z80" s="14"/>
      <c r="AA80" s="14"/>
      <c r="AB80" s="14"/>
    </row>
    <row r="81" spans="3:28" s="47" customFormat="1" ht="15.75" customHeight="1">
      <c r="C81" s="85"/>
      <c r="D81" s="45" t="str">
        <f>IF(Indice_index!$Z$1=1,"julho","July")</f>
        <v>July</v>
      </c>
      <c r="E81" s="45">
        <v>22010.049438510003</v>
      </c>
      <c r="F81" s="45">
        <v>22381.789571229994</v>
      </c>
      <c r="G81" s="45">
        <v>27686.129182839999</v>
      </c>
      <c r="H81" s="45">
        <v>29023.985729219999</v>
      </c>
      <c r="I81" s="45">
        <f t="shared" si="15"/>
        <v>-6642.1961579900053</v>
      </c>
      <c r="J81" s="221">
        <f t="shared" si="16"/>
        <v>1.688956373126424E-2</v>
      </c>
      <c r="K81" s="221">
        <f t="shared" si="17"/>
        <v>4.8322267715532101E-2</v>
      </c>
      <c r="L81"/>
      <c r="M81"/>
      <c r="N81"/>
      <c r="O81"/>
      <c r="P81"/>
      <c r="Q81"/>
      <c r="Z81" s="14"/>
      <c r="AA81" s="14"/>
      <c r="AB81" s="14"/>
    </row>
    <row r="82" spans="3:28" s="47" customFormat="1" ht="15.75" customHeight="1">
      <c r="C82" s="85"/>
      <c r="D82" s="45" t="str">
        <f>IF(Indice_index!$Z$1=1,"agosto","August")</f>
        <v>August</v>
      </c>
      <c r="E82" s="45">
        <v>25224.452866629999</v>
      </c>
      <c r="F82" s="45">
        <v>26585.739591389996</v>
      </c>
      <c r="G82" s="45">
        <v>31236.367103650002</v>
      </c>
      <c r="H82" s="45">
        <v>32262.193775839994</v>
      </c>
      <c r="I82" s="45">
        <f t="shared" si="15"/>
        <v>-5676.4541844499981</v>
      </c>
      <c r="J82" s="221">
        <f t="shared" si="16"/>
        <v>5.3966947547190371E-2</v>
      </c>
      <c r="K82" s="221">
        <f t="shared" si="17"/>
        <v>3.2840780388642694E-2</v>
      </c>
      <c r="L82"/>
      <c r="M82"/>
      <c r="N82"/>
      <c r="O82"/>
      <c r="P82"/>
      <c r="Q82"/>
      <c r="Z82" s="14"/>
      <c r="AA82" s="14"/>
      <c r="AB82" s="14"/>
    </row>
    <row r="83" spans="3:28" s="47" customFormat="1" ht="15.75" customHeight="1">
      <c r="C83" s="45"/>
      <c r="D83" s="45" t="str">
        <f>IF(Indice_index!$Z$1=1,"setembro","September")</f>
        <v>September</v>
      </c>
      <c r="E83" s="45">
        <v>29507.1</v>
      </c>
      <c r="F83" s="45">
        <v>30609.4</v>
      </c>
      <c r="G83" s="45">
        <v>34938.199999999997</v>
      </c>
      <c r="H83" s="45">
        <v>35799.9</v>
      </c>
      <c r="I83" s="45">
        <f t="shared" si="15"/>
        <v>-5190.5</v>
      </c>
      <c r="J83" s="221">
        <f t="shared" si="16"/>
        <v>3.7357110661501908E-2</v>
      </c>
      <c r="K83" s="221">
        <f t="shared" si="17"/>
        <v>2.4663548780418123E-2</v>
      </c>
      <c r="L83"/>
      <c r="M83"/>
      <c r="N83"/>
      <c r="O83"/>
      <c r="P83"/>
      <c r="Q83"/>
      <c r="Z83" s="14"/>
      <c r="AA83" s="14"/>
      <c r="AB83" s="14"/>
    </row>
    <row r="84" spans="3:28" ht="15.75" customHeight="1">
      <c r="C84" s="45"/>
      <c r="D84" s="45" t="str">
        <f>IF(Indice_index!$Z$1=1,"outubro","October")</f>
        <v>October</v>
      </c>
      <c r="E84" s="45">
        <v>32469.57234961</v>
      </c>
      <c r="F84" s="45">
        <v>33606.112759560005</v>
      </c>
      <c r="G84" s="45">
        <v>40166.446529140012</v>
      </c>
      <c r="H84" s="45">
        <v>40696.629246889992</v>
      </c>
      <c r="I84" s="45">
        <f t="shared" si="15"/>
        <v>-7090.5164873299873</v>
      </c>
      <c r="J84" s="221">
        <f t="shared" si="16"/>
        <v>3.5003245429675513E-2</v>
      </c>
      <c r="K84" s="221">
        <f t="shared" si="17"/>
        <v>1.3199642078503066E-2</v>
      </c>
      <c r="M84"/>
      <c r="N84"/>
      <c r="O84"/>
      <c r="P84"/>
      <c r="Q84"/>
    </row>
    <row r="85" spans="3:28" s="36" customFormat="1" ht="15.75" customHeight="1">
      <c r="C85" s="45"/>
      <c r="D85" s="45" t="str">
        <f>IF(Indice_index!$Z$1=1,"novembro","November")</f>
        <v>November</v>
      </c>
      <c r="E85" s="45">
        <v>35949.176666640007</v>
      </c>
      <c r="F85" s="45">
        <v>37198.639503879996</v>
      </c>
      <c r="G85" s="45">
        <v>44542.026323209997</v>
      </c>
      <c r="H85" s="45">
        <v>44633.816127459984</v>
      </c>
      <c r="I85" s="45">
        <f>IF(F85="","",+F85-H85)</f>
        <v>-7435.1766235799878</v>
      </c>
      <c r="J85" s="221">
        <f>IF(F85="","",IF(E85=0,"-",(F85-E85)/E85))</f>
        <v>3.4756368659743506E-2</v>
      </c>
      <c r="K85" s="221">
        <f>IF(H85="","",IF(G85=0,"-",(H85-G85)/G85))</f>
        <v>2.0607460375496535E-3</v>
      </c>
      <c r="L85" s="236"/>
      <c r="M85" s="236"/>
      <c r="N85" s="236"/>
      <c r="O85" s="236"/>
      <c r="P85" s="236"/>
      <c r="Q85" s="236"/>
      <c r="Z85" s="54"/>
      <c r="AA85" s="54"/>
      <c r="AB85" s="54"/>
    </row>
    <row r="86" spans="3:28" s="36" customFormat="1" ht="15.75" customHeight="1">
      <c r="C86" s="45"/>
      <c r="D86" s="45" t="str">
        <f>IF(Indice_index!$Z$1=1,"dezembro","December")</f>
        <v>December</v>
      </c>
      <c r="E86" s="45">
        <v>41216.06146099</v>
      </c>
      <c r="F86" s="45">
        <v>41311.396839840003</v>
      </c>
      <c r="G86" s="45">
        <v>48880.595189239997</v>
      </c>
      <c r="H86" s="45">
        <v>48403.895765339992</v>
      </c>
      <c r="I86" s="45">
        <f>IF(F86="","",+F86-H86)</f>
        <v>-7092.4989254999891</v>
      </c>
      <c r="J86" s="221">
        <f>IF(F86="","",IF(E86=0,"-",(F86-E86)/E86))</f>
        <v>2.3130637783097064E-3</v>
      </c>
      <c r="K86" s="221">
        <f>IF(H86="","",IF(G86=0,"-",(H86-G86)/G86))</f>
        <v>-9.7523244562484398E-3</v>
      </c>
      <c r="L86" s="236"/>
      <c r="M86" s="236"/>
      <c r="N86" s="236"/>
      <c r="O86" s="236"/>
      <c r="P86" s="236"/>
      <c r="Q86" s="236"/>
      <c r="Z86" s="54"/>
      <c r="AA86" s="54"/>
      <c r="AB86" s="54"/>
    </row>
    <row r="87" spans="3:28" ht="15.75" customHeight="1">
      <c r="D87" s="44"/>
      <c r="E87" s="44"/>
      <c r="F87" s="44"/>
      <c r="G87" s="44"/>
      <c r="H87" s="44"/>
      <c r="I87" s="45"/>
      <c r="J87" s="46"/>
      <c r="K87" s="46"/>
      <c r="M87" s="42"/>
      <c r="O87" s="272"/>
      <c r="P87" s="272"/>
      <c r="Q87" s="272"/>
    </row>
    <row r="88" spans="3:28" s="47" customFormat="1" ht="15.75" customHeight="1">
      <c r="C88" s="32" t="s">
        <v>23</v>
      </c>
      <c r="D88" s="85" t="str">
        <f>IF(Indice_index!$Z$1=1,"janeiro","January")</f>
        <v>January</v>
      </c>
      <c r="E88" s="85">
        <v>3347.6216923000002</v>
      </c>
      <c r="F88" s="85">
        <v>3129.7024166199994</v>
      </c>
      <c r="G88" s="85">
        <v>3522.9457239799995</v>
      </c>
      <c r="H88" s="85">
        <v>3547.7418319999992</v>
      </c>
      <c r="I88" s="85">
        <f>IF(F88="","",+F88-H88)</f>
        <v>-418.03941537999981</v>
      </c>
      <c r="J88" s="219">
        <f>IF(F88="","",IF(E88=0,"-",(F88-E88)/E88))</f>
        <v>-6.5096745005938289E-2</v>
      </c>
      <c r="K88" s="219">
        <f>IF(H88="","",IF(G88=0,"-",(H88-G88)/G88))</f>
        <v>7.0384587111909092E-3</v>
      </c>
      <c r="L88"/>
      <c r="M88" s="218"/>
      <c r="O88" s="273"/>
      <c r="P88" s="273"/>
      <c r="Q88" s="272"/>
      <c r="Z88" s="14"/>
      <c r="AA88" s="14"/>
      <c r="AB88" s="14"/>
    </row>
    <row r="89" spans="3:28" s="47" customFormat="1" ht="15.75" customHeight="1">
      <c r="C89" s="85"/>
      <c r="D89" s="85" t="str">
        <f>IF(Indice_index!$Z$1=1,"fevereiro","February")</f>
        <v>February</v>
      </c>
      <c r="E89" s="85">
        <v>6872.2773590799989</v>
      </c>
      <c r="F89" s="85">
        <v>6941.18559903</v>
      </c>
      <c r="G89" s="85">
        <v>7449.3851796200006</v>
      </c>
      <c r="H89" s="85">
        <v>7911.4297649099981</v>
      </c>
      <c r="I89" s="85">
        <f>IF(F89="","",+F89-H89)</f>
        <v>-970.24416587999804</v>
      </c>
      <c r="J89" s="219">
        <f t="shared" ref="J89:J97" si="18">IF(F89="","",IF(E89=0,"-",(F89-E89)/E89))</f>
        <v>1.0026987612622495E-2</v>
      </c>
      <c r="K89" s="219">
        <f t="shared" ref="K89:K97" si="19">IF(H89="","",IF(G89=0,"-",(H89-G89)/G89))</f>
        <v>6.2024526071501482E-2</v>
      </c>
      <c r="L89"/>
      <c r="M89" s="218"/>
      <c r="O89" s="273"/>
      <c r="P89" s="274"/>
      <c r="Q89" s="273"/>
      <c r="Z89" s="14"/>
      <c r="AA89" s="14"/>
      <c r="AB89" s="14"/>
    </row>
    <row r="90" spans="3:28" s="47" customFormat="1" ht="15.75" customHeight="1">
      <c r="C90" s="85"/>
      <c r="D90" s="85" t="str">
        <f>IF(Indice_index!$Z$1=1,"março","March")</f>
        <v>March</v>
      </c>
      <c r="E90" s="85">
        <v>9346.5399540699982</v>
      </c>
      <c r="F90" s="85">
        <v>9881.7677151700009</v>
      </c>
      <c r="G90" s="85">
        <v>10824.253915879999</v>
      </c>
      <c r="H90" s="85">
        <v>11431.25275544</v>
      </c>
      <c r="I90" s="85">
        <f t="shared" ref="I90:I97" si="20">IF(F90="","",+F90-H90)</f>
        <v>-1549.4850402699994</v>
      </c>
      <c r="J90" s="219">
        <f t="shared" si="18"/>
        <v>5.7264802133214554E-2</v>
      </c>
      <c r="K90" s="219">
        <f t="shared" si="19"/>
        <v>5.6077660804823508E-2</v>
      </c>
      <c r="L90"/>
      <c r="M90" s="218"/>
      <c r="O90" s="273"/>
      <c r="P90" s="273"/>
      <c r="Q90" s="273"/>
      <c r="Z90" s="14"/>
      <c r="AA90" s="14"/>
      <c r="AB90" s="14"/>
    </row>
    <row r="91" spans="3:28" s="47" customFormat="1" ht="15.75" customHeight="1">
      <c r="C91" s="85"/>
      <c r="D91" s="85" t="str">
        <f>IF(Indice_index!$Z$1=1,"abril","April")</f>
        <v>April</v>
      </c>
      <c r="E91" s="85">
        <v>12144.840958160001</v>
      </c>
      <c r="F91" s="85">
        <v>12881.780260279998</v>
      </c>
      <c r="G91" s="85">
        <v>14874.133952060009</v>
      </c>
      <c r="H91" s="85">
        <v>15728.559808169999</v>
      </c>
      <c r="I91" s="85">
        <f t="shared" si="20"/>
        <v>-2846.7795478900007</v>
      </c>
      <c r="J91" s="219">
        <f t="shared" si="18"/>
        <v>6.0679205652738932E-2</v>
      </c>
      <c r="K91" s="219">
        <f t="shared" si="19"/>
        <v>5.744373816074555E-2</v>
      </c>
      <c r="L91"/>
      <c r="M91" s="218"/>
      <c r="N91"/>
      <c r="O91"/>
      <c r="P91"/>
      <c r="Q91"/>
      <c r="Z91" s="14"/>
      <c r="AA91" s="14"/>
      <c r="AB91" s="14"/>
    </row>
    <row r="92" spans="3:28" s="47" customFormat="1" ht="15.75" customHeight="1">
      <c r="C92" s="85"/>
      <c r="D92" s="85" t="str">
        <f>IF(Indice_index!$Z$1=1,"maio","May")</f>
        <v>May</v>
      </c>
      <c r="E92" s="85">
        <v>16193.945441709999</v>
      </c>
      <c r="F92" s="85">
        <v>16973.64095864</v>
      </c>
      <c r="G92" s="85">
        <v>18562.50819822001</v>
      </c>
      <c r="H92" s="85">
        <v>19558.437705079999</v>
      </c>
      <c r="I92" s="85">
        <f t="shared" si="20"/>
        <v>-2584.796746439999</v>
      </c>
      <c r="J92" s="219">
        <f t="shared" si="18"/>
        <v>4.8147347398230449E-2</v>
      </c>
      <c r="K92" s="219">
        <f t="shared" si="19"/>
        <v>5.3652744350329275E-2</v>
      </c>
      <c r="M92"/>
      <c r="N92"/>
      <c r="O92"/>
      <c r="P92"/>
      <c r="Q92"/>
      <c r="Z92" s="14"/>
      <c r="AA92" s="14"/>
      <c r="AB92" s="14"/>
    </row>
    <row r="93" spans="3:28" s="47" customFormat="1" ht="15.75" customHeight="1">
      <c r="C93" s="85"/>
      <c r="D93" s="40" t="str">
        <f>IF(Indice_index!$Z$1=1,"junho","June")</f>
        <v>June</v>
      </c>
      <c r="E93" s="40">
        <v>19021.96208619</v>
      </c>
      <c r="F93" s="40">
        <v>19935.125493569998</v>
      </c>
      <c r="G93" s="40">
        <v>24313.460831789995</v>
      </c>
      <c r="H93" s="40">
        <v>25063.281130730003</v>
      </c>
      <c r="I93" s="40">
        <f t="shared" si="20"/>
        <v>-5128.1556371600054</v>
      </c>
      <c r="J93" s="241">
        <f t="shared" si="18"/>
        <v>4.80057421648925E-2</v>
      </c>
      <c r="K93" s="241">
        <f t="shared" si="19"/>
        <v>3.0839718957640712E-2</v>
      </c>
      <c r="L93"/>
      <c r="M93"/>
      <c r="N93"/>
      <c r="O93"/>
      <c r="P93"/>
      <c r="Q93"/>
      <c r="Z93" s="14"/>
      <c r="AA93" s="14"/>
      <c r="AB93" s="14"/>
    </row>
    <row r="94" spans="3:28" s="47" customFormat="1" ht="15.75" customHeight="1">
      <c r="C94" s="85"/>
      <c r="D94" s="45" t="str">
        <f>IF(Indice_index!$Z$1=1,"julho","July")</f>
        <v>July</v>
      </c>
      <c r="E94" s="45">
        <v>22394.967315039998</v>
      </c>
      <c r="F94" s="45">
        <v>23222.096905969996</v>
      </c>
      <c r="G94" s="45">
        <v>29023.985729220003</v>
      </c>
      <c r="H94" s="45">
        <v>29714.251007250004</v>
      </c>
      <c r="I94" s="45">
        <f t="shared" si="20"/>
        <v>-6492.154101280008</v>
      </c>
      <c r="J94" s="221">
        <f t="shared" si="18"/>
        <v>3.6933726193675472E-2</v>
      </c>
      <c r="K94" s="221">
        <f t="shared" si="19"/>
        <v>2.378258053424669E-2</v>
      </c>
      <c r="L94"/>
      <c r="M94"/>
      <c r="N94"/>
      <c r="O94"/>
      <c r="P94"/>
      <c r="Q94"/>
      <c r="Z94" s="14"/>
      <c r="AA94" s="14"/>
      <c r="AB94" s="14"/>
    </row>
    <row r="95" spans="3:28" s="47" customFormat="1" ht="15.75" customHeight="1">
      <c r="C95" s="85"/>
      <c r="D95" s="45" t="str">
        <f>IF(Indice_index!$Z$1=1,"agosto","August")</f>
        <v>August</v>
      </c>
      <c r="E95" s="45">
        <v>26597.320784509997</v>
      </c>
      <c r="F95" s="45">
        <v>27869.661134359998</v>
      </c>
      <c r="G95" s="45">
        <v>32262.193775840002</v>
      </c>
      <c r="H95" s="45">
        <v>33102.96175930999</v>
      </c>
      <c r="I95" s="45">
        <f t="shared" si="20"/>
        <v>-5233.3006249499922</v>
      </c>
      <c r="J95" s="221">
        <f t="shared" si="18"/>
        <v>4.7837162252485181E-2</v>
      </c>
      <c r="K95" s="221">
        <f t="shared" si="19"/>
        <v>2.6060471563456089E-2</v>
      </c>
      <c r="L95"/>
      <c r="M95"/>
      <c r="N95"/>
      <c r="O95"/>
      <c r="P95"/>
      <c r="Q95"/>
      <c r="Z95" s="14"/>
      <c r="AA95" s="14"/>
      <c r="AB95" s="14"/>
    </row>
    <row r="96" spans="3:28" s="47" customFormat="1" ht="15.75" customHeight="1">
      <c r="C96" s="45"/>
      <c r="D96" s="45" t="str">
        <f>IF(Indice_index!$Z$1=1,"setembro","September")</f>
        <v>September</v>
      </c>
      <c r="E96" s="45">
        <v>30622.318921359994</v>
      </c>
      <c r="F96" s="45">
        <v>32112.371813720001</v>
      </c>
      <c r="G96" s="45">
        <v>35799.926084090017</v>
      </c>
      <c r="H96" s="45">
        <v>36367.757157459986</v>
      </c>
      <c r="I96" s="45">
        <f t="shared" si="20"/>
        <v>-4255.3853437399848</v>
      </c>
      <c r="J96" s="221">
        <f t="shared" si="18"/>
        <v>4.8659048199013101E-2</v>
      </c>
      <c r="K96" s="221">
        <f t="shared" si="19"/>
        <v>1.5861235915297631E-2</v>
      </c>
      <c r="L96"/>
      <c r="M96"/>
      <c r="N96"/>
      <c r="O96"/>
      <c r="P96"/>
      <c r="Q96"/>
      <c r="Z96" s="14"/>
      <c r="AA96" s="14"/>
      <c r="AB96" s="14"/>
    </row>
    <row r="97" spans="3:28" ht="15.75" customHeight="1">
      <c r="C97" s="45"/>
      <c r="D97" s="45" t="str">
        <f>IF(Indice_index!$Z$1=1,"outubro","October")</f>
        <v>October</v>
      </c>
      <c r="E97" s="45">
        <v>33625.662460430009</v>
      </c>
      <c r="F97" s="45">
        <v>35224.437615720002</v>
      </c>
      <c r="G97" s="45">
        <v>40696.637479889985</v>
      </c>
      <c r="H97" s="45">
        <v>41337.442813879985</v>
      </c>
      <c r="I97" s="45">
        <f t="shared" si="20"/>
        <v>-6113.0051981599827</v>
      </c>
      <c r="J97" s="221">
        <f t="shared" si="18"/>
        <v>4.7546279784715005E-2</v>
      </c>
      <c r="K97" s="221">
        <f t="shared" si="19"/>
        <v>1.5745903683237961E-2</v>
      </c>
      <c r="M97"/>
      <c r="N97"/>
      <c r="O97"/>
      <c r="P97"/>
      <c r="Q97"/>
    </row>
    <row r="98" spans="3:28" s="36" customFormat="1" ht="15.75" customHeight="1">
      <c r="C98" s="45"/>
      <c r="D98" s="45" t="str">
        <f>IF(Indice_index!$Z$1=1,"novembro","November")</f>
        <v>November</v>
      </c>
      <c r="E98" s="45">
        <v>37218.336771850001</v>
      </c>
      <c r="F98" s="45">
        <v>38890.425989989999</v>
      </c>
      <c r="G98" s="45">
        <v>44633.823483110013</v>
      </c>
      <c r="H98" s="45">
        <v>45005.892768899976</v>
      </c>
      <c r="I98" s="45">
        <f>IF(F98="","",+F98-H98)</f>
        <v>-6115.4667789099767</v>
      </c>
      <c r="J98" s="221">
        <f>IF(F98="","",IF(E98=0,"-",(F98-E98)/E98))</f>
        <v>4.4926489552447664E-2</v>
      </c>
      <c r="K98" s="221">
        <f>IF(H98="","",IF(G98=0,"-",(H98-G98)/G98))</f>
        <v>8.3360388323164523E-3</v>
      </c>
      <c r="L98" s="236"/>
      <c r="M98" s="236"/>
      <c r="N98" s="236"/>
      <c r="O98" s="236"/>
      <c r="P98" s="236"/>
      <c r="Q98" s="236"/>
      <c r="Z98" s="54"/>
      <c r="AA98" s="54"/>
      <c r="AB98" s="54"/>
    </row>
    <row r="99" spans="3:28" s="36" customFormat="1" ht="15.75" customHeight="1">
      <c r="C99" s="45"/>
      <c r="D99" s="45" t="str">
        <f>IF(Indice_index!$Z$1=1,"dezembro","December")</f>
        <v>December</v>
      </c>
      <c r="E99" s="45">
        <v>41329.370543869998</v>
      </c>
      <c r="F99" s="45">
        <v>42887.065971920005</v>
      </c>
      <c r="G99" s="45">
        <v>48457.294034290004</v>
      </c>
      <c r="H99" s="45">
        <v>48493.498714890004</v>
      </c>
      <c r="I99" s="45">
        <f>IF(F99="","",+F99-H99)</f>
        <v>-5606.4327429699988</v>
      </c>
      <c r="J99" s="221">
        <f>IF(F99="","",IF(E99=0,"-",(F99-E99)/E99))</f>
        <v>3.7689793179805524E-2</v>
      </c>
      <c r="K99" s="221">
        <f>IF(H99="","",IF(G99=0,"-",(H99-G99)/G99))</f>
        <v>7.4714614840812614E-4</v>
      </c>
      <c r="L99" s="236"/>
      <c r="M99" s="236"/>
      <c r="N99" s="236"/>
      <c r="O99" s="236"/>
      <c r="P99" s="236"/>
      <c r="Q99" s="236"/>
      <c r="Z99" s="54"/>
      <c r="AA99" s="54"/>
      <c r="AB99" s="54"/>
    </row>
    <row r="100" spans="3:28" ht="15.75" customHeight="1">
      <c r="D100" s="44"/>
      <c r="E100" s="44"/>
      <c r="F100" s="44"/>
      <c r="G100" s="44"/>
      <c r="H100" s="44"/>
      <c r="I100" s="45"/>
      <c r="J100" s="46"/>
      <c r="K100" s="46"/>
      <c r="M100" s="42"/>
      <c r="O100" s="272"/>
      <c r="P100" s="272"/>
      <c r="Q100" s="272"/>
    </row>
    <row r="101" spans="3:28" s="47" customFormat="1" ht="15.75" customHeight="1">
      <c r="C101" s="32" t="s">
        <v>117</v>
      </c>
      <c r="D101" s="85" t="str">
        <f>IF(Indice_index!$Z$1=1,"janeiro","January")</f>
        <v>January</v>
      </c>
      <c r="E101" s="85">
        <v>3139.3484322699996</v>
      </c>
      <c r="F101" s="85">
        <v>3347.0295941700001</v>
      </c>
      <c r="G101" s="85">
        <v>3547.7435720000003</v>
      </c>
      <c r="H101" s="85">
        <v>3585.1964197899988</v>
      </c>
      <c r="I101" s="85">
        <f>IF(F101="","",+F101-H101)</f>
        <v>-238.16682561999869</v>
      </c>
      <c r="J101" s="219">
        <f>IF(F101="","",IF(E101=0,"-",(F101-E101)/E101))</f>
        <v>6.6154224795567027E-2</v>
      </c>
      <c r="K101" s="219">
        <f>IF(H101="","",IF(G101=0,"-",(H101-G101)/G101))</f>
        <v>1.0556808018930429E-2</v>
      </c>
      <c r="L101"/>
      <c r="M101" s="218"/>
      <c r="O101" s="273"/>
      <c r="P101" s="273"/>
      <c r="Q101" s="272"/>
      <c r="Z101" s="14"/>
      <c r="AA101" s="14"/>
      <c r="AB101" s="14"/>
    </row>
    <row r="102" spans="3:28" s="47" customFormat="1" ht="15.75" customHeight="1">
      <c r="C102" s="85"/>
      <c r="D102" s="85" t="str">
        <f>IF(Indice_index!$Z$1=1,"fevereiro","February")</f>
        <v>February</v>
      </c>
      <c r="E102" s="85">
        <v>6948.5731441500002</v>
      </c>
      <c r="F102" s="85">
        <v>7104.7198634300003</v>
      </c>
      <c r="G102" s="85">
        <v>7911.4297649100008</v>
      </c>
      <c r="H102" s="85">
        <v>8310.6510861900024</v>
      </c>
      <c r="I102" s="85">
        <f>IF(F102="","",+F102-H102)</f>
        <v>-1205.9312227600021</v>
      </c>
      <c r="J102" s="219">
        <f t="shared" ref="J102:J110" si="21">IF(F102="","",IF(E102=0,"-",(F102-E102)/E102))</f>
        <v>2.2471767374494706E-2</v>
      </c>
      <c r="K102" s="219">
        <f t="shared" ref="K102:K110" si="22">IF(H102="","",IF(G102=0,"-",(H102-G102)/G102))</f>
        <v>5.0461336716997707E-2</v>
      </c>
      <c r="L102"/>
      <c r="M102" s="218"/>
      <c r="O102" s="273"/>
      <c r="P102" s="274"/>
      <c r="Q102" s="273"/>
      <c r="Z102" s="14"/>
      <c r="AA102" s="14"/>
      <c r="AB102" s="14"/>
    </row>
    <row r="103" spans="3:28" s="47" customFormat="1" ht="15.75" customHeight="1">
      <c r="C103" s="85"/>
      <c r="D103" s="85" t="str">
        <f>IF(Indice_index!$Z$1=1,"março","March")</f>
        <v>March</v>
      </c>
      <c r="E103" s="85">
        <v>9889.4702214400004</v>
      </c>
      <c r="F103" s="85">
        <v>9843.9334579399983</v>
      </c>
      <c r="G103" s="85">
        <v>11431.252755439997</v>
      </c>
      <c r="H103" s="85">
        <v>11805.141066449998</v>
      </c>
      <c r="I103" s="85">
        <f t="shared" ref="I103:I110" si="23">IF(F103="","",+F103-H103)</f>
        <v>-1961.2076085099998</v>
      </c>
      <c r="J103" s="219">
        <f t="shared" si="21"/>
        <v>-4.6045705665082098E-3</v>
      </c>
      <c r="K103" s="219">
        <f t="shared" si="22"/>
        <v>3.2707553494700961E-2</v>
      </c>
      <c r="L103"/>
      <c r="M103" s="218"/>
      <c r="O103" s="273"/>
      <c r="P103" s="273"/>
      <c r="Q103" s="273"/>
      <c r="Z103" s="14"/>
      <c r="AA103" s="14"/>
      <c r="AB103" s="14"/>
    </row>
    <row r="104" spans="3:28" s="47" customFormat="1" ht="15.75" customHeight="1">
      <c r="C104" s="85"/>
      <c r="D104" s="85" t="str">
        <f>IF(Indice_index!$Z$1=1,"abril","April")</f>
        <v>April</v>
      </c>
      <c r="E104" s="85">
        <v>12896.381322060002</v>
      </c>
      <c r="F104" s="85">
        <v>13116.564520420001</v>
      </c>
      <c r="G104" s="85">
        <v>15728.50918316999</v>
      </c>
      <c r="H104" s="85">
        <v>16018.286429889993</v>
      </c>
      <c r="I104" s="85">
        <f t="shared" si="23"/>
        <v>-2901.7219094699922</v>
      </c>
      <c r="J104" s="219">
        <f t="shared" si="21"/>
        <v>1.7073254338669609E-2</v>
      </c>
      <c r="K104" s="219">
        <f t="shared" si="22"/>
        <v>1.8423694410279769E-2</v>
      </c>
      <c r="L104"/>
      <c r="M104" s="218"/>
      <c r="N104"/>
      <c r="O104"/>
      <c r="P104"/>
      <c r="Q104"/>
      <c r="Z104" s="14"/>
      <c r="AA104" s="14"/>
      <c r="AB104" s="14"/>
    </row>
    <row r="105" spans="3:28" s="47" customFormat="1" ht="15.75" customHeight="1">
      <c r="C105" s="85"/>
      <c r="D105" s="85" t="str">
        <f>IF(Indice_index!$Z$1=1,"maio","May")</f>
        <v>May</v>
      </c>
      <c r="E105" s="85">
        <v>16987.53040616</v>
      </c>
      <c r="F105" s="85">
        <v>17539.215717320003</v>
      </c>
      <c r="G105" s="85">
        <v>19558.437705079996</v>
      </c>
      <c r="H105" s="85">
        <v>19844.34772268001</v>
      </c>
      <c r="I105" s="85">
        <f t="shared" si="23"/>
        <v>-2305.1320053600066</v>
      </c>
      <c r="J105" s="219">
        <f t="shared" si="21"/>
        <v>3.2475898377786069E-2</v>
      </c>
      <c r="K105" s="219">
        <f t="shared" si="22"/>
        <v>1.4618244151768482E-2</v>
      </c>
      <c r="M105"/>
      <c r="N105"/>
      <c r="O105"/>
      <c r="P105"/>
      <c r="Q105"/>
      <c r="Z105" s="14"/>
      <c r="AA105" s="14"/>
      <c r="AB105" s="14"/>
    </row>
    <row r="106" spans="3:28" s="47" customFormat="1" ht="15.75" customHeight="1">
      <c r="C106" s="85"/>
      <c r="D106" s="40" t="str">
        <f>IF(Indice_index!$Z$1=1,"junho","June")</f>
        <v>June</v>
      </c>
      <c r="E106" s="40">
        <v>19896.870416670001</v>
      </c>
      <c r="F106" s="40">
        <v>20479.755156169998</v>
      </c>
      <c r="G106" s="40">
        <v>25063.281130729993</v>
      </c>
      <c r="H106" s="40">
        <v>25295.634879329999</v>
      </c>
      <c r="I106" s="40">
        <f t="shared" si="23"/>
        <v>-4815.8797231600001</v>
      </c>
      <c r="J106" s="241">
        <f t="shared" si="21"/>
        <v>2.9295297566578355E-2</v>
      </c>
      <c r="K106" s="241">
        <f t="shared" si="22"/>
        <v>9.2706835704411388E-3</v>
      </c>
      <c r="L106"/>
      <c r="M106"/>
      <c r="N106"/>
      <c r="O106"/>
      <c r="P106"/>
      <c r="Q106"/>
      <c r="Z106" s="14"/>
      <c r="AA106" s="14"/>
      <c r="AB106" s="14"/>
    </row>
    <row r="107" spans="3:28" s="47" customFormat="1" ht="15.75" customHeight="1">
      <c r="C107" s="85"/>
      <c r="D107" s="45" t="str">
        <f>IF(Indice_index!$Z$1=1,"julho","July")</f>
        <v>July</v>
      </c>
      <c r="E107" s="45">
        <v>23225.913328989995</v>
      </c>
      <c r="F107" s="45">
        <v>23783.745032369996</v>
      </c>
      <c r="G107" s="45">
        <v>29700.431653579999</v>
      </c>
      <c r="H107" s="45">
        <v>30267.128245129996</v>
      </c>
      <c r="I107" s="45">
        <f t="shared" si="23"/>
        <v>-6483.3832127599999</v>
      </c>
      <c r="J107" s="221">
        <f t="shared" si="21"/>
        <v>2.401764337438261E-2</v>
      </c>
      <c r="K107" s="221">
        <f t="shared" si="22"/>
        <v>1.9080416007411425E-2</v>
      </c>
      <c r="L107"/>
      <c r="M107"/>
      <c r="N107"/>
      <c r="O107"/>
      <c r="P107"/>
      <c r="Q107"/>
      <c r="Z107" s="14"/>
      <c r="AA107" s="14"/>
      <c r="AB107" s="14"/>
    </row>
    <row r="108" spans="3:28" s="47" customFormat="1" ht="15.75" customHeight="1">
      <c r="C108" s="85"/>
      <c r="D108" s="45" t="str">
        <f>IF(Indice_index!$Z$1=1,"agosto","August")</f>
        <v>August</v>
      </c>
      <c r="E108" s="45">
        <v>27887.424954229999</v>
      </c>
      <c r="F108" s="45">
        <v>27855.30207342</v>
      </c>
      <c r="G108" s="45">
        <v>33102.96175930999</v>
      </c>
      <c r="H108" s="45">
        <v>33844.857332740015</v>
      </c>
      <c r="I108" s="45">
        <f t="shared" si="23"/>
        <v>-5989.5552593200155</v>
      </c>
      <c r="J108" s="221">
        <f t="shared" si="21"/>
        <v>-1.151876907341571E-3</v>
      </c>
      <c r="K108" s="221">
        <f t="shared" si="22"/>
        <v>2.2411758163040259E-2</v>
      </c>
      <c r="L108"/>
      <c r="M108"/>
      <c r="N108"/>
      <c r="O108"/>
      <c r="P108"/>
      <c r="Q108"/>
      <c r="Z108" s="14"/>
      <c r="AA108" s="14"/>
      <c r="AB108" s="14"/>
    </row>
    <row r="109" spans="3:28" s="47" customFormat="1" ht="15.75" customHeight="1">
      <c r="C109" s="45"/>
      <c r="D109" s="45" t="str">
        <f>IF(Indice_index!$Z$1=1,"setembro","September")</f>
        <v>September</v>
      </c>
      <c r="E109" s="45">
        <v>32131.011831209995</v>
      </c>
      <c r="F109" s="45">
        <v>32310.80791421</v>
      </c>
      <c r="G109" s="45">
        <v>36367.757157459986</v>
      </c>
      <c r="H109" s="45">
        <v>37277.679034519992</v>
      </c>
      <c r="I109" s="45">
        <f t="shared" si="23"/>
        <v>-4966.871120309992</v>
      </c>
      <c r="J109" s="221">
        <f t="shared" si="21"/>
        <v>5.5957180540876211E-3</v>
      </c>
      <c r="K109" s="221">
        <f t="shared" si="22"/>
        <v>2.5020016305112084E-2</v>
      </c>
      <c r="L109"/>
      <c r="M109"/>
      <c r="N109"/>
      <c r="O109"/>
      <c r="P109"/>
      <c r="Q109"/>
      <c r="Z109" s="14"/>
      <c r="AA109" s="14"/>
      <c r="AB109" s="14"/>
    </row>
    <row r="110" spans="3:28" ht="15.75" customHeight="1">
      <c r="C110" s="45"/>
      <c r="D110" s="45" t="str">
        <f>IF(Indice_index!$Z$1=1,"outubro","October")</f>
        <v>October</v>
      </c>
      <c r="E110" s="45">
        <v>35250.226169720001</v>
      </c>
      <c r="F110" s="45">
        <v>35562.74106167</v>
      </c>
      <c r="G110" s="45">
        <v>41337.442813879963</v>
      </c>
      <c r="H110" s="45">
        <v>42220.539408960009</v>
      </c>
      <c r="I110" s="45">
        <f t="shared" si="23"/>
        <v>-6657.7983472900087</v>
      </c>
      <c r="J110" s="221">
        <f t="shared" si="21"/>
        <v>8.8656138104001615E-3</v>
      </c>
      <c r="K110" s="221">
        <f t="shared" si="22"/>
        <v>2.1363116220230398E-2</v>
      </c>
      <c r="M110"/>
      <c r="N110"/>
      <c r="O110"/>
      <c r="P110"/>
      <c r="Q110"/>
    </row>
    <row r="111" spans="3:28" s="36" customFormat="1" ht="15.75" customHeight="1">
      <c r="C111" s="45"/>
      <c r="D111" s="45" t="str">
        <f>IF(Indice_index!$Z$1=1,"novembro","November")</f>
        <v>November</v>
      </c>
      <c r="E111" s="45">
        <v>38904.918743350005</v>
      </c>
      <c r="F111" s="45">
        <v>39347.189908240005</v>
      </c>
      <c r="G111" s="45">
        <v>45005.892768899976</v>
      </c>
      <c r="H111" s="45">
        <v>45887.275491189997</v>
      </c>
      <c r="I111" s="45">
        <f>IF(F111="","",+F111-H111)</f>
        <v>-6540.0855829499924</v>
      </c>
      <c r="J111" s="221">
        <f>IF(F111="","",IF(E111=0,"-",(F111-E111)/E111))</f>
        <v>1.1368001249600284E-2</v>
      </c>
      <c r="K111" s="221">
        <f>IF(H111="","",IF(G111=0,"-",(H111-G111)/G111))</f>
        <v>1.9583718221429791E-2</v>
      </c>
      <c r="L111" s="236"/>
      <c r="M111" s="236"/>
      <c r="N111" s="236"/>
      <c r="O111" s="236"/>
      <c r="P111" s="236"/>
      <c r="Q111" s="236"/>
      <c r="Z111" s="54"/>
      <c r="AA111" s="54"/>
      <c r="AB111" s="54"/>
    </row>
    <row r="112" spans="3:28" s="36" customFormat="1" ht="15.75" customHeight="1">
      <c r="C112" s="45"/>
      <c r="D112" s="45" t="str">
        <f>IF(Indice_index!$Z$1=1,"dezembro","December")</f>
        <v>December</v>
      </c>
      <c r="E112" s="45">
        <v>42887.065971920005</v>
      </c>
      <c r="F112" s="45">
        <v>44229.180940949998</v>
      </c>
      <c r="G112" s="45">
        <v>48493.498714890004</v>
      </c>
      <c r="H112" s="45">
        <v>50361.404708300004</v>
      </c>
      <c r="I112" s="45">
        <f>IF(F112="","",+F112-H112)</f>
        <v>-6132.2237673500058</v>
      </c>
      <c r="J112" s="221">
        <f>IF(F112="","",IF(E112=0,"-",(F112-E112)/E112))</f>
        <v>3.129416616909008E-2</v>
      </c>
      <c r="K112" s="221">
        <f>IF(H112="","",IF(G112=0,"-",(H112-G112)/G112))</f>
        <v>3.8518688956473604E-2</v>
      </c>
      <c r="L112" s="236"/>
      <c r="M112" s="236"/>
      <c r="N112" s="236"/>
      <c r="O112" s="236"/>
      <c r="P112" s="236"/>
      <c r="Q112" s="236"/>
      <c r="Z112" s="54"/>
      <c r="AA112" s="54"/>
      <c r="AB112" s="54"/>
    </row>
    <row r="113" spans="2:28" ht="15.75" customHeight="1">
      <c r="B113" s="36"/>
      <c r="C113" s="36"/>
      <c r="D113" s="45"/>
      <c r="E113" s="45"/>
      <c r="F113" s="45"/>
      <c r="G113" s="45"/>
      <c r="H113" s="45"/>
      <c r="I113" s="45"/>
      <c r="J113" s="67"/>
      <c r="K113" s="67"/>
      <c r="M113" s="42"/>
      <c r="O113" s="272"/>
      <c r="P113" s="272"/>
      <c r="Q113" s="272"/>
    </row>
    <row r="114" spans="2:28" s="47" customFormat="1" ht="15.75" customHeight="1">
      <c r="C114" s="32" t="s">
        <v>136</v>
      </c>
      <c r="D114" s="85" t="str">
        <f>IF(Indice_index!$Z$1=1,"janeiro","January")</f>
        <v>January</v>
      </c>
      <c r="E114" s="85">
        <v>3500.1873409199998</v>
      </c>
      <c r="F114" s="85">
        <v>3080.77739195</v>
      </c>
      <c r="G114" s="85">
        <v>3585.1964197899988</v>
      </c>
      <c r="H114" s="85">
        <v>3575.4330316800001</v>
      </c>
      <c r="I114" s="85">
        <f t="shared" ref="I114:I125" si="24">IF(F114="","",+F114-H114)</f>
        <v>-494.65563973000008</v>
      </c>
      <c r="J114" s="219">
        <f t="shared" ref="J114:J125" si="25">IF(F114="","",IF(E114=0,"-",(F114-E114)/E114))</f>
        <v>-0.11982500024120445</v>
      </c>
      <c r="K114" s="219">
        <f t="shared" ref="K114:K125" si="26">IF(H114="","",IF(G114=0,"-",(H114-G114)/G114))</f>
        <v>-2.7232505466382711E-3</v>
      </c>
      <c r="L114"/>
      <c r="M114" s="218"/>
      <c r="O114" s="273"/>
      <c r="P114" s="273"/>
      <c r="Q114" s="272"/>
      <c r="Z114" s="14"/>
      <c r="AA114" s="14"/>
      <c r="AB114" s="14"/>
    </row>
    <row r="115" spans="2:28" s="47" customFormat="1" ht="15.75" customHeight="1">
      <c r="C115" s="85"/>
      <c r="D115" s="85" t="str">
        <f>IF(Indice_index!$Z$1=1,"fevereiro","February")</f>
        <v>February</v>
      </c>
      <c r="E115" s="85">
        <v>7256.5209181700011</v>
      </c>
      <c r="F115" s="85">
        <v>6927.862198939999</v>
      </c>
      <c r="G115" s="85">
        <v>8310.6237405400007</v>
      </c>
      <c r="H115" s="85">
        <v>8062.3757597100002</v>
      </c>
      <c r="I115" s="85">
        <f t="shared" si="24"/>
        <v>-1134.5135607700013</v>
      </c>
      <c r="J115" s="219">
        <f t="shared" si="25"/>
        <v>-4.529150028453105E-2</v>
      </c>
      <c r="K115" s="219">
        <f t="shared" si="26"/>
        <v>-2.9871161128258463E-2</v>
      </c>
      <c r="L115"/>
      <c r="M115" s="218"/>
      <c r="O115" s="273"/>
      <c r="P115" s="274"/>
      <c r="Q115" s="273"/>
      <c r="Z115" s="14"/>
      <c r="AA115" s="14"/>
      <c r="AB115" s="14"/>
    </row>
    <row r="116" spans="2:28" s="47" customFormat="1" ht="15.75" customHeight="1">
      <c r="C116" s="85"/>
      <c r="D116" s="85" t="str">
        <f>IF(Indice_index!$Z$1=1,"março","March")</f>
        <v>March</v>
      </c>
      <c r="E116" s="85">
        <v>10006.419616620002</v>
      </c>
      <c r="F116" s="85">
        <v>9900.0630134200001</v>
      </c>
      <c r="G116" s="85">
        <v>11805.102892250001</v>
      </c>
      <c r="H116" s="85">
        <v>11599.791751449997</v>
      </c>
      <c r="I116" s="85">
        <f t="shared" si="24"/>
        <v>-1699.7287380299967</v>
      </c>
      <c r="J116" s="219">
        <f t="shared" si="25"/>
        <v>-1.0628837014125453E-2</v>
      </c>
      <c r="K116" s="219">
        <f t="shared" si="26"/>
        <v>-1.739172819364327E-2</v>
      </c>
      <c r="L116"/>
      <c r="M116" s="218"/>
      <c r="O116" s="273"/>
      <c r="P116" s="273"/>
      <c r="Q116" s="273"/>
      <c r="Z116" s="14"/>
      <c r="AA116" s="14"/>
      <c r="AB116" s="14"/>
    </row>
    <row r="117" spans="2:28" s="47" customFormat="1" ht="15.75" customHeight="1">
      <c r="C117" s="85"/>
      <c r="D117" s="85" t="str">
        <f>IF(Indice_index!$Z$1=1,"abril","April")</f>
        <v>April</v>
      </c>
      <c r="E117" s="85">
        <v>13130.735748669997</v>
      </c>
      <c r="F117" s="85">
        <v>12664.091075210003</v>
      </c>
      <c r="G117" s="85">
        <v>16018.279418149996</v>
      </c>
      <c r="H117" s="85">
        <v>15944.264196159997</v>
      </c>
      <c r="I117" s="85">
        <f t="shared" si="24"/>
        <v>-3280.173120949994</v>
      </c>
      <c r="J117" s="219">
        <f t="shared" si="25"/>
        <v>-3.5538349289167603E-2</v>
      </c>
      <c r="K117" s="219">
        <f t="shared" si="26"/>
        <v>-4.6206724241639836E-3</v>
      </c>
      <c r="L117"/>
      <c r="M117" s="218"/>
      <c r="N117"/>
      <c r="O117"/>
      <c r="P117"/>
      <c r="Q117"/>
      <c r="Z117" s="14"/>
      <c r="AA117" s="14"/>
      <c r="AB117" s="14"/>
    </row>
    <row r="118" spans="2:28" s="47" customFormat="1" ht="15.75" customHeight="1">
      <c r="C118" s="85"/>
      <c r="D118" s="85" t="str">
        <f>IF(Indice_index!$Z$1=1,"maio","May")</f>
        <v>May</v>
      </c>
      <c r="E118" s="85">
        <v>17581.881918739997</v>
      </c>
      <c r="F118" s="85">
        <v>16909.85636283</v>
      </c>
      <c r="G118" s="85">
        <v>19844.339750239997</v>
      </c>
      <c r="H118" s="85">
        <v>19687.461685030004</v>
      </c>
      <c r="I118" s="85">
        <f t="shared" si="24"/>
        <v>-2777.6053222000046</v>
      </c>
      <c r="J118" s="219">
        <f t="shared" si="25"/>
        <v>-3.8222617977754995E-2</v>
      </c>
      <c r="K118" s="219">
        <f t="shared" si="26"/>
        <v>-7.9054313312739433E-3</v>
      </c>
      <c r="M118"/>
      <c r="N118"/>
      <c r="O118"/>
      <c r="P118"/>
      <c r="Q118"/>
      <c r="Z118" s="14"/>
      <c r="AA118" s="14"/>
      <c r="AB118" s="14"/>
    </row>
    <row r="119" spans="2:28" s="47" customFormat="1" ht="15.75" customHeight="1">
      <c r="C119" s="85"/>
      <c r="D119" s="40" t="str">
        <f>IF(Indice_index!$Z$1=1,"junho","June")</f>
        <v>June</v>
      </c>
      <c r="E119" s="40">
        <v>20501.132190659999</v>
      </c>
      <c r="F119" s="40">
        <v>20085.21774697</v>
      </c>
      <c r="G119" s="40">
        <v>25295.510889639994</v>
      </c>
      <c r="H119" s="40">
        <v>25135.258121800005</v>
      </c>
      <c r="I119" s="40">
        <f t="shared" si="24"/>
        <v>-5050.040374830005</v>
      </c>
      <c r="J119" s="241">
        <f t="shared" si="25"/>
        <v>-2.0287388999885723E-2</v>
      </c>
      <c r="K119" s="241">
        <f t="shared" si="26"/>
        <v>-6.3352255876208538E-3</v>
      </c>
      <c r="L119"/>
      <c r="M119"/>
      <c r="N119"/>
      <c r="O119"/>
      <c r="P119"/>
      <c r="Q119"/>
      <c r="Z119" s="14"/>
      <c r="AA119" s="14"/>
      <c r="AB119" s="14"/>
    </row>
    <row r="120" spans="2:28" s="47" customFormat="1" ht="15.75" customHeight="1">
      <c r="C120" s="85"/>
      <c r="D120" s="45" t="str">
        <f>IF(Indice_index!$Z$1=1,"julho","July")</f>
        <v>July</v>
      </c>
      <c r="E120" s="45">
        <v>23814.793146410007</v>
      </c>
      <c r="F120" s="45">
        <v>24482.676598749997</v>
      </c>
      <c r="G120" s="45">
        <v>30266.664813179999</v>
      </c>
      <c r="H120" s="45">
        <v>29551.951329130006</v>
      </c>
      <c r="I120" s="45">
        <f t="shared" si="24"/>
        <v>-5069.2747303800097</v>
      </c>
      <c r="J120" s="221">
        <f t="shared" si="25"/>
        <v>2.8044898321557335E-2</v>
      </c>
      <c r="K120" s="221">
        <f t="shared" si="26"/>
        <v>-2.361388307768757E-2</v>
      </c>
      <c r="L120"/>
      <c r="M120"/>
      <c r="N120"/>
      <c r="O120"/>
      <c r="P120"/>
      <c r="Q120"/>
      <c r="Z120" s="14"/>
      <c r="AA120" s="14"/>
      <c r="AB120" s="14"/>
    </row>
    <row r="121" spans="2:28" s="47" customFormat="1" ht="15.75" customHeight="1">
      <c r="C121" s="85"/>
      <c r="D121" s="45" t="str">
        <f>IF(Indice_index!$Z$1=1,"agosto","August")</f>
        <v>August</v>
      </c>
      <c r="E121" s="45">
        <v>27870.851942370002</v>
      </c>
      <c r="F121" s="45">
        <v>28965.858940999999</v>
      </c>
      <c r="G121" s="45">
        <v>33843.90187323001</v>
      </c>
      <c r="H121" s="45">
        <v>33119.053714270005</v>
      </c>
      <c r="I121" s="45">
        <f t="shared" si="24"/>
        <v>-4153.1947732700064</v>
      </c>
      <c r="J121" s="221">
        <f t="shared" si="25"/>
        <v>3.9288608790796896E-2</v>
      </c>
      <c r="K121" s="221">
        <f t="shared" si="26"/>
        <v>-2.1417393351247968E-2</v>
      </c>
      <c r="L121"/>
      <c r="M121"/>
      <c r="N121"/>
      <c r="O121"/>
      <c r="P121"/>
      <c r="Q121"/>
      <c r="Z121" s="14"/>
      <c r="AA121" s="14"/>
      <c r="AB121" s="14"/>
    </row>
    <row r="122" spans="2:28" s="47" customFormat="1" ht="15.75" customHeight="1">
      <c r="C122" s="45"/>
      <c r="D122" s="45" t="str">
        <f>IF(Indice_index!$Z$1=1,"setembro","September")</f>
        <v>September</v>
      </c>
      <c r="E122" s="45">
        <v>32331.404787330004</v>
      </c>
      <c r="F122" s="45">
        <v>33652.051099359989</v>
      </c>
      <c r="G122" s="45">
        <v>37277.689575010001</v>
      </c>
      <c r="H122" s="45">
        <v>36590.12447955001</v>
      </c>
      <c r="I122" s="45">
        <f t="shared" si="24"/>
        <v>-2938.0733801900205</v>
      </c>
      <c r="J122" s="221">
        <f t="shared" si="25"/>
        <v>4.0847167659956378E-2</v>
      </c>
      <c r="K122" s="221">
        <f t="shared" si="26"/>
        <v>-1.844441281899931E-2</v>
      </c>
      <c r="L122" s="381"/>
      <c r="M122" s="381"/>
      <c r="N122"/>
      <c r="O122"/>
      <c r="P122"/>
      <c r="Q122"/>
      <c r="Z122" s="14"/>
      <c r="AA122" s="14"/>
      <c r="AB122" s="14"/>
    </row>
    <row r="123" spans="2:28" ht="15.75" customHeight="1">
      <c r="C123" s="45"/>
      <c r="D123" s="45" t="str">
        <f>IF(Indice_index!$Z$1=1,"outubro","October")</f>
        <v>October</v>
      </c>
      <c r="E123" s="45">
        <v>35582.520448490002</v>
      </c>
      <c r="F123" s="45">
        <v>36940.612629110001</v>
      </c>
      <c r="G123" s="45">
        <v>42220.539410560006</v>
      </c>
      <c r="H123" s="45">
        <v>41457.954067580002</v>
      </c>
      <c r="I123" s="45">
        <f t="shared" si="24"/>
        <v>-4517.3414384700009</v>
      </c>
      <c r="J123" s="221">
        <f t="shared" si="25"/>
        <v>3.8167396898879075E-2</v>
      </c>
      <c r="K123" s="221">
        <f t="shared" si="26"/>
        <v>-1.8061951685753929E-2</v>
      </c>
      <c r="L123" s="381"/>
      <c r="M123" s="381"/>
      <c r="N123" s="381"/>
      <c r="O123" s="381"/>
      <c r="P123"/>
      <c r="Q123"/>
    </row>
    <row r="124" spans="2:28" s="36" customFormat="1" ht="15.75" customHeight="1">
      <c r="C124" s="45"/>
      <c r="D124" s="45" t="str">
        <f>IF(Indice_index!$Z$1=1,"novembro","November")</f>
        <v>November</v>
      </c>
      <c r="E124" s="45">
        <v>39366.560705280011</v>
      </c>
      <c r="F124" s="45">
        <v>40750.029004029995</v>
      </c>
      <c r="G124" s="45">
        <v>45887.133247970021</v>
      </c>
      <c r="H124" s="45">
        <v>45471.514366499992</v>
      </c>
      <c r="I124" s="45">
        <f t="shared" si="24"/>
        <v>-4721.4853624699972</v>
      </c>
      <c r="J124" s="221">
        <f t="shared" si="25"/>
        <v>3.514323512047185E-2</v>
      </c>
      <c r="K124" s="221">
        <f t="shared" si="26"/>
        <v>-9.0574165795902131E-3</v>
      </c>
      <c r="L124" s="236"/>
      <c r="M124" s="236"/>
      <c r="N124" s="236"/>
      <c r="O124" s="236"/>
      <c r="P124" s="236"/>
      <c r="Q124" s="236"/>
      <c r="Z124" s="54"/>
      <c r="AA124" s="54"/>
      <c r="AB124" s="54"/>
    </row>
    <row r="125" spans="2:28" s="36" customFormat="1" ht="15.75" customHeight="1">
      <c r="C125" s="45"/>
      <c r="D125" s="45" t="str">
        <f>IF(Indice_index!$Z$1=1,"dezembro","December")</f>
        <v>December</v>
      </c>
      <c r="E125" s="45">
        <v>44229.180940949998</v>
      </c>
      <c r="F125" s="45">
        <v>45616.629100399987</v>
      </c>
      <c r="G125" s="45">
        <v>50361.404708300004</v>
      </c>
      <c r="H125" s="45">
        <v>50402.623424049991</v>
      </c>
      <c r="I125" s="45">
        <f t="shared" si="24"/>
        <v>-4785.9943236500039</v>
      </c>
      <c r="J125" s="221">
        <f t="shared" si="25"/>
        <v>3.1369519623308389E-2</v>
      </c>
      <c r="K125" s="221">
        <f t="shared" si="26"/>
        <v>8.1845842046565035E-4</v>
      </c>
      <c r="L125" s="236"/>
      <c r="M125" s="236"/>
      <c r="N125" s="236"/>
      <c r="O125" s="236"/>
      <c r="P125" s="236"/>
      <c r="Q125" s="236"/>
      <c r="Z125" s="54"/>
      <c r="AA125" s="54"/>
      <c r="AB125" s="54"/>
    </row>
    <row r="126" spans="2:28" ht="15.75" customHeight="1">
      <c r="B126" s="36"/>
      <c r="C126" s="36"/>
      <c r="D126" s="45"/>
      <c r="E126" s="45"/>
      <c r="F126" s="45"/>
      <c r="G126" s="45"/>
      <c r="H126" s="45"/>
      <c r="I126" s="45"/>
      <c r="J126" s="67"/>
      <c r="K126" s="67"/>
      <c r="M126" s="42"/>
      <c r="O126" s="272"/>
      <c r="P126" s="272"/>
      <c r="Q126" s="272"/>
    </row>
    <row r="127" spans="2:28" s="47" customFormat="1" ht="15.75" customHeight="1">
      <c r="C127" s="32" t="s">
        <v>149</v>
      </c>
      <c r="D127" s="85" t="str">
        <f>IF(Indice_index!$Z$1=1,"janeiro","January")</f>
        <v>January</v>
      </c>
      <c r="E127" s="85">
        <v>3088.86616396</v>
      </c>
      <c r="F127" s="85">
        <v>3290.0279013600002</v>
      </c>
      <c r="G127" s="85">
        <v>3575.4713543800003</v>
      </c>
      <c r="H127" s="85">
        <v>3526.51147808</v>
      </c>
      <c r="I127" s="85">
        <f t="shared" ref="I127:I138" si="27">IF(F127="","",+F127-H127)</f>
        <v>-236.48357671999975</v>
      </c>
      <c r="J127" s="219">
        <f t="shared" ref="J127:J138" si="28">IF(F127="","",IF(E127=0,"-",(F127-E127)/E127))</f>
        <v>6.5124782597283562E-2</v>
      </c>
      <c r="K127" s="219">
        <f t="shared" ref="K127:K138" si="29">IF(H127="","",IF(G127=0,"-",(H127-G127)/G127))</f>
        <v>-1.3693264872622698E-2</v>
      </c>
      <c r="L127"/>
      <c r="M127" s="218"/>
      <c r="O127" s="273"/>
      <c r="P127" s="273"/>
      <c r="Q127" s="272"/>
      <c r="Z127" s="14"/>
      <c r="AA127" s="14"/>
      <c r="AB127" s="14"/>
    </row>
    <row r="128" spans="2:28" s="47" customFormat="1" ht="15.75" customHeight="1">
      <c r="C128" s="85"/>
      <c r="D128" s="85" t="str">
        <f>IF(Indice_index!$Z$1=1,"fevereiro","February")</f>
        <v>February</v>
      </c>
      <c r="E128" s="85">
        <v>6936.2946147099992</v>
      </c>
      <c r="F128" s="85">
        <v>7368.7058918399989</v>
      </c>
      <c r="G128" s="85">
        <v>8062.4020476300011</v>
      </c>
      <c r="H128" s="85">
        <v>8090.7737578399974</v>
      </c>
      <c r="I128" s="85">
        <f t="shared" si="27"/>
        <v>-722.0678659999985</v>
      </c>
      <c r="J128" s="219">
        <f t="shared" si="28"/>
        <v>6.234038505414298E-2</v>
      </c>
      <c r="K128" s="219">
        <f t="shared" si="29"/>
        <v>3.5190145619612666E-3</v>
      </c>
      <c r="L128"/>
      <c r="M128" s="218"/>
      <c r="O128" s="273"/>
      <c r="P128" s="274"/>
      <c r="Q128" s="273"/>
      <c r="Z128" s="14"/>
      <c r="AA128" s="14"/>
      <c r="AB128" s="14"/>
    </row>
    <row r="129" spans="3:28" s="47" customFormat="1" ht="15.75" customHeight="1">
      <c r="C129" s="85"/>
      <c r="D129" s="85" t="str">
        <f>IF(Indice_index!$Z$1=1,"março","March")</f>
        <v>March</v>
      </c>
      <c r="E129" s="85">
        <v>9915.5787553300015</v>
      </c>
      <c r="F129" s="85">
        <v>10336.57311727</v>
      </c>
      <c r="G129" s="85">
        <v>11599.711521179997</v>
      </c>
      <c r="H129" s="85">
        <v>11606.704224550005</v>
      </c>
      <c r="I129" s="85">
        <f t="shared" si="27"/>
        <v>-1270.1311072800054</v>
      </c>
      <c r="J129" s="219">
        <f t="shared" si="28"/>
        <v>4.2457870824100685E-2</v>
      </c>
      <c r="K129" s="219">
        <f t="shared" si="29"/>
        <v>6.0283424783795481E-4</v>
      </c>
      <c r="L129"/>
      <c r="M129" s="218"/>
      <c r="O129" s="273"/>
      <c r="P129" s="273"/>
      <c r="Q129" s="273"/>
      <c r="Z129" s="14"/>
      <c r="AA129" s="14"/>
      <c r="AB129" s="14"/>
    </row>
    <row r="130" spans="3:28" s="47" customFormat="1" ht="15.75" customHeight="1">
      <c r="C130" s="85"/>
      <c r="D130" s="85" t="str">
        <f>IF(Indice_index!$Z$1=1,"abril","April")</f>
        <v>April</v>
      </c>
      <c r="E130" s="85">
        <v>12718.281655589999</v>
      </c>
      <c r="F130" s="85">
        <v>13209.176450409999</v>
      </c>
      <c r="G130" s="85">
        <v>15944.061325889996</v>
      </c>
      <c r="H130" s="85">
        <v>16405.682669459995</v>
      </c>
      <c r="I130" s="85">
        <f t="shared" si="27"/>
        <v>-3196.5062190499957</v>
      </c>
      <c r="J130" s="219">
        <f t="shared" si="28"/>
        <v>3.8597572228182248E-2</v>
      </c>
      <c r="K130" s="219">
        <f t="shared" si="29"/>
        <v>2.8952556951121207E-2</v>
      </c>
      <c r="L130"/>
      <c r="M130" s="218"/>
      <c r="N130"/>
      <c r="O130"/>
      <c r="P130"/>
      <c r="Q130"/>
      <c r="Z130" s="14"/>
      <c r="AA130" s="14"/>
      <c r="AB130" s="14"/>
    </row>
    <row r="131" spans="3:28" s="47" customFormat="1" ht="15.75" customHeight="1">
      <c r="C131" s="85"/>
      <c r="D131" s="85" t="str">
        <f>IF(Indice_index!$Z$1=1,"maio","May")</f>
        <v>May</v>
      </c>
      <c r="E131" s="85">
        <v>16984.05800257</v>
      </c>
      <c r="F131" s="85">
        <v>15725.865617250001</v>
      </c>
      <c r="G131" s="85">
        <v>19687.459474680003</v>
      </c>
      <c r="H131" s="85">
        <v>19973.754625230002</v>
      </c>
      <c r="I131" s="85">
        <f t="shared" si="27"/>
        <v>-4247.8890079800003</v>
      </c>
      <c r="J131" s="219">
        <f t="shared" si="28"/>
        <v>-7.4080787119875063E-2</v>
      </c>
      <c r="K131" s="219">
        <f t="shared" si="29"/>
        <v>1.4542005834638145E-2</v>
      </c>
      <c r="M131"/>
      <c r="N131"/>
      <c r="O131"/>
      <c r="P131"/>
      <c r="Q131"/>
      <c r="Z131" s="14"/>
      <c r="AA131" s="14"/>
      <c r="AB131" s="14"/>
    </row>
    <row r="132" spans="3:28" s="47" customFormat="1" ht="15.75" customHeight="1">
      <c r="C132" s="85"/>
      <c r="D132" s="40" t="str">
        <f>IF(Indice_index!$Z$1=1,"junho","June")</f>
        <v>June</v>
      </c>
      <c r="E132" s="40">
        <v>20146.759066350001</v>
      </c>
      <c r="F132" s="40">
        <v>20680.10666587</v>
      </c>
      <c r="G132" s="40">
        <v>25135.255911450004</v>
      </c>
      <c r="H132" s="40">
        <v>25316.660177719998</v>
      </c>
      <c r="I132" s="40">
        <f t="shared" si="27"/>
        <v>-4636.5535118499974</v>
      </c>
      <c r="J132" s="241">
        <f t="shared" si="28"/>
        <v>2.6473121446655867E-2</v>
      </c>
      <c r="K132" s="241">
        <f t="shared" si="29"/>
        <v>7.2171243017803482E-3</v>
      </c>
      <c r="L132"/>
      <c r="M132"/>
      <c r="N132"/>
      <c r="O132"/>
      <c r="P132"/>
      <c r="Q132"/>
      <c r="Z132" s="14"/>
      <c r="AA132" s="14"/>
      <c r="AB132" s="14"/>
    </row>
    <row r="133" spans="3:28" s="47" customFormat="1" ht="15.75" customHeight="1">
      <c r="C133" s="85"/>
      <c r="D133" s="45" t="str">
        <f>IF(Indice_index!$Z$1=1,"julho","July")</f>
        <v>July</v>
      </c>
      <c r="E133" s="45">
        <v>24505.786523810002</v>
      </c>
      <c r="F133" s="45">
        <v>25777.13033244</v>
      </c>
      <c r="G133" s="45">
        <v>29551.948968780023</v>
      </c>
      <c r="H133" s="45">
        <v>29730.05951426</v>
      </c>
      <c r="I133" s="45">
        <f t="shared" si="27"/>
        <v>-3952.9291818199999</v>
      </c>
      <c r="J133" s="221">
        <f t="shared" si="28"/>
        <v>5.1879330924341098E-2</v>
      </c>
      <c r="K133" s="221">
        <f t="shared" si="29"/>
        <v>6.0270321144686627E-3</v>
      </c>
      <c r="L133"/>
      <c r="M133"/>
      <c r="N133"/>
      <c r="O133"/>
      <c r="P133"/>
      <c r="Q133"/>
      <c r="Z133" s="14"/>
      <c r="AA133" s="14"/>
      <c r="AB133" s="14"/>
    </row>
    <row r="134" spans="3:28" s="47" customFormat="1" ht="15.75" customHeight="1">
      <c r="C134" s="85"/>
      <c r="D134" s="45" t="str">
        <f>IF(Indice_index!$Z$1=1,"agosto","August")</f>
        <v>August</v>
      </c>
      <c r="E134" s="45">
        <v>28999.782224269999</v>
      </c>
      <c r="F134" s="45">
        <v>30468.749589960007</v>
      </c>
      <c r="G134" s="45">
        <v>33119.053714270005</v>
      </c>
      <c r="H134" s="45">
        <v>33206.41140746</v>
      </c>
      <c r="I134" s="45">
        <f t="shared" si="27"/>
        <v>-2737.661817499993</v>
      </c>
      <c r="J134" s="221">
        <f t="shared" si="28"/>
        <v>5.0654427482583843E-2</v>
      </c>
      <c r="K134" s="221">
        <f t="shared" si="29"/>
        <v>2.6376868718430619E-3</v>
      </c>
      <c r="L134"/>
      <c r="M134"/>
      <c r="N134"/>
      <c r="O134"/>
      <c r="P134"/>
      <c r="Q134"/>
      <c r="Z134" s="14"/>
      <c r="AA134" s="14"/>
      <c r="AB134" s="14"/>
    </row>
    <row r="135" spans="3:28" s="47" customFormat="1" ht="15.75" customHeight="1">
      <c r="C135" s="45"/>
      <c r="D135" s="45" t="str">
        <f>IF(Indice_index!$Z$1=1,"setembro","September")</f>
        <v>September</v>
      </c>
      <c r="E135" s="45">
        <v>33676.517440350006</v>
      </c>
      <c r="F135" s="45">
        <v>35520.637709400005</v>
      </c>
      <c r="G135" s="45">
        <v>36590.12447955001</v>
      </c>
      <c r="H135" s="45">
        <v>36710.348795449994</v>
      </c>
      <c r="I135" s="45">
        <f t="shared" si="27"/>
        <v>-1189.7110860499888</v>
      </c>
      <c r="J135" s="221">
        <f t="shared" si="28"/>
        <v>5.4759827001602014E-2</v>
      </c>
      <c r="K135" s="221">
        <f t="shared" si="29"/>
        <v>3.2857039326875514E-3</v>
      </c>
      <c r="L135"/>
      <c r="M135"/>
      <c r="N135"/>
      <c r="O135"/>
      <c r="P135"/>
      <c r="Q135"/>
      <c r="Z135" s="14"/>
      <c r="AA135" s="14"/>
      <c r="AB135" s="14"/>
    </row>
    <row r="136" spans="3:28" ht="15.75" customHeight="1">
      <c r="C136" s="45"/>
      <c r="D136" s="45" t="str">
        <f>IF(Indice_index!$Z$1=1,"outubro","October")</f>
        <v>October</v>
      </c>
      <c r="E136" s="45"/>
      <c r="F136" s="45"/>
      <c r="G136" s="45"/>
      <c r="H136" s="45"/>
      <c r="I136" s="45" t="str">
        <f t="shared" si="27"/>
        <v/>
      </c>
      <c r="J136" s="221" t="str">
        <f t="shared" si="28"/>
        <v/>
      </c>
      <c r="K136" s="221" t="str">
        <f t="shared" si="29"/>
        <v/>
      </c>
      <c r="L136" s="381"/>
      <c r="M136" s="381"/>
      <c r="N136" s="381"/>
      <c r="O136" s="381"/>
      <c r="P136"/>
      <c r="Q136"/>
    </row>
    <row r="137" spans="3:28" s="36" customFormat="1" ht="15.75" customHeight="1">
      <c r="C137" s="45"/>
      <c r="D137" s="45" t="str">
        <f>IF(Indice_index!$Z$1=1,"novembro","November")</f>
        <v>November</v>
      </c>
      <c r="E137" s="45"/>
      <c r="F137" s="45"/>
      <c r="G137" s="45"/>
      <c r="H137" s="45"/>
      <c r="I137" s="45" t="str">
        <f t="shared" si="27"/>
        <v/>
      </c>
      <c r="J137" s="221" t="str">
        <f t="shared" si="28"/>
        <v/>
      </c>
      <c r="K137" s="221" t="str">
        <f t="shared" si="29"/>
        <v/>
      </c>
      <c r="L137" s="236"/>
      <c r="M137" s="236"/>
      <c r="N137" s="236"/>
      <c r="O137" s="236"/>
      <c r="P137" s="236"/>
      <c r="Q137" s="236"/>
      <c r="Z137" s="54"/>
      <c r="AA137" s="54"/>
      <c r="AB137" s="54"/>
    </row>
    <row r="138" spans="3:28" s="36" customFormat="1" ht="15.75" customHeight="1">
      <c r="C138" s="99"/>
      <c r="D138" s="99" t="str">
        <f>IF(Indice_index!$Z$1=1,"dezembro","December")</f>
        <v>December</v>
      </c>
      <c r="E138" s="99"/>
      <c r="F138" s="99"/>
      <c r="G138" s="99"/>
      <c r="H138" s="99"/>
      <c r="I138" s="99" t="str">
        <f t="shared" si="27"/>
        <v/>
      </c>
      <c r="J138" s="268" t="str">
        <f t="shared" si="28"/>
        <v/>
      </c>
      <c r="K138" s="268" t="str">
        <f t="shared" si="29"/>
        <v/>
      </c>
      <c r="L138" s="236"/>
      <c r="M138" s="236"/>
      <c r="N138" s="236"/>
      <c r="O138" s="236"/>
      <c r="P138" s="236"/>
      <c r="Q138" s="236"/>
      <c r="Z138" s="54"/>
      <c r="AA138" s="54"/>
      <c r="AB138" s="54"/>
    </row>
    <row r="139" spans="3:28" ht="12" customHeight="1">
      <c r="C139" s="36"/>
      <c r="H139" s="19"/>
      <c r="I139"/>
      <c r="M139"/>
      <c r="N139"/>
      <c r="O139"/>
      <c r="P139"/>
      <c r="Q139"/>
    </row>
    <row r="140" spans="3:28" ht="25.5" customHeight="1">
      <c r="H140" s="19"/>
      <c r="I140"/>
    </row>
    <row r="141" spans="3:28">
      <c r="D141" s="48"/>
      <c r="E141" s="25"/>
      <c r="F141" s="25"/>
      <c r="G141" s="25"/>
      <c r="H141" s="25"/>
      <c r="J141" s="26"/>
    </row>
    <row r="142" spans="3:28">
      <c r="C142" s="84" t="str">
        <f>IF(Indice_index!$Z$1=1,"1.2 Evolução da Receita, Despesa e Saldo dos Serviços e Fundos Autónomos (valores acumulados)","1.2 Autonomous Services and Funds Revenue, Expenditure and Balance Evolution (cumulative values)")</f>
        <v>1.2 Autonomous Services and Funds Revenue, Expenditure and Balance Evolution (cumulative values)</v>
      </c>
      <c r="D142" s="49"/>
      <c r="E142" s="49"/>
      <c r="F142" s="49"/>
      <c r="G142" s="49"/>
      <c r="H142" s="49"/>
      <c r="I142" s="49"/>
      <c r="J142" s="50"/>
      <c r="K142" s="95" t="str">
        <f>IF(Indice_index!$Z$1=1,"€ Milhões","€ Millions")</f>
        <v>€ Millions</v>
      </c>
    </row>
    <row r="143" spans="3:28" s="27" customFormat="1" ht="15.75" customHeight="1">
      <c r="C143" s="86"/>
      <c r="D143" s="86"/>
      <c r="E143" s="7" t="str">
        <f>IF(Indice_index!$Z$1=1,"Receita efetiva","Effective revenue")</f>
        <v>Effective revenue</v>
      </c>
      <c r="F143" s="388"/>
      <c r="G143" s="7" t="str">
        <f>IF(Indice_index!$Z$1=1,"Despesa  efetiva","Effective expenditure")</f>
        <v>Effective expenditure</v>
      </c>
      <c r="H143" s="388"/>
      <c r="I143" s="3" t="str">
        <f>IF(Indice_index!$Z$1=1,"Saldo global","Overall
balance")</f>
        <v>Overall
balance</v>
      </c>
      <c r="J143" s="1" t="str">
        <f>IF(Indice_index!$Z$1=1,"VH (%)","YOY Change Rate (%)")</f>
        <v>YOY Change Rate (%)</v>
      </c>
      <c r="K143" s="1"/>
      <c r="L143"/>
      <c r="M143" s="28"/>
      <c r="Z143" s="14"/>
      <c r="AA143" s="14"/>
      <c r="AB143" s="14"/>
    </row>
    <row r="144" spans="3:28" s="27" customFormat="1" ht="15.75" customHeight="1">
      <c r="C144" s="87"/>
      <c r="D144" s="89"/>
      <c r="E144" s="389"/>
      <c r="F144" s="390"/>
      <c r="G144" s="389"/>
      <c r="H144" s="390"/>
      <c r="I144" s="2"/>
      <c r="J144" s="88" t="str">
        <f>IF(Indice_index!$Z$1=1,"Receita","Revenue")</f>
        <v>Revenue</v>
      </c>
      <c r="K144" s="88" t="str">
        <f>IF(Indice_index!$Z$1=1,"Despesa","Expenditure")</f>
        <v>Expenditure</v>
      </c>
      <c r="L144"/>
      <c r="M144" s="28"/>
      <c r="Z144" s="14"/>
      <c r="AA144" s="14"/>
      <c r="AB144" s="14"/>
    </row>
    <row r="145" spans="3:28" s="27" customFormat="1" ht="15.75" customHeight="1">
      <c r="C145" s="35"/>
      <c r="D145" s="36"/>
      <c r="E145" s="30" t="str">
        <f>IF(Indice_index!$Z$1=1,"Ano n-1","Year n-1")</f>
        <v>Year n-1</v>
      </c>
      <c r="F145" s="30" t="str">
        <f>IF(Indice_index!$Z$1=1,"Ano n","Year n")</f>
        <v>Year n</v>
      </c>
      <c r="G145" s="30" t="str">
        <f>IF(Indice_index!$Z$1=1,"Ano n-1","Year n-1")</f>
        <v>Year n-1</v>
      </c>
      <c r="H145" s="30" t="str">
        <f>IF(Indice_index!$Z$1=1,"Ano n","Year n")</f>
        <v>Year n</v>
      </c>
      <c r="I145" s="30" t="str">
        <f>IF(Indice_index!$Z$1=1,"Ano n","Year n")</f>
        <v>Year n</v>
      </c>
      <c r="J145" s="31" t="str">
        <f>IF(Indice_index!$Z$1=1,"Ano n","Year n")</f>
        <v>Year n</v>
      </c>
      <c r="K145" s="31" t="str">
        <f>IF(Indice_index!$Z$1=1,"Ano n","Year n")</f>
        <v>Year n</v>
      </c>
      <c r="L145"/>
      <c r="M145" s="28"/>
      <c r="Z145" s="14"/>
      <c r="AA145" s="14"/>
      <c r="AB145" s="14"/>
    </row>
    <row r="146" spans="3:28" s="27" customFormat="1" ht="15.75" customHeight="1">
      <c r="C146" s="32" t="s">
        <v>2</v>
      </c>
      <c r="D146" s="19" t="str">
        <f>IF(Indice_index!$Z$1=1,"janeiro","January")</f>
        <v>January</v>
      </c>
      <c r="E146" s="33">
        <v>1688.763964</v>
      </c>
      <c r="F146" s="33">
        <v>1835.41508</v>
      </c>
      <c r="G146" s="33">
        <v>1287.4061099999999</v>
      </c>
      <c r="H146" s="33">
        <v>1407.262301</v>
      </c>
      <c r="I146" s="19">
        <f t="shared" ref="I146:I156" si="30">IF(F146="","",+F146-H146)</f>
        <v>428.15277900000001</v>
      </c>
      <c r="J146" s="34">
        <f t="shared" ref="J146:J157" si="31">IF(F146="","",IF(E146=0,"-",(F146-E146)/E146))</f>
        <v>8.6839321021892679E-2</v>
      </c>
      <c r="K146" s="34">
        <f t="shared" ref="K146:K157" si="32">IF(H146="","",IF(G146=0,"-",(H146-G146)/G146))</f>
        <v>9.3098976359526589E-2</v>
      </c>
      <c r="L146"/>
      <c r="M146" s="28"/>
      <c r="Z146" s="14"/>
      <c r="AA146" s="14"/>
      <c r="AB146" s="14"/>
    </row>
    <row r="147" spans="3:28" s="27" customFormat="1" ht="15.75" customHeight="1">
      <c r="C147" s="35"/>
      <c r="D147" s="19" t="str">
        <f>IF(Indice_index!$Z$1=1,"fevereiro","February")</f>
        <v>February</v>
      </c>
      <c r="E147" s="33">
        <v>3527.580438</v>
      </c>
      <c r="F147" s="33">
        <v>3813.0105440000002</v>
      </c>
      <c r="G147" s="33">
        <v>2875.9740710000001</v>
      </c>
      <c r="H147" s="33">
        <v>3096.4443960000003</v>
      </c>
      <c r="I147" s="19">
        <f t="shared" si="30"/>
        <v>716.56614799999988</v>
      </c>
      <c r="J147" s="34">
        <f t="shared" si="31"/>
        <v>8.0913847612168965E-2</v>
      </c>
      <c r="K147" s="34">
        <f t="shared" si="32"/>
        <v>7.6659357684452575E-2</v>
      </c>
      <c r="L147"/>
      <c r="M147" s="28"/>
      <c r="Z147" s="14"/>
      <c r="AA147" s="14"/>
      <c r="AB147" s="14"/>
    </row>
    <row r="148" spans="3:28" s="27" customFormat="1" ht="15.75" customHeight="1">
      <c r="C148" s="35"/>
      <c r="D148" s="19" t="str">
        <f>IF(Indice_index!$Z$1=1,"março","March")</f>
        <v>March</v>
      </c>
      <c r="E148" s="33">
        <v>5397.0646450000004</v>
      </c>
      <c r="F148" s="33">
        <v>5677.8987859999997</v>
      </c>
      <c r="G148" s="33">
        <v>4684.4832290000004</v>
      </c>
      <c r="H148" s="33">
        <v>4866.285656</v>
      </c>
      <c r="I148" s="19">
        <f t="shared" si="30"/>
        <v>811.61312999999973</v>
      </c>
      <c r="J148" s="34">
        <f t="shared" si="31"/>
        <v>5.203460760103594E-2</v>
      </c>
      <c r="K148" s="34">
        <f t="shared" si="32"/>
        <v>3.8809494689728906E-2</v>
      </c>
      <c r="L148"/>
      <c r="M148" s="28"/>
      <c r="Z148" s="14"/>
      <c r="AA148" s="14"/>
      <c r="AB148" s="14"/>
    </row>
    <row r="149" spans="3:28" s="27" customFormat="1" ht="15.75" customHeight="1">
      <c r="C149" s="35"/>
      <c r="D149" s="19" t="str">
        <f>IF(Indice_index!$Z$1=1,"abril","April")</f>
        <v>April</v>
      </c>
      <c r="E149" s="33">
        <v>7355.9571249999999</v>
      </c>
      <c r="F149" s="33">
        <v>7513.0031630000003</v>
      </c>
      <c r="G149" s="33">
        <v>6433.1882699999996</v>
      </c>
      <c r="H149" s="33">
        <v>6710.5540730000002</v>
      </c>
      <c r="I149" s="19">
        <f t="shared" si="30"/>
        <v>802.44909000000007</v>
      </c>
      <c r="J149" s="34">
        <f t="shared" si="31"/>
        <v>2.134950426318593E-2</v>
      </c>
      <c r="K149" s="34">
        <f t="shared" si="32"/>
        <v>4.3114827572114663E-2</v>
      </c>
      <c r="L149"/>
      <c r="M149" s="28"/>
      <c r="Z149" s="14"/>
      <c r="AA149" s="14"/>
      <c r="AB149" s="14"/>
    </row>
    <row r="150" spans="3:28" s="27" customFormat="1" ht="15.75" customHeight="1">
      <c r="C150" s="35"/>
      <c r="D150" s="19" t="str">
        <f>IF(Indice_index!$Z$1=1,"maio","May")</f>
        <v>May</v>
      </c>
      <c r="E150" s="33">
        <v>9286.2823329999992</v>
      </c>
      <c r="F150" s="33">
        <v>9432.1535330000006</v>
      </c>
      <c r="G150" s="33">
        <v>8152.9349849999999</v>
      </c>
      <c r="H150" s="33">
        <v>8522.3465809999998</v>
      </c>
      <c r="I150" s="19">
        <f t="shared" si="30"/>
        <v>909.80695200000082</v>
      </c>
      <c r="J150" s="34">
        <f t="shared" si="31"/>
        <v>1.57082452125787E-2</v>
      </c>
      <c r="K150" s="34">
        <f t="shared" si="32"/>
        <v>4.531025902692145E-2</v>
      </c>
      <c r="L150"/>
      <c r="M150" s="28"/>
      <c r="Z150" s="14"/>
      <c r="AA150" s="14"/>
      <c r="AB150" s="14"/>
    </row>
    <row r="151" spans="3:28" s="27" customFormat="1" ht="15.75" customHeight="1">
      <c r="C151" s="35"/>
      <c r="D151" s="19" t="str">
        <f>IF(Indice_index!$Z$1=1,"junho","June")</f>
        <v>June</v>
      </c>
      <c r="E151" s="33">
        <v>10957.951453</v>
      </c>
      <c r="F151" s="33">
        <v>11600.615422999999</v>
      </c>
      <c r="G151" s="33">
        <v>10331.291214999999</v>
      </c>
      <c r="H151" s="33">
        <v>10876.032569000001</v>
      </c>
      <c r="I151" s="19">
        <f t="shared" si="30"/>
        <v>724.58285399999841</v>
      </c>
      <c r="J151" s="34">
        <f t="shared" si="31"/>
        <v>5.8648185544210918E-2</v>
      </c>
      <c r="K151" s="34">
        <f t="shared" si="32"/>
        <v>5.272732542947698E-2</v>
      </c>
      <c r="L151"/>
      <c r="M151" s="28"/>
      <c r="Z151" s="14"/>
      <c r="AA151" s="14"/>
      <c r="AB151" s="14"/>
    </row>
    <row r="152" spans="3:28" s="27" customFormat="1" ht="15.75" customHeight="1">
      <c r="C152" s="35"/>
      <c r="D152" s="19" t="str">
        <f>IF(Indice_index!$Z$1=1,"julho","July")</f>
        <v>July</v>
      </c>
      <c r="E152" s="33">
        <v>13360.349851000001</v>
      </c>
      <c r="F152" s="33">
        <v>14081.914720000001</v>
      </c>
      <c r="G152" s="33">
        <v>12662.138573</v>
      </c>
      <c r="H152" s="33">
        <v>13120.897161000001</v>
      </c>
      <c r="I152" s="19">
        <f t="shared" si="30"/>
        <v>961.01755899999989</v>
      </c>
      <c r="J152" s="34">
        <f t="shared" si="31"/>
        <v>5.4007932205906405E-2</v>
      </c>
      <c r="K152" s="34">
        <f t="shared" si="32"/>
        <v>3.6230735065420183E-2</v>
      </c>
      <c r="L152"/>
      <c r="M152" s="28"/>
      <c r="Z152" s="14"/>
      <c r="AA152" s="14"/>
      <c r="AB152" s="14"/>
    </row>
    <row r="153" spans="3:28" s="27" customFormat="1" ht="15.75" customHeight="1">
      <c r="C153" s="35"/>
      <c r="D153" s="19" t="str">
        <f>IF(Indice_index!$Z$1=1,"agosto","August")</f>
        <v>August</v>
      </c>
      <c r="E153" s="33">
        <v>15035.283124</v>
      </c>
      <c r="F153" s="33">
        <v>15849.171157000001</v>
      </c>
      <c r="G153" s="33">
        <v>14328.427237</v>
      </c>
      <c r="H153" s="33">
        <v>15027.455346999999</v>
      </c>
      <c r="I153" s="19">
        <f t="shared" si="30"/>
        <v>821.71581000000151</v>
      </c>
      <c r="J153" s="34">
        <f t="shared" si="31"/>
        <v>5.4131872761400558E-2</v>
      </c>
      <c r="K153" s="34">
        <f t="shared" si="32"/>
        <v>4.8786101812689775E-2</v>
      </c>
      <c r="L153"/>
      <c r="M153" s="28"/>
      <c r="Z153" s="14"/>
      <c r="AA153" s="14"/>
      <c r="AB153" s="14"/>
    </row>
    <row r="154" spans="3:28" s="27" customFormat="1" ht="15.75" customHeight="1">
      <c r="C154" s="35"/>
      <c r="D154" s="19" t="str">
        <f>IF(Indice_index!$Z$1=1,"setembro","September")</f>
        <v>September</v>
      </c>
      <c r="E154" s="33">
        <v>16740.139147999998</v>
      </c>
      <c r="F154" s="33">
        <v>17719.060898000003</v>
      </c>
      <c r="G154" s="33">
        <v>16063.801683</v>
      </c>
      <c r="H154" s="33">
        <v>16910.483918000002</v>
      </c>
      <c r="I154" s="19">
        <f t="shared" si="30"/>
        <v>808.57698000000164</v>
      </c>
      <c r="J154" s="34">
        <f t="shared" si="31"/>
        <v>5.8477515709118827E-2</v>
      </c>
      <c r="K154" s="34">
        <f t="shared" si="32"/>
        <v>5.2707463134086682E-2</v>
      </c>
      <c r="L154"/>
      <c r="M154" s="28"/>
      <c r="Z154" s="14"/>
      <c r="AA154" s="14"/>
      <c r="AB154" s="14"/>
    </row>
    <row r="155" spans="3:28" s="27" customFormat="1" ht="15.75" customHeight="1">
      <c r="C155" s="35"/>
      <c r="D155" s="19" t="str">
        <f>IF(Indice_index!$Z$1=1,"outubro","October")</f>
        <v>October</v>
      </c>
      <c r="E155" s="33">
        <v>18754.378216000001</v>
      </c>
      <c r="F155" s="33">
        <v>19937.353557999999</v>
      </c>
      <c r="G155" s="33">
        <v>18038.014138999999</v>
      </c>
      <c r="H155" s="33">
        <v>19038.400016</v>
      </c>
      <c r="I155" s="19">
        <f t="shared" si="30"/>
        <v>898.95354199999929</v>
      </c>
      <c r="J155" s="34">
        <f t="shared" si="31"/>
        <v>6.3077289386792953E-2</v>
      </c>
      <c r="K155" s="34">
        <f t="shared" si="32"/>
        <v>5.5459867660102663E-2</v>
      </c>
      <c r="L155"/>
      <c r="M155" s="28"/>
      <c r="Z155" s="14"/>
      <c r="AA155" s="14"/>
      <c r="AB155" s="14"/>
    </row>
    <row r="156" spans="3:28" s="27" customFormat="1" ht="15.75" customHeight="1">
      <c r="C156" s="35"/>
      <c r="D156" s="19" t="str">
        <f>IF(Indice_index!$Z$1=1,"novembro","November")</f>
        <v>November</v>
      </c>
      <c r="E156" s="33">
        <v>21150.217443000001</v>
      </c>
      <c r="F156" s="33">
        <v>22221.234576999999</v>
      </c>
      <c r="G156" s="33">
        <v>20576.41505</v>
      </c>
      <c r="H156" s="33">
        <v>21736.639422</v>
      </c>
      <c r="I156" s="19">
        <f t="shared" si="30"/>
        <v>484.59515499999907</v>
      </c>
      <c r="J156" s="34">
        <f t="shared" si="31"/>
        <v>5.0638587375585964E-2</v>
      </c>
      <c r="K156" s="34">
        <f t="shared" si="32"/>
        <v>5.6386127961585833E-2</v>
      </c>
      <c r="L156"/>
      <c r="M156" s="28"/>
      <c r="Z156" s="14"/>
      <c r="AA156" s="14"/>
      <c r="AB156" s="14"/>
    </row>
    <row r="157" spans="3:28" s="27" customFormat="1" ht="15.75" customHeight="1">
      <c r="C157" s="35"/>
      <c r="D157" s="36" t="str">
        <f>IF(Indice_index!$Z$1=1,"dezembro","December")</f>
        <v>December</v>
      </c>
      <c r="E157" s="33">
        <v>24239.232591999997</v>
      </c>
      <c r="F157" s="33">
        <v>25644.998103999998</v>
      </c>
      <c r="G157" s="33">
        <v>23857.643509999998</v>
      </c>
      <c r="H157" s="33">
        <v>25017.038520999995</v>
      </c>
      <c r="I157" s="36">
        <f>IF(F157="","",+F157-H157)</f>
        <v>627.95958300000348</v>
      </c>
      <c r="J157" s="34">
        <f t="shared" si="31"/>
        <v>5.7995462796291898E-2</v>
      </c>
      <c r="K157" s="34">
        <f t="shared" si="32"/>
        <v>4.8596375853886542E-2</v>
      </c>
      <c r="L157"/>
      <c r="M157" s="28"/>
      <c r="Z157" s="14"/>
      <c r="AA157" s="14"/>
      <c r="AB157" s="14"/>
    </row>
    <row r="158" spans="3:28" s="27" customFormat="1">
      <c r="C158" s="35"/>
      <c r="D158" s="36"/>
      <c r="E158" s="33"/>
      <c r="F158" s="33"/>
      <c r="G158" s="33"/>
      <c r="H158" s="33"/>
      <c r="I158" s="36"/>
      <c r="J158" s="37"/>
      <c r="K158" s="37"/>
      <c r="L158"/>
      <c r="M158" s="28"/>
      <c r="Z158" s="14"/>
      <c r="AA158" s="14"/>
      <c r="AB158" s="14"/>
    </row>
    <row r="159" spans="3:28" ht="15.75" customHeight="1">
      <c r="C159" s="32" t="s">
        <v>3</v>
      </c>
      <c r="D159" s="19" t="str">
        <f>IF(Indice_index!$Z$1=1,"janeiro","January")</f>
        <v>January</v>
      </c>
      <c r="E159" s="33">
        <v>1835.41508</v>
      </c>
      <c r="F159" s="33">
        <v>1844.469867</v>
      </c>
      <c r="G159" s="33">
        <v>1407.262301</v>
      </c>
      <c r="H159" s="33">
        <v>1377.8520699999999</v>
      </c>
      <c r="I159" s="19">
        <f t="shared" ref="I159:I167" si="33">IF(F159="","",+F159-H159)</f>
        <v>466.61779700000011</v>
      </c>
      <c r="J159" s="34">
        <f t="shared" ref="J159:J167" si="34">IF(F159="","",IF(E159=0,"-",(F159-E159)/E159))</f>
        <v>4.9333728913244154E-3</v>
      </c>
      <c r="K159" s="34">
        <f t="shared" ref="K159:K167" si="35">IF(H159="","",IF(G159=0,"-",(H159-G159)/G159))</f>
        <v>-2.0898897795458012E-2</v>
      </c>
    </row>
    <row r="160" spans="3:28" ht="15.75" customHeight="1">
      <c r="C160" s="36"/>
      <c r="D160" s="19" t="str">
        <f>IF(Indice_index!$Z$1=1,"fevereiro","February")</f>
        <v>February</v>
      </c>
      <c r="E160" s="33">
        <v>3813.17371</v>
      </c>
      <c r="F160" s="33">
        <v>3594.7629689999999</v>
      </c>
      <c r="G160" s="33">
        <v>3086.3719719999999</v>
      </c>
      <c r="H160" s="33">
        <v>2992.4374659999999</v>
      </c>
      <c r="I160" s="19">
        <f t="shared" si="33"/>
        <v>602.32550300000003</v>
      </c>
      <c r="J160" s="34">
        <f t="shared" si="34"/>
        <v>-5.7277941581108861E-2</v>
      </c>
      <c r="K160" s="34">
        <f t="shared" si="35"/>
        <v>-3.0435251114313857E-2</v>
      </c>
    </row>
    <row r="161" spans="3:11" ht="15.75" customHeight="1">
      <c r="D161" s="19" t="str">
        <f>IF(Indice_index!$Z$1=1,"março","March")</f>
        <v>March</v>
      </c>
      <c r="E161" s="33">
        <v>5678.1</v>
      </c>
      <c r="F161" s="33">
        <v>5381</v>
      </c>
      <c r="G161" s="33">
        <v>4856.2</v>
      </c>
      <c r="H161" s="33">
        <v>4645.8999999999996</v>
      </c>
      <c r="I161" s="19">
        <f t="shared" si="33"/>
        <v>735.10000000000036</v>
      </c>
      <c r="J161" s="34">
        <f t="shared" si="34"/>
        <v>-5.2323840721368121E-2</v>
      </c>
      <c r="K161" s="34">
        <f t="shared" si="35"/>
        <v>-4.3305465178534695E-2</v>
      </c>
    </row>
    <row r="162" spans="3:11" ht="15.75" customHeight="1">
      <c r="D162" s="19" t="str">
        <f>IF(Indice_index!$Z$1=1,"abril","April")</f>
        <v>April</v>
      </c>
      <c r="E162" s="33">
        <v>7513.0031630000003</v>
      </c>
      <c r="F162" s="33">
        <v>7107.2688610000005</v>
      </c>
      <c r="G162" s="33">
        <v>6710.5540730000002</v>
      </c>
      <c r="H162" s="33">
        <v>6297.6940400000003</v>
      </c>
      <c r="I162" s="19">
        <f t="shared" si="33"/>
        <v>809.57482100000016</v>
      </c>
      <c r="J162" s="34">
        <f t="shared" si="34"/>
        <v>-5.4004276744905162E-2</v>
      </c>
      <c r="K162" s="34">
        <f t="shared" si="35"/>
        <v>-6.1523985725880304E-2</v>
      </c>
    </row>
    <row r="163" spans="3:11" ht="15.75" customHeight="1">
      <c r="D163" s="19" t="str">
        <f>IF(Indice_index!$Z$1=1,"maio","May")</f>
        <v>May</v>
      </c>
      <c r="E163" s="39">
        <v>9433.3864890000004</v>
      </c>
      <c r="F163" s="39">
        <v>8956.3154939999986</v>
      </c>
      <c r="G163" s="39">
        <v>8522.3633220000011</v>
      </c>
      <c r="H163" s="39">
        <v>7920.8015890000006</v>
      </c>
      <c r="I163" s="19">
        <f>IF(F163="","",+F163-H163)</f>
        <v>1035.513904999998</v>
      </c>
      <c r="J163" s="34">
        <f t="shared" si="34"/>
        <v>-5.057261202605242E-2</v>
      </c>
      <c r="K163" s="34">
        <f t="shared" si="35"/>
        <v>-7.0586257622589577E-2</v>
      </c>
    </row>
    <row r="164" spans="3:11" ht="15.75" customHeight="1">
      <c r="D164" s="19" t="str">
        <f>IF(Indice_index!$Z$1=1,"junho","June")</f>
        <v>June</v>
      </c>
      <c r="E164" s="24">
        <v>11602.694808000002</v>
      </c>
      <c r="F164" s="24">
        <v>11011.724913000002</v>
      </c>
      <c r="G164" s="24">
        <v>10876.04931</v>
      </c>
      <c r="H164" s="41">
        <v>10168.964720000002</v>
      </c>
      <c r="I164" s="19">
        <f>IF(F164="","",+F164-H164)</f>
        <v>842.76019300000007</v>
      </c>
      <c r="J164" s="34">
        <f>IF(F164="","",IF(E164=0,"-",(F164-E164)/E164))</f>
        <v>-5.0933848108504008E-2</v>
      </c>
      <c r="K164" s="34">
        <f>IF(H164="","",IF(G164=0,"-",(H164-G164)/G164))</f>
        <v>-6.5012999651433034E-2</v>
      </c>
    </row>
    <row r="165" spans="3:11" ht="15.75" customHeight="1">
      <c r="D165" s="19" t="str">
        <f>IF(Indice_index!$Z$1=1,"julho","July")</f>
        <v>July</v>
      </c>
      <c r="E165" s="33">
        <v>14190.901143999999</v>
      </c>
      <c r="F165" s="39">
        <v>13871.356334000002</v>
      </c>
      <c r="G165" s="39">
        <v>13228.556942000001</v>
      </c>
      <c r="H165" s="39">
        <v>12608.483100000001</v>
      </c>
      <c r="I165" s="19">
        <f>IF(F165="","",+F165-H165)</f>
        <v>1262.8732340000006</v>
      </c>
      <c r="J165" s="34">
        <f>IF(F165="","",IF(E165=0,"-",(F165-E165)/E165))</f>
        <v>-2.2517584102479858E-2</v>
      </c>
      <c r="K165" s="34">
        <f>IF(H165="","",IF(G165=0,"-",(H165-G165)/G165))</f>
        <v>-4.6873883880054715E-2</v>
      </c>
    </row>
    <row r="166" spans="3:11" ht="15.75" customHeight="1">
      <c r="D166" s="19" t="str">
        <f>IF(Indice_index!$Z$1=1,"agosto","August")</f>
        <v>August</v>
      </c>
      <c r="E166" s="33">
        <v>16000.504284999997</v>
      </c>
      <c r="F166" s="33">
        <v>15618.153325000001</v>
      </c>
      <c r="G166" s="33">
        <v>15174.946141</v>
      </c>
      <c r="H166" s="33">
        <v>14468.574114000001</v>
      </c>
      <c r="I166" s="19">
        <f t="shared" si="33"/>
        <v>1149.5792110000002</v>
      </c>
      <c r="J166" s="34">
        <f>IF(F166="","",IF(E166=0,"-",(F166-E166)/E166))</f>
        <v>-2.3896181844620917E-2</v>
      </c>
      <c r="K166" s="34">
        <f t="shared" si="35"/>
        <v>-4.6548568966021442E-2</v>
      </c>
    </row>
    <row r="167" spans="3:11" ht="15.75" customHeight="1">
      <c r="D167" s="19" t="str">
        <f>IF(Indice_index!$Z$1=1,"setembro","September")</f>
        <v>September</v>
      </c>
      <c r="E167" s="33">
        <v>17892.987549000001</v>
      </c>
      <c r="F167" s="33">
        <v>17486.594544999996</v>
      </c>
      <c r="G167" s="33">
        <v>17078.428346000001</v>
      </c>
      <c r="H167" s="33">
        <v>16469.688021000002</v>
      </c>
      <c r="I167" s="19">
        <f t="shared" si="33"/>
        <v>1016.9065239999945</v>
      </c>
      <c r="J167" s="34">
        <f t="shared" si="34"/>
        <v>-2.271241752597751E-2</v>
      </c>
      <c r="K167" s="34">
        <f t="shared" si="35"/>
        <v>-3.5643814095023214E-2</v>
      </c>
    </row>
    <row r="168" spans="3:11" ht="15.75" customHeight="1">
      <c r="D168" s="19" t="str">
        <f>IF(Indice_index!$Z$1=1,"outubro","October")</f>
        <v>October</v>
      </c>
      <c r="E168" s="39">
        <v>19940.252985000003</v>
      </c>
      <c r="F168" s="39">
        <v>19268.191201000001</v>
      </c>
      <c r="G168" s="39">
        <v>19038.416756999999</v>
      </c>
      <c r="H168" s="33">
        <v>18333.419876</v>
      </c>
      <c r="I168" s="19">
        <f>IF(F168="","",+F168-H168)</f>
        <v>934.77132500000153</v>
      </c>
      <c r="J168" s="34">
        <f>IF(F168="","",IF(E168=0,"-",(F168-E168)/E168))</f>
        <v>-3.3703774195119683E-2</v>
      </c>
      <c r="K168" s="34">
        <f>IF(H168="","",IF(G168=0,"-",(H168-G168)/G168))</f>
        <v>-3.7030226304967696E-2</v>
      </c>
    </row>
    <row r="169" spans="3:11" ht="15.75" customHeight="1">
      <c r="D169" s="19" t="str">
        <f>IF(Indice_index!$Z$1=1,"novembro","November")</f>
        <v>November</v>
      </c>
      <c r="E169" s="39">
        <v>22226.848056000003</v>
      </c>
      <c r="F169" s="39">
        <v>21717.41272</v>
      </c>
      <c r="G169" s="39">
        <v>21736.657134999998</v>
      </c>
      <c r="H169" s="33">
        <v>21250.734970000001</v>
      </c>
      <c r="I169" s="19">
        <f>IF(F169="","",+F169-H169)</f>
        <v>466.67774999999892</v>
      </c>
      <c r="J169" s="34">
        <f>IF(F169="","",IF(E169=0,"-",(F169-E169)/E169))</f>
        <v>-2.2919819072703983E-2</v>
      </c>
      <c r="K169" s="34">
        <f>IF(H169="","",IF(G169=0,"-",(H169-G169)/G169))</f>
        <v>-2.2354962954150511E-2</v>
      </c>
    </row>
    <row r="170" spans="3:11" ht="15.75" customHeight="1">
      <c r="D170" s="36" t="str">
        <f>IF(Indice_index!$Z$1=1,"dezembro","December")</f>
        <v>December</v>
      </c>
      <c r="E170" s="33">
        <v>25644.998103999998</v>
      </c>
      <c r="F170" s="33">
        <v>26526.155274000004</v>
      </c>
      <c r="G170" s="33">
        <v>25017.038520999995</v>
      </c>
      <c r="H170" s="33">
        <v>24431.469589999997</v>
      </c>
      <c r="I170" s="19">
        <f>IF(F170="","",+F170-H170)</f>
        <v>2094.6856840000073</v>
      </c>
      <c r="J170" s="34">
        <f>IF(F170="","",IF(E170=0,"-",(F170-E170)/E170))</f>
        <v>3.4359806400709646E-2</v>
      </c>
      <c r="K170" s="34">
        <f>IF(H170="","",IF(G170=0,"-",(H170-G170)/G170))</f>
        <v>-2.3406804546767405E-2</v>
      </c>
    </row>
    <row r="171" spans="3:11">
      <c r="C171" s="36"/>
      <c r="D171" s="36"/>
      <c r="E171" s="40"/>
      <c r="F171" s="40"/>
      <c r="G171" s="24"/>
      <c r="H171" s="24"/>
      <c r="I171" s="36"/>
    </row>
    <row r="172" spans="3:11" ht="15.75" customHeight="1">
      <c r="C172" s="32" t="s">
        <v>4</v>
      </c>
      <c r="D172" s="19" t="str">
        <f>IF(Indice_index!$Z$1=1,"janeiro","January")</f>
        <v>January</v>
      </c>
      <c r="E172" s="24">
        <v>1844.5089740000001</v>
      </c>
      <c r="F172" s="24">
        <v>1971.9937710000002</v>
      </c>
      <c r="G172" s="24">
        <v>1377.8520699999999</v>
      </c>
      <c r="H172" s="41">
        <v>1466.6785690000002</v>
      </c>
      <c r="I172" s="19">
        <f t="shared" ref="I172:I196" si="36">IF(F172="","",+F172-H172)</f>
        <v>505.315202</v>
      </c>
      <c r="J172" s="34">
        <f t="shared" ref="J172:J196" si="37">IF(F172="","",IF(E172=0,"-",(F172-E172)/E172))</f>
        <v>6.911584535343121E-2</v>
      </c>
      <c r="K172" s="34">
        <f t="shared" ref="K172:K196" si="38">IF(H172="","",IF(G172=0,"-",(H172-G172)/G172))</f>
        <v>6.4467369853427187E-2</v>
      </c>
    </row>
    <row r="173" spans="3:11" ht="15.75" customHeight="1">
      <c r="C173" s="32"/>
      <c r="D173" s="19" t="str">
        <f>IF(Indice_index!$Z$1=1,"fevereiro","February")</f>
        <v>February</v>
      </c>
      <c r="E173" s="24">
        <v>3594.8328099999994</v>
      </c>
      <c r="F173" s="24">
        <v>3835.5968069999999</v>
      </c>
      <c r="G173" s="24">
        <v>2992.4374660000003</v>
      </c>
      <c r="H173" s="41">
        <v>3102.8118710000003</v>
      </c>
      <c r="I173" s="19">
        <f t="shared" si="36"/>
        <v>732.78493599999956</v>
      </c>
      <c r="J173" s="34">
        <f t="shared" si="37"/>
        <v>6.6975019347283782E-2</v>
      </c>
      <c r="K173" s="34">
        <f t="shared" si="38"/>
        <v>3.6884448298108566E-2</v>
      </c>
    </row>
    <row r="174" spans="3:11" ht="15.75" customHeight="1">
      <c r="C174" s="32"/>
      <c r="D174" s="19" t="str">
        <f>IF(Indice_index!$Z$1=1,"março","March")</f>
        <v>March</v>
      </c>
      <c r="E174" s="24">
        <v>5381.148502</v>
      </c>
      <c r="F174" s="24">
        <v>5699.6951840000002</v>
      </c>
      <c r="G174" s="24">
        <v>4645.8849010000004</v>
      </c>
      <c r="H174" s="41">
        <v>4828.7117609999996</v>
      </c>
      <c r="I174" s="19">
        <f t="shared" si="36"/>
        <v>870.98342300000058</v>
      </c>
      <c r="J174" s="34">
        <f t="shared" si="37"/>
        <v>5.9196783341252633E-2</v>
      </c>
      <c r="K174" s="34">
        <f t="shared" si="38"/>
        <v>3.9352429923661426E-2</v>
      </c>
    </row>
    <row r="175" spans="3:11" ht="15.75" customHeight="1">
      <c r="C175" s="32"/>
      <c r="D175" s="19" t="str">
        <f>IF(Indice_index!$Z$1=1,"abril","April")</f>
        <v>April</v>
      </c>
      <c r="E175" s="24">
        <v>7107.4493259999999</v>
      </c>
      <c r="F175" s="24">
        <v>7495.9317709999996</v>
      </c>
      <c r="G175" s="24">
        <v>6297.6940400000003</v>
      </c>
      <c r="H175" s="24">
        <v>6504.9604389999995</v>
      </c>
      <c r="I175" s="19">
        <f t="shared" si="36"/>
        <v>990.97133200000007</v>
      </c>
      <c r="J175" s="34">
        <f t="shared" si="37"/>
        <v>5.4658489590475014E-2</v>
      </c>
      <c r="K175" s="34">
        <f t="shared" si="38"/>
        <v>3.2911474848339756E-2</v>
      </c>
    </row>
    <row r="176" spans="3:11" ht="15.75" customHeight="1">
      <c r="C176" s="32"/>
      <c r="D176" s="19" t="str">
        <f>IF(Indice_index!$Z$1=1,"maio","May")</f>
        <v>May</v>
      </c>
      <c r="E176" s="24">
        <v>8956.3154939999986</v>
      </c>
      <c r="F176" s="24">
        <v>9525.4974840000014</v>
      </c>
      <c r="G176" s="24">
        <v>7920.8015890000006</v>
      </c>
      <c r="H176" s="24">
        <v>8447.4632000000001</v>
      </c>
      <c r="I176" s="19">
        <f t="shared" si="36"/>
        <v>1078.0342840000012</v>
      </c>
      <c r="J176" s="34">
        <f t="shared" si="37"/>
        <v>6.3550908895662325E-2</v>
      </c>
      <c r="K176" s="34">
        <f t="shared" si="38"/>
        <v>6.6490948558969074E-2</v>
      </c>
    </row>
    <row r="177" spans="3:28" ht="15.75" customHeight="1">
      <c r="C177" s="32"/>
      <c r="D177" s="19" t="str">
        <f>IF(Indice_index!$Z$1=1,"junho","June")</f>
        <v>June</v>
      </c>
      <c r="E177" s="24">
        <v>11011.724913000002</v>
      </c>
      <c r="F177" s="24">
        <v>11567.658069999999</v>
      </c>
      <c r="G177" s="24">
        <v>10168.964720000002</v>
      </c>
      <c r="H177" s="24">
        <v>10461.230002</v>
      </c>
      <c r="I177" s="19">
        <f>IF(F177="","",+F177-H177)</f>
        <v>1106.4280679999993</v>
      </c>
      <c r="J177" s="34">
        <f>IF(F177="","",IF(E177=0,"-",(F177-E177)/E177))</f>
        <v>5.0485565285388237E-2</v>
      </c>
      <c r="K177" s="34">
        <f>IF(H177="","",IF(G177=0,"-",(H177-G177)/G177))</f>
        <v>2.8740908248524086E-2</v>
      </c>
    </row>
    <row r="178" spans="3:28" ht="15.75" customHeight="1">
      <c r="C178" s="36"/>
      <c r="D178" s="19" t="str">
        <f>IF(Indice_index!$Z$1=1,"julho","July")</f>
        <v>July</v>
      </c>
      <c r="E178" s="24">
        <v>13871.356334000002</v>
      </c>
      <c r="F178" s="24">
        <v>13788.472325999999</v>
      </c>
      <c r="G178" s="24">
        <v>12608.483100000001</v>
      </c>
      <c r="H178" s="24">
        <v>12804.140156445999</v>
      </c>
      <c r="I178" s="19">
        <f t="shared" si="36"/>
        <v>984.33216955399985</v>
      </c>
      <c r="J178" s="34">
        <f t="shared" si="37"/>
        <v>-5.9751913226283584E-3</v>
      </c>
      <c r="K178" s="34">
        <f t="shared" si="38"/>
        <v>1.5517890208854546E-2</v>
      </c>
      <c r="M178" s="42"/>
    </row>
    <row r="179" spans="3:28" ht="15.75" customHeight="1">
      <c r="C179" s="36"/>
      <c r="D179" s="19" t="str">
        <f>IF(Indice_index!$Z$1=1,"agosto","August")</f>
        <v>August</v>
      </c>
      <c r="E179" s="24">
        <v>15618.153325000001</v>
      </c>
      <c r="F179" s="24">
        <v>15859.084460999999</v>
      </c>
      <c r="G179" s="24">
        <v>14468.574114000001</v>
      </c>
      <c r="H179" s="24">
        <v>14665.161736000002</v>
      </c>
      <c r="I179" s="19">
        <f t="shared" si="36"/>
        <v>1193.9227249999967</v>
      </c>
      <c r="J179" s="34">
        <f t="shared" si="37"/>
        <v>1.5426352334135342E-2</v>
      </c>
      <c r="K179" s="34">
        <f t="shared" si="38"/>
        <v>1.3587214638502623E-2</v>
      </c>
      <c r="M179" s="42"/>
    </row>
    <row r="180" spans="3:28" ht="15.75" customHeight="1">
      <c r="C180" s="36"/>
      <c r="D180" s="19" t="str">
        <f>IF(Indice_index!$Z$1=1,"setembro","September")</f>
        <v>September</v>
      </c>
      <c r="E180" s="24">
        <v>17486.594544999996</v>
      </c>
      <c r="F180" s="24">
        <v>17587.220332999997</v>
      </c>
      <c r="G180" s="24">
        <v>16469.688021000002</v>
      </c>
      <c r="H180" s="24">
        <v>16429.717403999999</v>
      </c>
      <c r="I180" s="19">
        <f t="shared" si="36"/>
        <v>1157.5029289999984</v>
      </c>
      <c r="J180" s="34">
        <f t="shared" si="37"/>
        <v>5.7544530892536467E-3</v>
      </c>
      <c r="K180" s="34">
        <f t="shared" si="38"/>
        <v>-2.4269201061390688E-3</v>
      </c>
      <c r="M180" s="42"/>
    </row>
    <row r="181" spans="3:28" ht="15.75" customHeight="1">
      <c r="C181" s="36"/>
      <c r="D181" s="19" t="str">
        <f>IF(Indice_index!$Z$1=1,"outubro","October")</f>
        <v>October</v>
      </c>
      <c r="E181" s="19">
        <v>19268.191201000001</v>
      </c>
      <c r="F181" s="19">
        <v>19633.815931999998</v>
      </c>
      <c r="G181" s="19">
        <v>18333.419876</v>
      </c>
      <c r="H181" s="23">
        <v>18321.163288000003</v>
      </c>
      <c r="I181" s="19">
        <f t="shared" si="36"/>
        <v>1312.6526439999943</v>
      </c>
      <c r="J181" s="34">
        <f t="shared" si="37"/>
        <v>1.8975560662955259E-2</v>
      </c>
      <c r="K181" s="34">
        <f t="shared" si="38"/>
        <v>-6.6853800779643232E-4</v>
      </c>
      <c r="M181" s="42"/>
    </row>
    <row r="182" spans="3:28" ht="15.75" customHeight="1">
      <c r="C182" s="36"/>
      <c r="D182" s="19" t="str">
        <f>IF(Indice_index!$Z$1=1,"novembro","November")</f>
        <v>November</v>
      </c>
      <c r="E182" s="19">
        <v>21717.41272</v>
      </c>
      <c r="F182" s="19">
        <v>21972.912554000002</v>
      </c>
      <c r="G182" s="19">
        <v>21250.734970000001</v>
      </c>
      <c r="H182" s="23">
        <v>20931.754814999997</v>
      </c>
      <c r="I182" s="19">
        <f t="shared" si="36"/>
        <v>1041.1577390000057</v>
      </c>
      <c r="J182" s="34">
        <f t="shared" si="37"/>
        <v>1.176474551983382E-2</v>
      </c>
      <c r="K182" s="34">
        <f t="shared" si="38"/>
        <v>-1.5010311664528972E-2</v>
      </c>
      <c r="M182" s="42"/>
    </row>
    <row r="183" spans="3:28" s="44" customFormat="1" ht="15.75" customHeight="1">
      <c r="C183" s="45"/>
      <c r="D183" s="44" t="str">
        <f>IF(Indice_index!$Z$1=1,"dezembro","December")</f>
        <v>December</v>
      </c>
      <c r="E183" s="44">
        <v>26526.155274000004</v>
      </c>
      <c r="F183" s="44">
        <v>24429.838828</v>
      </c>
      <c r="G183" s="44">
        <v>24431.469589999997</v>
      </c>
      <c r="H183" s="44">
        <v>23527.296380000003</v>
      </c>
      <c r="I183" s="44">
        <f t="shared" si="36"/>
        <v>902.54244799999651</v>
      </c>
      <c r="J183" s="51">
        <f t="shared" si="37"/>
        <v>-7.9028280742016899E-2</v>
      </c>
      <c r="K183" s="51">
        <f t="shared" si="38"/>
        <v>-3.7008547794033606E-2</v>
      </c>
      <c r="L183"/>
      <c r="M183" s="52"/>
      <c r="Z183" s="53"/>
      <c r="AA183" s="53"/>
      <c r="AB183" s="53"/>
    </row>
    <row r="184" spans="3:28" s="44" customFormat="1" ht="15.75" customHeight="1">
      <c r="C184" s="45"/>
      <c r="J184" s="51"/>
      <c r="K184" s="51"/>
      <c r="L184"/>
      <c r="M184" s="52"/>
      <c r="Z184" s="53"/>
      <c r="AA184" s="53"/>
      <c r="AB184" s="53"/>
    </row>
    <row r="185" spans="3:28" s="44" customFormat="1" ht="15.75" customHeight="1">
      <c r="C185" s="32" t="s">
        <v>5</v>
      </c>
      <c r="D185" s="44" t="str">
        <f>IF(Indice_index!$Z$1=1,"janeiro","January")</f>
        <v>January</v>
      </c>
      <c r="E185" s="44">
        <v>1978.5820369999999</v>
      </c>
      <c r="F185" s="44">
        <v>2164.8504989999997</v>
      </c>
      <c r="G185" s="44">
        <v>1473.427267</v>
      </c>
      <c r="H185" s="44">
        <v>1630.4437870000002</v>
      </c>
      <c r="I185" s="44">
        <f t="shared" si="36"/>
        <v>534.40671199999952</v>
      </c>
      <c r="J185" s="51">
        <f t="shared" si="37"/>
        <v>9.4142400222346601E-2</v>
      </c>
      <c r="K185" s="51">
        <f t="shared" si="38"/>
        <v>0.10656550446476848</v>
      </c>
      <c r="L185"/>
      <c r="M185" s="222"/>
      <c r="Z185" s="53"/>
      <c r="AA185" s="53"/>
      <c r="AB185" s="53"/>
    </row>
    <row r="186" spans="3:28" s="44" customFormat="1" ht="15.75" customHeight="1">
      <c r="C186" s="32"/>
      <c r="D186" s="44" t="str">
        <f>IF(Indice_index!$Z$1=1,"fevereiro","February")</f>
        <v>February</v>
      </c>
      <c r="E186" s="44">
        <v>3835.9403160000002</v>
      </c>
      <c r="F186" s="44">
        <v>4576.2596320000002</v>
      </c>
      <c r="G186" s="44">
        <v>3092.2867649999998</v>
      </c>
      <c r="H186" s="44">
        <v>3652.0553099999997</v>
      </c>
      <c r="I186" s="44">
        <f t="shared" si="36"/>
        <v>924.2043220000005</v>
      </c>
      <c r="J186" s="51">
        <f t="shared" si="37"/>
        <v>0.19299552522026259</v>
      </c>
      <c r="K186" s="51">
        <f t="shared" si="38"/>
        <v>0.18102090379706423</v>
      </c>
      <c r="L186"/>
      <c r="M186" s="52"/>
      <c r="Z186" s="53"/>
      <c r="AA186" s="53"/>
      <c r="AB186" s="53"/>
    </row>
    <row r="187" spans="3:28" s="44" customFormat="1" ht="15.75" customHeight="1">
      <c r="C187" s="32"/>
      <c r="D187" s="44" t="str">
        <f>IF(Indice_index!$Z$1=1,"março","March")</f>
        <v>March</v>
      </c>
      <c r="E187" s="44">
        <v>5699.6951840000002</v>
      </c>
      <c r="F187" s="44">
        <v>6487.1669079999992</v>
      </c>
      <c r="G187" s="44">
        <v>4828.7117609999996</v>
      </c>
      <c r="H187" s="44">
        <v>5611.0730239999994</v>
      </c>
      <c r="I187" s="44">
        <f t="shared" si="36"/>
        <v>876.09388399999989</v>
      </c>
      <c r="J187" s="51">
        <f t="shared" si="37"/>
        <v>0.13816032236435455</v>
      </c>
      <c r="K187" s="51">
        <f t="shared" si="38"/>
        <v>0.16202277164665077</v>
      </c>
      <c r="L187"/>
      <c r="M187" s="52"/>
      <c r="Z187" s="53"/>
      <c r="AA187" s="53"/>
      <c r="AB187" s="53"/>
    </row>
    <row r="188" spans="3:28" s="44" customFormat="1" ht="15.75" customHeight="1">
      <c r="C188" s="32"/>
      <c r="D188" s="44" t="str">
        <f>IF(Indice_index!$Z$1=1,"abril","April")</f>
        <v>April</v>
      </c>
      <c r="E188" s="44">
        <v>7528.97523</v>
      </c>
      <c r="F188" s="44">
        <v>8409.5278460000009</v>
      </c>
      <c r="G188" s="44">
        <v>6534.3310999999994</v>
      </c>
      <c r="H188" s="44">
        <v>7525.7258510000001</v>
      </c>
      <c r="I188" s="44">
        <f t="shared" si="36"/>
        <v>883.80199500000072</v>
      </c>
      <c r="J188" s="51">
        <f t="shared" si="37"/>
        <v>0.11695517505375043</v>
      </c>
      <c r="K188" s="51">
        <f t="shared" si="38"/>
        <v>0.15172092381422189</v>
      </c>
      <c r="L188"/>
      <c r="M188" s="52"/>
      <c r="Z188" s="53"/>
      <c r="AA188" s="53"/>
      <c r="AB188" s="53"/>
    </row>
    <row r="189" spans="3:28" s="44" customFormat="1" ht="15.75" customHeight="1">
      <c r="C189" s="32"/>
      <c r="D189" s="44" t="str">
        <f>IF(Indice_index!$Z$1=1,"maio","May")</f>
        <v>May</v>
      </c>
      <c r="E189" s="44">
        <v>9532.0290339999992</v>
      </c>
      <c r="F189" s="44">
        <v>10497.556969999998</v>
      </c>
      <c r="G189" s="44">
        <v>8450.917320999999</v>
      </c>
      <c r="H189" s="44">
        <v>9794.9468949999991</v>
      </c>
      <c r="I189" s="44">
        <f t="shared" si="36"/>
        <v>702.61007499999869</v>
      </c>
      <c r="J189" s="51">
        <f t="shared" si="37"/>
        <v>0.10129301249041901</v>
      </c>
      <c r="K189" s="51">
        <f t="shared" si="38"/>
        <v>0.1590394891996128</v>
      </c>
      <c r="L189"/>
      <c r="M189" s="52"/>
      <c r="Z189" s="53"/>
      <c r="AA189" s="53"/>
      <c r="AB189" s="53"/>
    </row>
    <row r="190" spans="3:28" s="44" customFormat="1" ht="15.75" customHeight="1">
      <c r="C190" s="32"/>
      <c r="D190" s="44" t="str">
        <f>IF(Indice_index!$Z$1=1,"junho","June")</f>
        <v>June</v>
      </c>
      <c r="E190" s="44">
        <v>11584.029534999998</v>
      </c>
      <c r="F190" s="44">
        <v>13040.112971999999</v>
      </c>
      <c r="G190" s="44">
        <v>10475.639537999999</v>
      </c>
      <c r="H190" s="44">
        <v>11801.850284</v>
      </c>
      <c r="I190" s="44">
        <f t="shared" si="36"/>
        <v>1238.2626879999989</v>
      </c>
      <c r="J190" s="51">
        <f t="shared" si="37"/>
        <v>0.12569749003147732</v>
      </c>
      <c r="K190" s="51">
        <f t="shared" si="38"/>
        <v>0.1265995017477663</v>
      </c>
      <c r="L190"/>
      <c r="M190" s="52"/>
      <c r="Z190" s="53"/>
      <c r="AA190" s="53"/>
      <c r="AB190" s="53"/>
    </row>
    <row r="191" spans="3:28" s="44" customFormat="1" ht="15.75" customHeight="1">
      <c r="C191" s="32"/>
      <c r="D191" s="44" t="str">
        <f>IF(Indice_index!$Z$1=1,"julho","July")</f>
        <v>July</v>
      </c>
      <c r="E191" s="44">
        <v>13807.840927000001</v>
      </c>
      <c r="F191" s="44">
        <v>15101.924756000002</v>
      </c>
      <c r="G191" s="44">
        <v>12820.684417000002</v>
      </c>
      <c r="H191" s="44">
        <v>14553.39675</v>
      </c>
      <c r="I191" s="44">
        <f t="shared" si="36"/>
        <v>548.52800600000228</v>
      </c>
      <c r="J191" s="51">
        <f t="shared" si="37"/>
        <v>9.3720939851612547E-2</v>
      </c>
      <c r="K191" s="51">
        <f t="shared" si="38"/>
        <v>0.1351497530586161</v>
      </c>
      <c r="L191"/>
      <c r="M191" s="52"/>
      <c r="Z191" s="53"/>
      <c r="AA191" s="53"/>
      <c r="AB191" s="53"/>
    </row>
    <row r="192" spans="3:28" s="44" customFormat="1" ht="15.75" customHeight="1">
      <c r="C192" s="32"/>
      <c r="D192" s="24" t="str">
        <f>IF(Indice_index!$Z$1=1,"agosto","August")</f>
        <v>August</v>
      </c>
      <c r="E192" s="44">
        <v>15865.183720999999</v>
      </c>
      <c r="F192" s="44">
        <v>18008.128609999996</v>
      </c>
      <c r="G192" s="44">
        <v>14674.003821</v>
      </c>
      <c r="H192" s="44">
        <v>17398.911681999998</v>
      </c>
      <c r="I192" s="44">
        <f t="shared" si="36"/>
        <v>609.21692799999801</v>
      </c>
      <c r="J192" s="51">
        <f t="shared" si="37"/>
        <v>0.13507217607341546</v>
      </c>
      <c r="K192" s="51">
        <f t="shared" si="38"/>
        <v>0.18569627582489628</v>
      </c>
      <c r="L192"/>
      <c r="M192" s="52"/>
      <c r="Z192" s="53"/>
      <c r="AA192" s="53"/>
      <c r="AB192" s="53"/>
    </row>
    <row r="193" spans="3:28" s="44" customFormat="1" ht="15.75" customHeight="1">
      <c r="C193" s="32"/>
      <c r="D193" s="24" t="str">
        <f>IF(Indice_index!$Z$1=1,"setembro","September")</f>
        <v>September</v>
      </c>
      <c r="E193" s="44">
        <v>17594.074723999998</v>
      </c>
      <c r="F193" s="44">
        <v>19842.455151000002</v>
      </c>
      <c r="G193" s="44">
        <v>16439.616589000001</v>
      </c>
      <c r="H193" s="44">
        <v>19347.735468000003</v>
      </c>
      <c r="I193" s="44">
        <f t="shared" si="36"/>
        <v>494.71968299999935</v>
      </c>
      <c r="J193" s="51">
        <f t="shared" si="37"/>
        <v>0.12779191075805754</v>
      </c>
      <c r="K193" s="51">
        <f t="shared" si="38"/>
        <v>0.17689700141461134</v>
      </c>
      <c r="L193"/>
      <c r="M193" s="52"/>
      <c r="Z193" s="53"/>
      <c r="AA193" s="53"/>
      <c r="AB193" s="53"/>
    </row>
    <row r="194" spans="3:28" s="44" customFormat="1" ht="15.75" customHeight="1">
      <c r="C194" s="32"/>
      <c r="D194" s="24" t="str">
        <f>IF(Indice_index!$Z$1=1,"outubro","October")</f>
        <v>October</v>
      </c>
      <c r="E194" s="44">
        <v>19641.286084999996</v>
      </c>
      <c r="F194" s="44">
        <v>21938.938627000003</v>
      </c>
      <c r="G194" s="44">
        <v>18332.111044000001</v>
      </c>
      <c r="H194" s="44">
        <v>21546.539317000002</v>
      </c>
      <c r="I194" s="44">
        <f t="shared" si="36"/>
        <v>392.3993100000007</v>
      </c>
      <c r="J194" s="51">
        <f t="shared" si="37"/>
        <v>0.11698075839110754</v>
      </c>
      <c r="K194" s="51">
        <f t="shared" si="38"/>
        <v>0.17534414150584507</v>
      </c>
      <c r="L194"/>
      <c r="M194" s="52"/>
      <c r="Z194" s="53"/>
      <c r="AA194" s="53"/>
      <c r="AB194" s="53"/>
    </row>
    <row r="195" spans="3:28" s="44" customFormat="1" ht="15.75" customHeight="1">
      <c r="C195" s="32"/>
      <c r="D195" s="24" t="str">
        <f>IF(Indice_index!$Z$1=1,"novembro","November")</f>
        <v>November</v>
      </c>
      <c r="E195" s="44">
        <v>21980.142507999997</v>
      </c>
      <c r="F195" s="44">
        <v>23990.2641</v>
      </c>
      <c r="G195" s="44">
        <v>20937.679405000003</v>
      </c>
      <c r="H195" s="44">
        <v>23581.589263000002</v>
      </c>
      <c r="I195" s="44">
        <f t="shared" si="36"/>
        <v>408.67483699999866</v>
      </c>
      <c r="J195" s="51">
        <f t="shared" si="37"/>
        <v>9.1451708798902909E-2</v>
      </c>
      <c r="K195" s="51">
        <f t="shared" si="38"/>
        <v>0.12627520972398798</v>
      </c>
      <c r="L195"/>
      <c r="M195" s="52"/>
      <c r="Z195" s="53"/>
      <c r="AA195" s="53"/>
      <c r="AB195" s="53"/>
    </row>
    <row r="196" spans="3:28" s="44" customFormat="1" ht="15.75" customHeight="1">
      <c r="C196" s="32"/>
      <c r="D196" s="44" t="str">
        <f>IF(Indice_index!$Z$1=1,"dezembro","December")</f>
        <v>December</v>
      </c>
      <c r="E196" s="44">
        <v>24552.122697999999</v>
      </c>
      <c r="F196" s="44">
        <v>28088.776213000001</v>
      </c>
      <c r="G196" s="44">
        <v>24006.257605999999</v>
      </c>
      <c r="H196" s="44">
        <v>26989.510598000001</v>
      </c>
      <c r="I196" s="44">
        <f t="shared" si="36"/>
        <v>1099.2656150000003</v>
      </c>
      <c r="J196" s="46">
        <f t="shared" si="37"/>
        <v>0.14404675141543241</v>
      </c>
      <c r="K196" s="46">
        <f t="shared" si="38"/>
        <v>0.12426980668800217</v>
      </c>
      <c r="L196" s="45"/>
      <c r="M196" s="222"/>
      <c r="N196" s="45"/>
      <c r="Z196" s="53"/>
      <c r="AA196" s="53"/>
      <c r="AB196" s="53"/>
    </row>
    <row r="197" spans="3:28" s="44" customFormat="1" ht="15.75" customHeight="1">
      <c r="C197" s="32"/>
      <c r="J197" s="46"/>
      <c r="K197" s="46"/>
      <c r="L197"/>
      <c r="M197" s="52"/>
      <c r="Z197" s="53"/>
      <c r="AA197" s="53"/>
      <c r="AB197" s="53"/>
    </row>
    <row r="198" spans="3:28" s="36" customFormat="1" ht="15.75" customHeight="1">
      <c r="C198" s="32">
        <v>2013</v>
      </c>
      <c r="D198" s="36" t="str">
        <f>IF(Indice_index!$Z$1=1,"janeiro","January")</f>
        <v>January</v>
      </c>
      <c r="E198" s="45">
        <v>2186.518986</v>
      </c>
      <c r="F198" s="45">
        <v>2117.1740679999994</v>
      </c>
      <c r="G198" s="45">
        <v>1689.5258254400005</v>
      </c>
      <c r="H198" s="45">
        <v>1552.9706331999998</v>
      </c>
      <c r="I198" s="45">
        <f t="shared" ref="I198:I209" si="39">IF(F198="","",+F198-H198)</f>
        <v>564.20343479999951</v>
      </c>
      <c r="J198" s="220">
        <f t="shared" ref="J198:J209" si="40">IF(F198="","",IF(E198=0,"-",(F198-E198)/E198))</f>
        <v>-3.171475685507754E-2</v>
      </c>
      <c r="K198" s="220">
        <f t="shared" ref="K198:K209" si="41">IF(H198="","",IF(G198=0,"-",(H198-G198)/G198))</f>
        <v>-8.0824566386511337E-2</v>
      </c>
      <c r="L198" s="45"/>
      <c r="M198" s="45"/>
      <c r="N198" s="45"/>
      <c r="Z198" s="54"/>
      <c r="AA198" s="54"/>
      <c r="AB198" s="54"/>
    </row>
    <row r="199" spans="3:28" s="36" customFormat="1" ht="15.75" customHeight="1">
      <c r="C199" s="32"/>
      <c r="D199" s="36" t="str">
        <f>IF(Indice_index!$Z$1=1,"fevereiro","February")</f>
        <v>February</v>
      </c>
      <c r="E199" s="45">
        <v>4576.2596319999993</v>
      </c>
      <c r="F199" s="45">
        <v>4177.5678190000008</v>
      </c>
      <c r="G199" s="45">
        <v>3652.0345035499995</v>
      </c>
      <c r="H199" s="45">
        <v>3617.8328838599987</v>
      </c>
      <c r="I199" s="45">
        <f t="shared" si="39"/>
        <v>559.73493514000211</v>
      </c>
      <c r="J199" s="220">
        <f t="shared" si="40"/>
        <v>-8.712176429241518E-2</v>
      </c>
      <c r="K199" s="220">
        <f t="shared" si="41"/>
        <v>-9.3650866816167178E-3</v>
      </c>
      <c r="L199" s="45"/>
      <c r="M199" s="45"/>
      <c r="N199" s="45"/>
      <c r="O199" s="45"/>
      <c r="Z199" s="54"/>
      <c r="AA199" s="54"/>
      <c r="AB199" s="54"/>
    </row>
    <row r="200" spans="3:28" s="36" customFormat="1" ht="15.75" customHeight="1">
      <c r="D200" s="36" t="str">
        <f>IF(Indice_index!$Z$1=1,"março","March")</f>
        <v>March</v>
      </c>
      <c r="E200" s="45">
        <v>6487.1669079999983</v>
      </c>
      <c r="F200" s="45">
        <v>6132.360377</v>
      </c>
      <c r="G200" s="45">
        <v>5611.0711412699975</v>
      </c>
      <c r="H200" s="45">
        <v>5749.8335832000012</v>
      </c>
      <c r="I200" s="45">
        <f t="shared" si="39"/>
        <v>382.52679379999881</v>
      </c>
      <c r="J200" s="220">
        <f t="shared" si="40"/>
        <v>-5.4693602928953415E-2</v>
      </c>
      <c r="K200" s="220">
        <f t="shared" si="41"/>
        <v>2.473011630691898E-2</v>
      </c>
      <c r="L200" s="45"/>
      <c r="M200" s="45"/>
      <c r="N200" s="45"/>
      <c r="O200" s="45"/>
      <c r="Z200" s="54"/>
      <c r="AA200" s="54"/>
      <c r="AB200" s="54"/>
    </row>
    <row r="201" spans="3:28" s="36" customFormat="1" ht="15.75" customHeight="1">
      <c r="D201" s="36" t="str">
        <f>IF(Indice_index!$Z$1=1,"abril","April")</f>
        <v>April</v>
      </c>
      <c r="E201" s="45">
        <v>8414.3905990000021</v>
      </c>
      <c r="F201" s="45">
        <v>8047.9190539999991</v>
      </c>
      <c r="G201" s="45">
        <v>7529.5403359699994</v>
      </c>
      <c r="H201" s="45">
        <v>7597.27440647</v>
      </c>
      <c r="I201" s="45">
        <f t="shared" si="39"/>
        <v>450.64464752999902</v>
      </c>
      <c r="J201" s="220">
        <f t="shared" si="40"/>
        <v>-4.3552951421527299E-2</v>
      </c>
      <c r="K201" s="220">
        <f t="shared" si="41"/>
        <v>8.995777627542877E-3</v>
      </c>
      <c r="L201" s="45"/>
      <c r="M201" s="45"/>
      <c r="N201" s="45"/>
      <c r="O201" s="45"/>
      <c r="Z201" s="54"/>
      <c r="AA201" s="54"/>
      <c r="AB201" s="54"/>
    </row>
    <row r="202" spans="3:28" s="36" customFormat="1" ht="15.75" customHeight="1">
      <c r="D202" s="36" t="str">
        <f>IF(Indice_index!$Z$1=1,"maio","May")</f>
        <v>May</v>
      </c>
      <c r="E202" s="45">
        <v>10471.199703999999</v>
      </c>
      <c r="F202" s="45">
        <v>10268.534245000003</v>
      </c>
      <c r="G202" s="45">
        <v>9794.9468950999981</v>
      </c>
      <c r="H202" s="45">
        <v>9832.6684359800001</v>
      </c>
      <c r="I202" s="45">
        <f t="shared" si="39"/>
        <v>435.86580902000242</v>
      </c>
      <c r="J202" s="220">
        <f t="shared" si="40"/>
        <v>-1.935455962343818E-2</v>
      </c>
      <c r="K202" s="220">
        <f t="shared" si="41"/>
        <v>3.8511225516569747E-3</v>
      </c>
      <c r="L202" s="45"/>
      <c r="M202" s="45"/>
      <c r="N202" s="45"/>
      <c r="O202" s="45"/>
      <c r="Z202" s="54"/>
      <c r="AA202" s="54"/>
      <c r="AB202" s="54"/>
    </row>
    <row r="203" spans="3:28" s="36" customFormat="1" ht="15.75" customHeight="1">
      <c r="D203" s="40" t="str">
        <f>IF(Indice_index!$Z$1=1,"junho","June")</f>
        <v>June</v>
      </c>
      <c r="E203" s="45">
        <v>13040.112971999999</v>
      </c>
      <c r="F203" s="45">
        <v>12319.868296000004</v>
      </c>
      <c r="G203" s="45">
        <v>11801.850284250006</v>
      </c>
      <c r="H203" s="45">
        <v>11903.639203239996</v>
      </c>
      <c r="I203" s="40">
        <f t="shared" si="39"/>
        <v>416.22909276000792</v>
      </c>
      <c r="J203" s="241">
        <f t="shared" si="40"/>
        <v>-5.5233008912309201E-2</v>
      </c>
      <c r="K203" s="241">
        <f t="shared" si="41"/>
        <v>8.6248271701795456E-3</v>
      </c>
      <c r="L203" s="45"/>
      <c r="M203" s="45"/>
      <c r="N203" s="45"/>
      <c r="O203" s="45"/>
      <c r="Z203" s="54"/>
      <c r="AA203" s="54"/>
      <c r="AB203" s="54"/>
    </row>
    <row r="204" spans="3:28" s="36" customFormat="1" ht="15.75" customHeight="1">
      <c r="D204" s="45" t="str">
        <f>IF(Indice_index!$Z$1=1,"julho","July")</f>
        <v>July</v>
      </c>
      <c r="E204" s="45">
        <v>15101.894569999997</v>
      </c>
      <c r="F204" s="45">
        <v>14178.52442</v>
      </c>
      <c r="G204" s="45">
        <v>14553.399068290011</v>
      </c>
      <c r="H204" s="45">
        <v>14001.907039980008</v>
      </c>
      <c r="I204" s="45">
        <f t="shared" si="39"/>
        <v>176.6173800199922</v>
      </c>
      <c r="J204" s="221">
        <f t="shared" si="40"/>
        <v>-6.1142669598175936E-2</v>
      </c>
      <c r="K204" s="221">
        <f t="shared" si="41"/>
        <v>-3.7894379568800117E-2</v>
      </c>
      <c r="L204" s="45"/>
      <c r="M204" s="45"/>
      <c r="N204" s="45"/>
      <c r="O204" s="45"/>
      <c r="Z204" s="54"/>
      <c r="AA204" s="54"/>
      <c r="AB204" s="54"/>
    </row>
    <row r="205" spans="3:28" s="36" customFormat="1" ht="15.75" customHeight="1">
      <c r="D205" s="45" t="str">
        <f>IF(Indice_index!$Z$1=1,"agosto","August")</f>
        <v>August</v>
      </c>
      <c r="E205" s="45">
        <v>18027.864687999994</v>
      </c>
      <c r="F205" s="45">
        <v>16803.004719999997</v>
      </c>
      <c r="G205" s="45">
        <v>17413.485229729999</v>
      </c>
      <c r="H205" s="45">
        <v>16246.991536379999</v>
      </c>
      <c r="I205" s="45">
        <f t="shared" si="39"/>
        <v>556.01318361999802</v>
      </c>
      <c r="J205" s="221">
        <f t="shared" si="40"/>
        <v>-6.7942598260974776E-2</v>
      </c>
      <c r="K205" s="221">
        <f t="shared" si="41"/>
        <v>-6.6987950887536729E-2</v>
      </c>
      <c r="L205" s="45"/>
      <c r="M205" s="45"/>
      <c r="N205" s="45"/>
      <c r="O205" s="45"/>
      <c r="Z205" s="54"/>
      <c r="AA205" s="54"/>
      <c r="AB205" s="54"/>
    </row>
    <row r="206" spans="3:28" s="36" customFormat="1" ht="15.75" customHeight="1">
      <c r="C206" s="45"/>
      <c r="D206" s="45" t="str">
        <f>IF(Indice_index!$Z$1=1,"setembro","September")</f>
        <v>September</v>
      </c>
      <c r="E206" s="45">
        <v>19859.613337999999</v>
      </c>
      <c r="F206" s="45">
        <v>18688.898580999994</v>
      </c>
      <c r="G206" s="45">
        <v>19368.527448540004</v>
      </c>
      <c r="H206" s="45">
        <v>18263.36713726999</v>
      </c>
      <c r="I206" s="45">
        <f t="shared" si="39"/>
        <v>425.53144373000396</v>
      </c>
      <c r="J206" s="221">
        <f t="shared" si="40"/>
        <v>-5.8949524196421452E-2</v>
      </c>
      <c r="K206" s="221">
        <f t="shared" si="41"/>
        <v>-5.7059593931768973E-2</v>
      </c>
      <c r="L206" s="45"/>
      <c r="M206" s="45"/>
      <c r="N206" s="45"/>
      <c r="O206" s="45"/>
      <c r="Z206" s="54"/>
      <c r="AA206" s="54"/>
      <c r="AB206" s="54"/>
    </row>
    <row r="207" spans="3:28" s="36" customFormat="1" ht="15.75" customHeight="1">
      <c r="C207" s="45"/>
      <c r="D207" s="45" t="str">
        <f>IF(Indice_index!$Z$1=1,"outubro","October")</f>
        <v>October</v>
      </c>
      <c r="E207" s="45">
        <v>21988.159698999993</v>
      </c>
      <c r="F207" s="45">
        <v>21139.303411000004</v>
      </c>
      <c r="G207" s="45">
        <v>21591.45300012</v>
      </c>
      <c r="H207" s="45">
        <v>20910.873619929996</v>
      </c>
      <c r="I207" s="45">
        <f t="shared" si="39"/>
        <v>228.42979107000792</v>
      </c>
      <c r="J207" s="221">
        <f t="shared" si="40"/>
        <v>-3.8605153847349652E-2</v>
      </c>
      <c r="K207" s="221">
        <f t="shared" si="41"/>
        <v>-3.1520777234687311E-2</v>
      </c>
      <c r="L207" s="45"/>
      <c r="M207" s="45"/>
      <c r="N207" s="45"/>
      <c r="O207" s="45"/>
      <c r="Z207" s="54"/>
      <c r="AA207" s="54"/>
      <c r="AB207" s="54"/>
    </row>
    <row r="208" spans="3:28" s="36" customFormat="1" ht="15.75" customHeight="1">
      <c r="C208" s="45"/>
      <c r="D208" s="45" t="str">
        <f>IF(Indice_index!$Z$1=1,"novembro","November")</f>
        <v>November</v>
      </c>
      <c r="E208" s="45">
        <v>24022.473492000005</v>
      </c>
      <c r="F208" s="45">
        <v>23692.133698999998</v>
      </c>
      <c r="G208" s="45">
        <v>23612.821883239994</v>
      </c>
      <c r="H208" s="45">
        <v>23770.058653480006</v>
      </c>
      <c r="I208" s="45">
        <f t="shared" si="39"/>
        <v>-77.924954480007727</v>
      </c>
      <c r="J208" s="221">
        <f t="shared" si="40"/>
        <v>-1.3751281403641329E-2</v>
      </c>
      <c r="K208" s="221">
        <f t="shared" si="41"/>
        <v>6.6589571978102162E-3</v>
      </c>
      <c r="L208" s="45"/>
      <c r="M208" s="45"/>
      <c r="N208" s="45"/>
      <c r="O208" s="45"/>
      <c r="Z208" s="54"/>
      <c r="AA208" s="54"/>
      <c r="AB208" s="54"/>
    </row>
    <row r="209" spans="3:28" s="36" customFormat="1" ht="15.75" customHeight="1">
      <c r="C209" s="45"/>
      <c r="D209" s="45" t="str">
        <f>IF(Indice_index!$Z$1=1,"dezembro","December")</f>
        <v>December</v>
      </c>
      <c r="E209" s="45">
        <v>28194.409235140007</v>
      </c>
      <c r="F209" s="45">
        <v>26432.079020999998</v>
      </c>
      <c r="G209" s="45">
        <v>27347.140215460007</v>
      </c>
      <c r="H209" s="45">
        <v>27086.760245890004</v>
      </c>
      <c r="I209" s="45">
        <f t="shared" si="39"/>
        <v>-654.68122489000598</v>
      </c>
      <c r="J209" s="221">
        <f t="shared" si="40"/>
        <v>-6.2506371367538172E-2</v>
      </c>
      <c r="K209" s="221">
        <f t="shared" si="41"/>
        <v>-9.521286961581615E-3</v>
      </c>
      <c r="L209" s="45"/>
      <c r="M209" s="45"/>
      <c r="N209" s="45"/>
      <c r="O209" s="45"/>
      <c r="Z209" s="54"/>
      <c r="AA209" s="54"/>
      <c r="AB209" s="54"/>
    </row>
    <row r="210" spans="3:28" s="44" customFormat="1" ht="15.75" customHeight="1">
      <c r="C210" s="32"/>
      <c r="J210" s="46"/>
      <c r="K210" s="46"/>
      <c r="L210" s="45"/>
      <c r="M210" s="45"/>
      <c r="N210" s="45"/>
      <c r="O210" s="45"/>
      <c r="Z210" s="53"/>
      <c r="AA210" s="53"/>
      <c r="AB210" s="53"/>
    </row>
    <row r="211" spans="3:28" s="36" customFormat="1" ht="15.75" customHeight="1">
      <c r="C211" s="32" t="s">
        <v>16</v>
      </c>
      <c r="D211" s="36" t="str">
        <f>IF(Indice_index!$Z$1=1,"janeiro","January")</f>
        <v>January</v>
      </c>
      <c r="E211" s="45">
        <v>2117.1740679999994</v>
      </c>
      <c r="F211" s="45">
        <v>2292.3272199999997</v>
      </c>
      <c r="G211" s="45">
        <v>1552.9706331999994</v>
      </c>
      <c r="H211" s="45">
        <v>1711.4642019699997</v>
      </c>
      <c r="I211" s="45">
        <f t="shared" ref="I211:I220" si="42">IF(F211="","",+F211-H211)</f>
        <v>580.86301802999992</v>
      </c>
      <c r="J211" s="220">
        <f t="shared" ref="J211:J220" si="43">IF(F211="","",IF(E211=0,"-",(F211-E211)/E211))</f>
        <v>8.2729688903406859E-2</v>
      </c>
      <c r="K211" s="220">
        <f t="shared" ref="K211:K220" si="44">IF(H211="","",IF(G211=0,"-",(H211-G211)/G211))</f>
        <v>0.10205831673932804</v>
      </c>
      <c r="L211" s="45"/>
      <c r="M211" s="45"/>
      <c r="N211" s="45"/>
      <c r="O211" s="45"/>
      <c r="Z211" s="54"/>
      <c r="AA211" s="54"/>
      <c r="AB211" s="54"/>
    </row>
    <row r="212" spans="3:28" s="36" customFormat="1" ht="15.75" customHeight="1">
      <c r="C212" s="32"/>
      <c r="D212" s="36" t="str">
        <f>IF(Indice_index!$Z$1=1,"fevereiro","February")</f>
        <v>February</v>
      </c>
      <c r="E212" s="45">
        <v>4184.1557509599998</v>
      </c>
      <c r="F212" s="45">
        <v>4336.8984672599991</v>
      </c>
      <c r="G212" s="45">
        <v>3624.6411040100002</v>
      </c>
      <c r="H212" s="45">
        <v>3907.4115797800005</v>
      </c>
      <c r="I212" s="45">
        <f t="shared" si="42"/>
        <v>429.48688747999859</v>
      </c>
      <c r="J212" s="220">
        <f t="shared" si="43"/>
        <v>3.6505026435728283E-2</v>
      </c>
      <c r="K212" s="220">
        <f t="shared" si="44"/>
        <v>7.8013372263854394E-2</v>
      </c>
      <c r="L212" s="45"/>
      <c r="M212" s="45"/>
      <c r="N212" s="45"/>
      <c r="O212" s="45"/>
      <c r="Z212" s="54"/>
      <c r="AA212" s="54"/>
      <c r="AB212" s="54"/>
    </row>
    <row r="213" spans="3:28" s="36" customFormat="1" ht="15.75" customHeight="1">
      <c r="D213" s="36" t="str">
        <f>IF(Indice_index!$Z$1=1,"março","March")</f>
        <v>March</v>
      </c>
      <c r="E213" s="45">
        <v>6145.240081709996</v>
      </c>
      <c r="F213" s="45">
        <v>6496.873726599998</v>
      </c>
      <c r="G213" s="45">
        <v>5760.657209810006</v>
      </c>
      <c r="H213" s="45">
        <v>5877.3306277600077</v>
      </c>
      <c r="I213" s="45">
        <f t="shared" si="42"/>
        <v>619.54309883999031</v>
      </c>
      <c r="J213" s="220">
        <f t="shared" si="43"/>
        <v>5.7220489389269741E-2</v>
      </c>
      <c r="K213" s="220">
        <f t="shared" si="44"/>
        <v>2.0253490825893075E-2</v>
      </c>
      <c r="L213" s="45"/>
      <c r="M213" s="45"/>
      <c r="N213" s="45"/>
      <c r="O213" s="45"/>
      <c r="Z213" s="54"/>
      <c r="AA213" s="54"/>
      <c r="AB213" s="54"/>
    </row>
    <row r="214" spans="3:28" s="36" customFormat="1" ht="15.75" customHeight="1">
      <c r="D214" s="36" t="str">
        <f>IF(Indice_index!$Z$1=1,"abril","April")</f>
        <v>April</v>
      </c>
      <c r="E214" s="45">
        <v>8062.3196390400008</v>
      </c>
      <c r="F214" s="45">
        <v>8469.9408924800027</v>
      </c>
      <c r="G214" s="45">
        <v>7609.1796497899886</v>
      </c>
      <c r="H214" s="45">
        <v>7940.0598623400156</v>
      </c>
      <c r="I214" s="45">
        <f t="shared" si="42"/>
        <v>529.88103013998716</v>
      </c>
      <c r="J214" s="220">
        <f t="shared" si="43"/>
        <v>5.0558805863536609E-2</v>
      </c>
      <c r="K214" s="220">
        <f t="shared" si="44"/>
        <v>4.3484347561587554E-2</v>
      </c>
      <c r="L214" s="45"/>
      <c r="M214" s="45"/>
      <c r="N214" s="45"/>
      <c r="O214" s="45"/>
      <c r="Z214" s="54"/>
      <c r="AA214" s="54"/>
      <c r="AB214" s="54"/>
    </row>
    <row r="215" spans="3:28" s="36" customFormat="1" ht="15.75" customHeight="1">
      <c r="D215" s="36" t="str">
        <f>IF(Indice_index!$Z$1=1,"maio","May")</f>
        <v>May</v>
      </c>
      <c r="E215" s="45">
        <v>10268.53424458</v>
      </c>
      <c r="F215" s="45">
        <v>10731.090478600003</v>
      </c>
      <c r="G215" s="45">
        <v>9832.6684342799908</v>
      </c>
      <c r="H215" s="45">
        <v>9955.9958405299931</v>
      </c>
      <c r="I215" s="45">
        <f t="shared" si="42"/>
        <v>775.09463807000975</v>
      </c>
      <c r="J215" s="220">
        <f t="shared" si="43"/>
        <v>4.5045984461136931E-2</v>
      </c>
      <c r="K215" s="220">
        <f t="shared" si="44"/>
        <v>1.2542618219489777E-2</v>
      </c>
      <c r="L215" s="218"/>
      <c r="M215" s="225"/>
      <c r="N215" s="224"/>
      <c r="Z215" s="54"/>
      <c r="AA215" s="54"/>
      <c r="AB215" s="54"/>
    </row>
    <row r="216" spans="3:28" s="36" customFormat="1" ht="15.75" customHeight="1">
      <c r="D216" s="40" t="str">
        <f>IF(Indice_index!$Z$1=1,"junho","June")</f>
        <v>June</v>
      </c>
      <c r="E216" s="45">
        <v>12319.868294579994</v>
      </c>
      <c r="F216" s="45">
        <v>12940.359392040005</v>
      </c>
      <c r="G216" s="45">
        <v>11903.639203060009</v>
      </c>
      <c r="H216" s="45">
        <v>12259.375745379981</v>
      </c>
      <c r="I216" s="40">
        <f t="shared" si="42"/>
        <v>680.98364666002453</v>
      </c>
      <c r="J216" s="241">
        <f t="shared" si="43"/>
        <v>5.036507555303904E-2</v>
      </c>
      <c r="K216" s="241">
        <f t="shared" si="44"/>
        <v>2.9884687888433674E-2</v>
      </c>
      <c r="L216"/>
      <c r="M216" s="225"/>
      <c r="N216" s="224"/>
      <c r="O216"/>
      <c r="Z216" s="54"/>
      <c r="AA216" s="54"/>
      <c r="AB216" s="54"/>
    </row>
    <row r="217" spans="3:28" s="36" customFormat="1" ht="15.75" customHeight="1">
      <c r="D217" s="45" t="str">
        <f>IF(Indice_index!$Z$1=1,"julho","July")</f>
        <v>July</v>
      </c>
      <c r="E217" s="45">
        <v>14628.460759799998</v>
      </c>
      <c r="F217" s="45">
        <v>15802.158036959998</v>
      </c>
      <c r="G217" s="45">
        <v>14266.251430839979</v>
      </c>
      <c r="H217" s="45">
        <v>15139.35304804999</v>
      </c>
      <c r="I217" s="45">
        <f t="shared" si="42"/>
        <v>662.80498891000752</v>
      </c>
      <c r="J217" s="221">
        <f t="shared" si="43"/>
        <v>8.0233819294604061E-2</v>
      </c>
      <c r="K217" s="221">
        <f t="shared" si="44"/>
        <v>6.120049274629983E-2</v>
      </c>
      <c r="L217"/>
      <c r="M217" s="225"/>
      <c r="N217" s="224"/>
      <c r="Z217" s="54"/>
      <c r="AA217" s="54"/>
      <c r="AB217" s="54"/>
    </row>
    <row r="218" spans="3:28" s="36" customFormat="1" ht="15.75" customHeight="1">
      <c r="D218" s="45" t="str">
        <f>IF(Indice_index!$Z$1=1,"agosto","August")</f>
        <v>August</v>
      </c>
      <c r="E218" s="45">
        <v>16809.987633769993</v>
      </c>
      <c r="F218" s="45">
        <v>17804.175776460001</v>
      </c>
      <c r="G218" s="45">
        <v>16257.862890189983</v>
      </c>
      <c r="H218" s="45">
        <v>17303.199217019992</v>
      </c>
      <c r="I218" s="45">
        <f t="shared" si="42"/>
        <v>500.97655944000871</v>
      </c>
      <c r="J218" s="221">
        <f t="shared" si="43"/>
        <v>5.9142705179197064E-2</v>
      </c>
      <c r="K218" s="221">
        <f t="shared" si="44"/>
        <v>6.429727780892816E-2</v>
      </c>
      <c r="L218"/>
      <c r="M218" s="225"/>
      <c r="N218" s="224"/>
      <c r="Z218" s="54"/>
      <c r="AA218" s="54"/>
      <c r="AB218" s="54"/>
    </row>
    <row r="219" spans="3:28" s="36" customFormat="1" ht="15.75" customHeight="1">
      <c r="C219" s="45"/>
      <c r="D219" s="45" t="str">
        <f>IF(Indice_index!$Z$1=1,"setembro","September")</f>
        <v>September</v>
      </c>
      <c r="E219" s="45">
        <v>18848.230182319996</v>
      </c>
      <c r="F219" s="45">
        <v>20031.168609059998</v>
      </c>
      <c r="G219" s="45">
        <v>18424.88890881</v>
      </c>
      <c r="H219" s="45">
        <v>19400.794681450021</v>
      </c>
      <c r="I219" s="45">
        <f t="shared" si="42"/>
        <v>630.37392760997682</v>
      </c>
      <c r="J219" s="221">
        <f t="shared" si="43"/>
        <v>6.2761246827812034E-2</v>
      </c>
      <c r="K219" s="221">
        <f t="shared" si="44"/>
        <v>5.2966711358209809E-2</v>
      </c>
      <c r="L219"/>
      <c r="M219" s="225"/>
      <c r="N219" s="224"/>
      <c r="Z219" s="54"/>
      <c r="AA219" s="54"/>
      <c r="AB219" s="54"/>
    </row>
    <row r="220" spans="3:28" s="36" customFormat="1" ht="15.75" customHeight="1">
      <c r="C220" s="45"/>
      <c r="D220" s="45" t="str">
        <f>IF(Indice_index!$Z$1=1,"outubro","October")</f>
        <v>October</v>
      </c>
      <c r="E220" s="45">
        <v>21179.41403177</v>
      </c>
      <c r="F220" s="45">
        <v>22355.290151529993</v>
      </c>
      <c r="G220" s="45">
        <v>20960.459906069998</v>
      </c>
      <c r="H220" s="45">
        <v>21807.151434720054</v>
      </c>
      <c r="I220" s="45">
        <f t="shared" si="42"/>
        <v>548.13871680993907</v>
      </c>
      <c r="J220" s="221">
        <f t="shared" si="43"/>
        <v>5.5519766410729282E-2</v>
      </c>
      <c r="K220" s="221">
        <f t="shared" si="44"/>
        <v>4.0394701855032272E-2</v>
      </c>
      <c r="L220"/>
      <c r="M220" s="225"/>
      <c r="N220" s="224"/>
      <c r="Z220" s="54"/>
      <c r="AA220" s="54"/>
      <c r="AB220" s="54"/>
    </row>
    <row r="221" spans="3:28" s="36" customFormat="1" ht="15.75" customHeight="1">
      <c r="C221" s="45"/>
      <c r="D221" s="45" t="str">
        <f>IF(Indice_index!$Z$1=1,"novembro","November")</f>
        <v>November</v>
      </c>
      <c r="E221" s="45">
        <v>23750.841674909996</v>
      </c>
      <c r="F221" s="45">
        <v>24520.727977560011</v>
      </c>
      <c r="G221" s="45">
        <v>23840.339831080015</v>
      </c>
      <c r="H221" s="45">
        <v>23950.533892700027</v>
      </c>
      <c r="I221" s="45">
        <f>IF(F221="","",+F221-H221)</f>
        <v>570.19408485998429</v>
      </c>
      <c r="J221" s="221">
        <f>IF(F221="","",IF(E221=0,"-",(F221-E221)/E221))</f>
        <v>3.2415116617248566E-2</v>
      </c>
      <c r="K221" s="221">
        <f>IF(H221="","",IF(G221=0,"-",(H221-G221)/G221))</f>
        <v>4.6221682409222503E-3</v>
      </c>
      <c r="L221" s="236"/>
      <c r="M221" s="225"/>
      <c r="N221" s="224"/>
      <c r="Z221" s="54"/>
      <c r="AA221" s="54"/>
      <c r="AB221" s="54"/>
    </row>
    <row r="222" spans="3:28" s="36" customFormat="1" ht="15.75" customHeight="1">
      <c r="C222" s="45"/>
      <c r="D222" s="45" t="str">
        <f>IF(Indice_index!$Z$1=1,"dezembro","December")</f>
        <v>December</v>
      </c>
      <c r="E222" s="45">
        <v>26521.266235900002</v>
      </c>
      <c r="F222" s="45">
        <v>27214.214164190005</v>
      </c>
      <c r="G222" s="45">
        <v>27282.187704950014</v>
      </c>
      <c r="H222" s="45">
        <v>27588.353788259985</v>
      </c>
      <c r="I222" s="45">
        <f>IF(F222="","",+F222-H222)</f>
        <v>-374.13962406997962</v>
      </c>
      <c r="J222" s="221">
        <f>IF(F222="","",IF(E222=0,"-",(F222-E222)/E222))</f>
        <v>2.6128010711344064E-2</v>
      </c>
      <c r="K222" s="221">
        <f>IF(H222="","",IF(G222=0,"-",(H222-G222)/G222))</f>
        <v>1.1222196937469951E-2</v>
      </c>
      <c r="L222" s="236"/>
      <c r="M222" s="225"/>
      <c r="N222" s="224"/>
      <c r="Z222" s="54"/>
      <c r="AA222" s="54"/>
      <c r="AB222" s="54"/>
    </row>
    <row r="223" spans="3:28" s="44" customFormat="1" ht="15.75" customHeight="1">
      <c r="C223" s="32"/>
      <c r="J223" s="46"/>
      <c r="K223" s="46"/>
      <c r="L223" s="45"/>
      <c r="M223" s="45"/>
      <c r="N223" s="45"/>
      <c r="O223" s="45"/>
      <c r="Z223" s="53"/>
      <c r="AA223" s="53"/>
      <c r="AB223" s="53"/>
    </row>
    <row r="224" spans="3:28" s="36" customFormat="1" ht="15.75" customHeight="1">
      <c r="C224" s="32" t="s">
        <v>23</v>
      </c>
      <c r="D224" s="36" t="str">
        <f>IF(Indice_index!$Z$1=1,"janeiro","January")</f>
        <v>January</v>
      </c>
      <c r="E224" s="45">
        <v>2302.3890645899992</v>
      </c>
      <c r="F224" s="45">
        <v>2416.9625787600003</v>
      </c>
      <c r="G224" s="45">
        <v>1712.7126139799987</v>
      </c>
      <c r="H224" s="45">
        <v>1828.8270271099973</v>
      </c>
      <c r="I224" s="45">
        <f t="shared" ref="I224:I232" si="45">IF(F224="","",+F224-H224)</f>
        <v>588.13555165000298</v>
      </c>
      <c r="J224" s="220">
        <f t="shared" ref="J224:J233" si="46">IF(F224="","",IF(E224=0,"-",(F224-E224)/E224))</f>
        <v>4.9762881492144299E-2</v>
      </c>
      <c r="K224" s="220">
        <f t="shared" ref="K224:K233" si="47">IF(H224="","",IF(G224=0,"-",(H224-G224)/G224))</f>
        <v>6.7795619756762446E-2</v>
      </c>
      <c r="L224" s="45"/>
      <c r="M224" s="45"/>
      <c r="N224" s="45"/>
      <c r="O224" s="45"/>
      <c r="Z224" s="54"/>
      <c r="AA224" s="54"/>
      <c r="AB224" s="54"/>
    </row>
    <row r="225" spans="3:28" s="36" customFormat="1" ht="15.75" customHeight="1">
      <c r="C225" s="32"/>
      <c r="D225" s="36" t="str">
        <f>IF(Indice_index!$Z$1=1,"fevereiro","February")</f>
        <v>February</v>
      </c>
      <c r="E225" s="45">
        <v>4342.2095018200007</v>
      </c>
      <c r="F225" s="45">
        <v>4429.0876238799983</v>
      </c>
      <c r="G225" s="45">
        <v>3906.5509016199994</v>
      </c>
      <c r="H225" s="45">
        <v>4125.7735630300012</v>
      </c>
      <c r="I225" s="45">
        <f t="shared" si="45"/>
        <v>303.31406084999708</v>
      </c>
      <c r="J225" s="220">
        <f t="shared" si="46"/>
        <v>2.0007814460261161E-2</v>
      </c>
      <c r="K225" s="220">
        <f t="shared" si="47"/>
        <v>5.6116678607487959E-2</v>
      </c>
      <c r="L225" s="45"/>
      <c r="M225" s="45"/>
      <c r="N225" s="45"/>
      <c r="O225" s="45"/>
      <c r="Z225" s="54"/>
      <c r="AA225" s="54"/>
      <c r="AB225" s="54"/>
    </row>
    <row r="226" spans="3:28" s="36" customFormat="1" ht="15.75" customHeight="1">
      <c r="D226" s="36" t="str">
        <f>IF(Indice_index!$Z$1=1,"março","March")</f>
        <v>March</v>
      </c>
      <c r="E226" s="45">
        <v>6495.7938123399999</v>
      </c>
      <c r="F226" s="45">
        <v>6771.1061425899989</v>
      </c>
      <c r="G226" s="45">
        <v>5877.9655867799975</v>
      </c>
      <c r="H226" s="45">
        <v>6339.536361489997</v>
      </c>
      <c r="I226" s="45">
        <f t="shared" si="45"/>
        <v>431.56978110000182</v>
      </c>
      <c r="J226" s="220">
        <f t="shared" si="46"/>
        <v>4.238316950993589E-2</v>
      </c>
      <c r="K226" s="220">
        <f t="shared" si="47"/>
        <v>7.8525600038916218E-2</v>
      </c>
      <c r="L226" s="45"/>
      <c r="M226" s="45"/>
      <c r="N226" s="45"/>
      <c r="O226" s="45"/>
      <c r="Z226" s="54"/>
      <c r="AA226" s="54"/>
      <c r="AB226" s="54"/>
    </row>
    <row r="227" spans="3:28" s="36" customFormat="1" ht="15.75" customHeight="1">
      <c r="D227" s="36" t="str">
        <f>IF(Indice_index!$Z$1=1,"abril","April")</f>
        <v>April</v>
      </c>
      <c r="E227" s="45">
        <v>8465.1245940299978</v>
      </c>
      <c r="F227" s="45">
        <v>9157.7722271599996</v>
      </c>
      <c r="G227" s="45">
        <v>7942.5839099400109</v>
      </c>
      <c r="H227" s="45">
        <v>8438.8412239600002</v>
      </c>
      <c r="I227" s="45">
        <f t="shared" si="45"/>
        <v>718.9310031999994</v>
      </c>
      <c r="J227" s="220">
        <f t="shared" si="46"/>
        <v>8.1823678486491427E-2</v>
      </c>
      <c r="K227" s="220">
        <f t="shared" si="47"/>
        <v>6.2480588136932559E-2</v>
      </c>
      <c r="L227" s="45"/>
      <c r="M227" s="45"/>
      <c r="N227" s="45"/>
      <c r="O227" s="45"/>
      <c r="Z227" s="54"/>
      <c r="AA227" s="54"/>
      <c r="AB227" s="54"/>
    </row>
    <row r="228" spans="3:28" s="36" customFormat="1" ht="15.75" customHeight="1">
      <c r="D228" s="36" t="str">
        <f>IF(Indice_index!$Z$1=1,"maio","May")</f>
        <v>May</v>
      </c>
      <c r="E228" s="45">
        <v>10719.850564009997</v>
      </c>
      <c r="F228" s="45">
        <v>11350.313602510008</v>
      </c>
      <c r="G228" s="45">
        <v>9955.1025324699913</v>
      </c>
      <c r="H228" s="45">
        <v>10777.601022569994</v>
      </c>
      <c r="I228" s="45">
        <f t="shared" si="45"/>
        <v>572.71257994001462</v>
      </c>
      <c r="J228" s="220">
        <f t="shared" si="46"/>
        <v>5.881267045052653E-2</v>
      </c>
      <c r="K228" s="220">
        <f t="shared" si="47"/>
        <v>8.2620795458138774E-2</v>
      </c>
      <c r="L228" s="218"/>
      <c r="M228" s="225"/>
      <c r="N228" s="224"/>
      <c r="Z228" s="54"/>
      <c r="AA228" s="54"/>
      <c r="AB228" s="54"/>
    </row>
    <row r="229" spans="3:28" s="36" customFormat="1" ht="15.75" customHeight="1">
      <c r="D229" s="40" t="str">
        <f>IF(Indice_index!$Z$1=1,"junho","June")</f>
        <v>June</v>
      </c>
      <c r="E229" s="40">
        <v>12940.357874150008</v>
      </c>
      <c r="F229" s="40">
        <v>13557.257321819998</v>
      </c>
      <c r="G229" s="40">
        <v>12258.991663490004</v>
      </c>
      <c r="H229" s="40">
        <v>13376.712102799987</v>
      </c>
      <c r="I229" s="40">
        <f t="shared" si="45"/>
        <v>180.54521902001034</v>
      </c>
      <c r="J229" s="241">
        <f t="shared" si="46"/>
        <v>4.7672518308193329E-2</v>
      </c>
      <c r="K229" s="241">
        <f t="shared" si="47"/>
        <v>9.1175560763190916E-2</v>
      </c>
      <c r="L229"/>
      <c r="M229" s="225"/>
      <c r="N229" s="224"/>
      <c r="O229"/>
      <c r="Z229" s="54"/>
      <c r="AA229" s="54"/>
      <c r="AB229" s="54"/>
    </row>
    <row r="230" spans="3:28" s="36" customFormat="1" ht="15.75" customHeight="1">
      <c r="D230" s="45" t="str">
        <f>IF(Indice_index!$Z$1=1,"julho","July")</f>
        <v>July</v>
      </c>
      <c r="E230" s="45">
        <v>15772.95976252</v>
      </c>
      <c r="F230" s="45">
        <v>16557.341779959996</v>
      </c>
      <c r="G230" s="45">
        <v>15146.960717129994</v>
      </c>
      <c r="H230" s="45">
        <v>16298.900097339982</v>
      </c>
      <c r="I230" s="45">
        <f t="shared" si="45"/>
        <v>258.44168262001403</v>
      </c>
      <c r="J230" s="221">
        <f t="shared" si="46"/>
        <v>4.9729538986326358E-2</v>
      </c>
      <c r="K230" s="221">
        <f t="shared" si="47"/>
        <v>7.6050859424705367E-2</v>
      </c>
      <c r="L230"/>
      <c r="M230" s="225"/>
      <c r="N230" s="224"/>
      <c r="Z230" s="54"/>
      <c r="AA230" s="54"/>
      <c r="AB230" s="54"/>
    </row>
    <row r="231" spans="3:28" s="36" customFormat="1" ht="15.75" customHeight="1">
      <c r="D231" s="45" t="str">
        <f>IF(Indice_index!$Z$1=1,"agosto","August")</f>
        <v>August</v>
      </c>
      <c r="E231" s="45">
        <v>17798.926759850001</v>
      </c>
      <c r="F231" s="45">
        <v>18746.142945059997</v>
      </c>
      <c r="G231" s="45">
        <v>17301.642355459982</v>
      </c>
      <c r="H231" s="45">
        <v>18709.243379419975</v>
      </c>
      <c r="I231" s="45">
        <f t="shared" si="45"/>
        <v>36.899565640022047</v>
      </c>
      <c r="J231" s="221">
        <f t="shared" si="46"/>
        <v>5.3217601150350416E-2</v>
      </c>
      <c r="K231" s="221">
        <f t="shared" si="47"/>
        <v>8.1356497553296589E-2</v>
      </c>
      <c r="L231"/>
      <c r="M231" s="225"/>
      <c r="N231" s="224"/>
      <c r="Z231" s="54"/>
      <c r="AA231" s="54"/>
      <c r="AB231" s="54"/>
    </row>
    <row r="232" spans="3:28" s="36" customFormat="1" ht="15.75" customHeight="1">
      <c r="C232" s="45"/>
      <c r="D232" s="45" t="str">
        <f>IF(Indice_index!$Z$1=1,"setembro","September")</f>
        <v>September</v>
      </c>
      <c r="E232" s="45">
        <v>20031.146669600002</v>
      </c>
      <c r="F232" s="45">
        <v>20811.491559900001</v>
      </c>
      <c r="G232" s="45">
        <v>19400.773976689983</v>
      </c>
      <c r="H232" s="45">
        <v>20986.444887009944</v>
      </c>
      <c r="I232" s="45">
        <f t="shared" si="45"/>
        <v>-174.95332710994262</v>
      </c>
      <c r="J232" s="221">
        <f t="shared" si="46"/>
        <v>3.8956576134719173E-2</v>
      </c>
      <c r="K232" s="221">
        <f t="shared" si="47"/>
        <v>8.173235316411312E-2</v>
      </c>
      <c r="L232"/>
      <c r="M232" s="225"/>
      <c r="N232" s="224"/>
      <c r="Z232" s="54"/>
      <c r="AA232" s="54"/>
      <c r="AB232" s="54"/>
    </row>
    <row r="233" spans="3:28" s="36" customFormat="1" ht="15.75" customHeight="1">
      <c r="C233" s="45"/>
      <c r="D233" s="45" t="str">
        <f>IF(Indice_index!$Z$1=1,"outubro","October")</f>
        <v>October</v>
      </c>
      <c r="E233" s="45">
        <v>22355.379275499999</v>
      </c>
      <c r="F233" s="45">
        <v>23315.031567680013</v>
      </c>
      <c r="G233" s="45">
        <v>21808.486535130007</v>
      </c>
      <c r="H233" s="45">
        <v>23372.171927009971</v>
      </c>
      <c r="I233" s="45">
        <f>IF(F233="","",+F233-H233)</f>
        <v>-57.140359329958301</v>
      </c>
      <c r="J233" s="221">
        <f t="shared" si="46"/>
        <v>4.2927130886646507E-2</v>
      </c>
      <c r="K233" s="221">
        <f t="shared" si="47"/>
        <v>7.1700775262928743E-2</v>
      </c>
      <c r="L233"/>
      <c r="M233" s="225"/>
      <c r="N233" s="224"/>
      <c r="Z233" s="54"/>
      <c r="AA233" s="54"/>
      <c r="AB233" s="54"/>
    </row>
    <row r="234" spans="3:28" s="36" customFormat="1" ht="15.75" customHeight="1">
      <c r="C234" s="45"/>
      <c r="D234" s="45" t="str">
        <f>IF(Indice_index!$Z$1=1,"novembro","November")</f>
        <v>November</v>
      </c>
      <c r="E234" s="45">
        <v>24512.346485310001</v>
      </c>
      <c r="F234" s="45">
        <v>25661.342836029999</v>
      </c>
      <c r="G234" s="45">
        <v>23952.731054820029</v>
      </c>
      <c r="H234" s="45">
        <v>25620.474576979988</v>
      </c>
      <c r="I234" s="45">
        <f>IF(F234="","",+F234-H234)</f>
        <v>40.868259050010238</v>
      </c>
      <c r="J234" s="221">
        <f>IF(F234="","",IF(E234=0,"-",(F234-E234)/E234))</f>
        <v>4.687418854039857E-2</v>
      </c>
      <c r="K234" s="221">
        <f>IF(H234="","",IF(G234=0,"-",(H234-G234)/G234))</f>
        <v>6.9626445449708224E-2</v>
      </c>
      <c r="L234" s="236"/>
      <c r="M234" s="225"/>
      <c r="N234" s="224"/>
      <c r="Z234" s="54"/>
      <c r="AA234" s="54"/>
      <c r="AB234" s="54"/>
    </row>
    <row r="235" spans="3:28" s="36" customFormat="1" ht="15.75" customHeight="1">
      <c r="C235" s="45"/>
      <c r="D235" s="45" t="str">
        <f>IF(Indice_index!$Z$1=1,"dezembro","December")</f>
        <v>December</v>
      </c>
      <c r="E235" s="45">
        <v>27258.648419870005</v>
      </c>
      <c r="F235" s="45">
        <v>28206.006686859997</v>
      </c>
      <c r="G235" s="45">
        <v>27684.297948090018</v>
      </c>
      <c r="H235" s="45">
        <v>28936.163535070074</v>
      </c>
      <c r="I235" s="45">
        <f>IF(F235="","",+F235-H235)</f>
        <v>-730.15684821007744</v>
      </c>
      <c r="J235" s="221">
        <f>IF(F235="","",IF(E235=0,"-",(F235-E235)/E235))</f>
        <v>3.4754410871649134E-2</v>
      </c>
      <c r="K235" s="221">
        <f>IF(H235="","",IF(G235=0,"-",(H235-G235)/G235))</f>
        <v>4.5219336583047609E-2</v>
      </c>
      <c r="L235" s="236"/>
      <c r="M235" s="225"/>
      <c r="N235" s="224"/>
      <c r="Z235" s="54"/>
      <c r="AA235" s="54"/>
      <c r="AB235" s="54"/>
    </row>
    <row r="236" spans="3:28" s="44" customFormat="1" ht="15.75" customHeight="1">
      <c r="C236" s="32"/>
      <c r="J236" s="46"/>
      <c r="K236" s="46"/>
      <c r="L236" s="45"/>
      <c r="M236" s="45"/>
      <c r="N236" s="45"/>
      <c r="O236" s="45"/>
      <c r="Z236" s="53"/>
      <c r="AA236" s="53"/>
      <c r="AB236" s="53"/>
    </row>
    <row r="237" spans="3:28" s="36" customFormat="1" ht="15.75" customHeight="1">
      <c r="C237" s="32" t="s">
        <v>117</v>
      </c>
      <c r="D237" s="36" t="str">
        <f>IF(Indice_index!$Z$1=1,"janeiro","January")</f>
        <v>January</v>
      </c>
      <c r="E237" s="45">
        <v>2348.6435440399996</v>
      </c>
      <c r="F237" s="45">
        <v>2433.6475615669547</v>
      </c>
      <c r="G237" s="45">
        <v>1748.9193554900003</v>
      </c>
      <c r="H237" s="45">
        <v>1817.3066319769541</v>
      </c>
      <c r="I237" s="45">
        <f t="shared" ref="I237:I245" si="48">IF(F237="","",+F237-H237)</f>
        <v>616.34092959000054</v>
      </c>
      <c r="J237" s="220">
        <f t="shared" ref="J237:J246" si="49">IF(F237="","",IF(E237=0,"-",(F237-E237)/E237))</f>
        <v>3.6192813397615937E-2</v>
      </c>
      <c r="K237" s="220">
        <f t="shared" ref="K237:K246" si="50">IF(H237="","",IF(G237=0,"-",(H237-G237)/G237))</f>
        <v>3.9102589992088897E-2</v>
      </c>
      <c r="L237" s="45"/>
      <c r="M237" s="45"/>
      <c r="N237" s="45"/>
      <c r="O237" s="45"/>
      <c r="Z237" s="54"/>
      <c r="AA237" s="54"/>
      <c r="AB237" s="54"/>
    </row>
    <row r="238" spans="3:28" s="36" customFormat="1" ht="15.75" customHeight="1">
      <c r="C238" s="32"/>
      <c r="D238" s="36" t="str">
        <f>IF(Indice_index!$Z$1=1,"fevereiro","February")</f>
        <v>February</v>
      </c>
      <c r="E238" s="45">
        <v>4448.700274419999</v>
      </c>
      <c r="F238" s="45">
        <v>4606.8761688058303</v>
      </c>
      <c r="G238" s="45">
        <v>4136.8437490200013</v>
      </c>
      <c r="H238" s="45">
        <v>4091.1302261958263</v>
      </c>
      <c r="I238" s="45">
        <f t="shared" si="48"/>
        <v>515.74594261000402</v>
      </c>
      <c r="J238" s="220">
        <f t="shared" si="49"/>
        <v>3.5555529621840734E-2</v>
      </c>
      <c r="K238" s="220">
        <f t="shared" si="50"/>
        <v>-1.1050338276615919E-2</v>
      </c>
      <c r="L238" s="45"/>
      <c r="M238" s="45"/>
      <c r="N238" s="45"/>
      <c r="O238" s="45"/>
      <c r="Z238" s="54"/>
      <c r="AA238" s="54"/>
      <c r="AB238" s="54"/>
    </row>
    <row r="239" spans="3:28" s="36" customFormat="1" ht="15.75" customHeight="1">
      <c r="D239" s="36" t="str">
        <f>IF(Indice_index!$Z$1=1,"março","March")</f>
        <v>March</v>
      </c>
      <c r="E239" s="45">
        <v>6801.2040689699979</v>
      </c>
      <c r="F239" s="45">
        <v>6652.0624088437407</v>
      </c>
      <c r="G239" s="45">
        <v>6368.4468751499935</v>
      </c>
      <c r="H239" s="45">
        <v>6357.8683498637465</v>
      </c>
      <c r="I239" s="45">
        <f t="shared" si="48"/>
        <v>294.19405897999422</v>
      </c>
      <c r="J239" s="220">
        <f t="shared" si="49"/>
        <v>-2.192871418264087E-2</v>
      </c>
      <c r="K239" s="220">
        <f t="shared" si="50"/>
        <v>-1.6610840121042596E-3</v>
      </c>
      <c r="L239" s="45"/>
      <c r="M239" s="45"/>
      <c r="N239" s="45"/>
      <c r="O239" s="45"/>
      <c r="Z239" s="54"/>
      <c r="AA239" s="54"/>
      <c r="AB239" s="54"/>
    </row>
    <row r="240" spans="3:28" s="36" customFormat="1" ht="15.75" customHeight="1">
      <c r="D240" s="36" t="str">
        <f>IF(Indice_index!$Z$1=1,"abril","April")</f>
        <v>April</v>
      </c>
      <c r="E240" s="45">
        <v>9153.5177952541726</v>
      </c>
      <c r="F240" s="45">
        <v>8872.1828423537445</v>
      </c>
      <c r="G240" s="45">
        <v>8477.3315177341738</v>
      </c>
      <c r="H240" s="45">
        <v>8629.4999076837394</v>
      </c>
      <c r="I240" s="45">
        <f t="shared" si="48"/>
        <v>242.68293467000512</v>
      </c>
      <c r="J240" s="220">
        <f t="shared" si="49"/>
        <v>-3.0735172989590071E-2</v>
      </c>
      <c r="K240" s="220">
        <f t="shared" si="50"/>
        <v>1.795003411524447E-2</v>
      </c>
      <c r="L240" s="45"/>
      <c r="M240" s="45"/>
      <c r="N240" s="45"/>
      <c r="O240" s="45"/>
      <c r="Z240" s="54"/>
      <c r="AA240" s="54"/>
      <c r="AB240" s="54"/>
    </row>
    <row r="241" spans="2:28" s="36" customFormat="1" ht="15.75" customHeight="1">
      <c r="D241" s="36" t="str">
        <f>IF(Indice_index!$Z$1=1,"maio","May")</f>
        <v>May</v>
      </c>
      <c r="E241" s="45">
        <v>11346.965812459999</v>
      </c>
      <c r="F241" s="45">
        <v>11118.773103463736</v>
      </c>
      <c r="G241" s="45">
        <v>10771.619072479996</v>
      </c>
      <c r="H241" s="45">
        <v>10731.208324323723</v>
      </c>
      <c r="I241" s="45">
        <f t="shared" si="48"/>
        <v>387.56477914001334</v>
      </c>
      <c r="J241" s="220">
        <f t="shared" si="49"/>
        <v>-2.0110460608393346E-2</v>
      </c>
      <c r="K241" s="220">
        <f t="shared" si="50"/>
        <v>-3.7515946195606892E-3</v>
      </c>
      <c r="L241" s="218"/>
      <c r="M241" s="225"/>
      <c r="N241" s="224"/>
      <c r="Z241" s="54"/>
      <c r="AA241" s="54"/>
      <c r="AB241" s="54"/>
    </row>
    <row r="242" spans="2:28" s="36" customFormat="1" ht="15.75" customHeight="1">
      <c r="D242" s="40" t="str">
        <f>IF(Indice_index!$Z$1=1,"junho","June")</f>
        <v>June</v>
      </c>
      <c r="E242" s="40">
        <v>13546.413969289999</v>
      </c>
      <c r="F242" s="40">
        <v>13591.260229069996</v>
      </c>
      <c r="G242" s="40">
        <v>13370.249798189989</v>
      </c>
      <c r="H242" s="40">
        <v>13304.387202029997</v>
      </c>
      <c r="I242" s="40">
        <f t="shared" si="48"/>
        <v>286.87302703999922</v>
      </c>
      <c r="J242" s="241">
        <f t="shared" si="49"/>
        <v>3.3105632148600012E-3</v>
      </c>
      <c r="K242" s="241">
        <f t="shared" si="50"/>
        <v>-4.9260557696467347E-3</v>
      </c>
      <c r="L242"/>
      <c r="M242" s="225"/>
      <c r="N242" s="224"/>
      <c r="O242"/>
      <c r="Z242" s="54"/>
      <c r="AA242" s="54"/>
      <c r="AB242" s="54"/>
    </row>
    <row r="243" spans="2:28" s="36" customFormat="1" ht="15.75" customHeight="1">
      <c r="D243" s="45" t="str">
        <f>IF(Indice_index!$Z$1=1,"julho","July")</f>
        <v>July</v>
      </c>
      <c r="E243" s="45">
        <v>16352.958408279996</v>
      </c>
      <c r="F243" s="45">
        <v>16625.369368829994</v>
      </c>
      <c r="G243" s="45">
        <v>16267.642698739981</v>
      </c>
      <c r="H243" s="45">
        <v>16486.038551829984</v>
      </c>
      <c r="I243" s="45">
        <f t="shared" si="48"/>
        <v>139.33081700000912</v>
      </c>
      <c r="J243" s="221">
        <f t="shared" si="49"/>
        <v>1.665820665281385E-2</v>
      </c>
      <c r="K243" s="221">
        <f t="shared" si="50"/>
        <v>1.3425169038592148E-2</v>
      </c>
      <c r="L243"/>
      <c r="M243" s="225"/>
      <c r="N243" s="224"/>
      <c r="Z243" s="54"/>
      <c r="AA243" s="54"/>
      <c r="AB243" s="54"/>
    </row>
    <row r="244" spans="2:28" s="36" customFormat="1" ht="15.75" customHeight="1">
      <c r="D244" s="45" t="str">
        <f>IF(Indice_index!$Z$1=1,"agosto","August")</f>
        <v>August</v>
      </c>
      <c r="E244" s="45">
        <v>18513.823444630001</v>
      </c>
      <c r="F244" s="45">
        <v>18872.990976503712</v>
      </c>
      <c r="G244" s="45">
        <v>18617.928910669973</v>
      </c>
      <c r="H244" s="45">
        <v>18661.141211103706</v>
      </c>
      <c r="I244" s="45">
        <f t="shared" si="48"/>
        <v>211.84976540000571</v>
      </c>
      <c r="J244" s="221">
        <f t="shared" si="49"/>
        <v>1.9399965271781203E-2</v>
      </c>
      <c r="K244" s="221">
        <f t="shared" si="50"/>
        <v>2.3210046961221645E-3</v>
      </c>
      <c r="L244"/>
      <c r="M244" s="225"/>
      <c r="N244" s="224"/>
      <c r="Z244" s="54"/>
      <c r="AA244" s="54"/>
      <c r="AB244" s="54"/>
    </row>
    <row r="245" spans="2:28" s="36" customFormat="1" ht="15.75" customHeight="1">
      <c r="C245" s="45"/>
      <c r="D245" s="45" t="str">
        <f>IF(Indice_index!$Z$1=1,"setembro","September")</f>
        <v>September</v>
      </c>
      <c r="E245" s="45">
        <v>20758.50575299</v>
      </c>
      <c r="F245" s="45">
        <v>21515.683454450413</v>
      </c>
      <c r="G245" s="45">
        <v>20926.970331829951</v>
      </c>
      <c r="H245" s="45">
        <v>21343.237702890387</v>
      </c>
      <c r="I245" s="45">
        <f t="shared" si="48"/>
        <v>172.44575156002611</v>
      </c>
      <c r="J245" s="221">
        <f t="shared" si="49"/>
        <v>3.6475539736348817E-2</v>
      </c>
      <c r="K245" s="221">
        <f t="shared" si="50"/>
        <v>1.9891430267251469E-2</v>
      </c>
      <c r="L245"/>
      <c r="M245" s="225"/>
      <c r="N245" s="224"/>
      <c r="Z245" s="54"/>
      <c r="AA245" s="54"/>
      <c r="AB245" s="54"/>
    </row>
    <row r="246" spans="2:28" s="36" customFormat="1" ht="15.75" customHeight="1">
      <c r="C246" s="45"/>
      <c r="D246" s="45" t="str">
        <f>IF(Indice_index!$Z$1=1,"outubro","October")</f>
        <v>October</v>
      </c>
      <c r="E246" s="45">
        <v>23234.968287600004</v>
      </c>
      <c r="F246" s="45">
        <v>23657.628498480008</v>
      </c>
      <c r="G246" s="45">
        <v>23287.550103539957</v>
      </c>
      <c r="H246" s="45">
        <v>23326.614758780004</v>
      </c>
      <c r="I246" s="45">
        <f>IF(F246="","",+F246-H246)</f>
        <v>331.0137397000035</v>
      </c>
      <c r="J246" s="221">
        <f t="shared" si="49"/>
        <v>1.8190694544892836E-2</v>
      </c>
      <c r="K246" s="221">
        <f t="shared" si="50"/>
        <v>1.677490979787885E-3</v>
      </c>
      <c r="L246"/>
      <c r="M246" s="225"/>
      <c r="N246" s="224"/>
      <c r="Z246" s="54"/>
      <c r="AA246" s="54"/>
      <c r="AB246" s="54"/>
    </row>
    <row r="247" spans="2:28" s="36" customFormat="1" ht="15.75" customHeight="1">
      <c r="C247" s="45"/>
      <c r="D247" s="45" t="str">
        <f>IF(Indice_index!$Z$1=1,"novembro","November")</f>
        <v>November</v>
      </c>
      <c r="E247" s="45">
        <v>25555.99641906999</v>
      </c>
      <c r="F247" s="45">
        <v>25873.037902100015</v>
      </c>
      <c r="G247" s="45">
        <v>25476.529654319995</v>
      </c>
      <c r="H247" s="45">
        <v>25610.60133017007</v>
      </c>
      <c r="I247" s="45">
        <f>IF(F247="","",+F247-H247)</f>
        <v>262.43657192994579</v>
      </c>
      <c r="J247" s="221">
        <f>IF(F247="","",IF(E247=0,"-",(F247-E247)/E247))</f>
        <v>1.240575706112744E-2</v>
      </c>
      <c r="K247" s="221">
        <f>IF(H247="","",IF(G247=0,"-",(H247-G247)/G247))</f>
        <v>5.2625564654698023E-3</v>
      </c>
      <c r="L247" s="236"/>
      <c r="M247" s="225"/>
      <c r="N247" s="224"/>
      <c r="Z247" s="54"/>
      <c r="AA247" s="54"/>
      <c r="AB247" s="54"/>
    </row>
    <row r="248" spans="2:28" s="36" customFormat="1" ht="15.75" customHeight="1">
      <c r="C248" s="45"/>
      <c r="D248" s="45" t="str">
        <f>IF(Indice_index!$Z$1=1,"dezembro","December")</f>
        <v>December</v>
      </c>
      <c r="E248" s="45">
        <v>28206.006686860001</v>
      </c>
      <c r="F248" s="45">
        <v>29093.230373079994</v>
      </c>
      <c r="G248" s="45">
        <v>28936.163535070002</v>
      </c>
      <c r="H248" s="45">
        <v>29340.243649489996</v>
      </c>
      <c r="I248" s="45">
        <f>IF(F248="","",+F248-H248)</f>
        <v>-247.01327641000171</v>
      </c>
      <c r="J248" s="221">
        <f>IF(F248="","",IF(E248=0,"-",(F248-E248)/E248))</f>
        <v>3.1455132804506986E-2</v>
      </c>
      <c r="K248" s="221">
        <f>IF(H248="","",IF(G248=0,"-",(H248-G248)/G248))</f>
        <v>1.3964536588627506E-2</v>
      </c>
      <c r="L248" s="236"/>
      <c r="M248" s="225"/>
      <c r="N248" s="224"/>
      <c r="Z248" s="54"/>
      <c r="AA248" s="54"/>
      <c r="AB248" s="54"/>
    </row>
    <row r="249" spans="2:28" ht="15.75" customHeight="1">
      <c r="B249" s="36"/>
      <c r="C249" s="36"/>
      <c r="D249" s="45"/>
      <c r="E249" s="45"/>
      <c r="F249" s="45"/>
      <c r="G249" s="45"/>
      <c r="H249" s="45"/>
      <c r="I249" s="45"/>
      <c r="J249" s="67"/>
      <c r="K249" s="67"/>
      <c r="M249" s="42"/>
      <c r="O249" s="272"/>
      <c r="P249" s="272"/>
      <c r="Q249" s="272"/>
    </row>
    <row r="250" spans="2:28" s="47" customFormat="1" ht="15.75" customHeight="1">
      <c r="C250" s="32" t="s">
        <v>136</v>
      </c>
      <c r="D250" s="85" t="str">
        <f>IF(Indice_index!$Z$1=1,"janeiro","January")</f>
        <v>January</v>
      </c>
      <c r="E250" s="85">
        <v>2376.2061110999998</v>
      </c>
      <c r="F250" s="85">
        <v>2200.4571444300013</v>
      </c>
      <c r="G250" s="85">
        <v>1775.3038172100009</v>
      </c>
      <c r="H250" s="85">
        <v>1767.2756609899986</v>
      </c>
      <c r="I250" s="85">
        <f t="shared" ref="I250:I261" si="51">IF(F250="","",+F250-H250)</f>
        <v>433.18148344000269</v>
      </c>
      <c r="J250" s="219">
        <f t="shared" ref="J250:J261" si="52">IF(F250="","",IF(E250=0,"-",(F250-E250)/E250))</f>
        <v>-7.3962004326569256E-2</v>
      </c>
      <c r="K250" s="219">
        <f t="shared" ref="K250:K261" si="53">IF(H250="","",IF(G250=0,"-",(H250-G250)/G250))</f>
        <v>-4.5221308838388251E-3</v>
      </c>
      <c r="L250"/>
      <c r="M250" s="218"/>
      <c r="O250" s="273"/>
      <c r="P250" s="273"/>
      <c r="Q250" s="272"/>
      <c r="Z250" s="14"/>
      <c r="AA250" s="14"/>
      <c r="AB250" s="14"/>
    </row>
    <row r="251" spans="2:28" s="47" customFormat="1" ht="15.75" customHeight="1">
      <c r="C251" s="85"/>
      <c r="D251" s="85" t="str">
        <f>IF(Indice_index!$Z$1=1,"fevereiro","February")</f>
        <v>February</v>
      </c>
      <c r="E251" s="85">
        <v>4498.0862588800037</v>
      </c>
      <c r="F251" s="85">
        <v>4440.7061148699995</v>
      </c>
      <c r="G251" s="85">
        <v>4016.2991448700018</v>
      </c>
      <c r="H251" s="85">
        <v>4216.4756711499986</v>
      </c>
      <c r="I251" s="85">
        <f t="shared" si="51"/>
        <v>224.23044372000095</v>
      </c>
      <c r="J251" s="219">
        <f t="shared" si="52"/>
        <v>-1.275656817312603E-2</v>
      </c>
      <c r="K251" s="219">
        <f t="shared" si="53"/>
        <v>4.984103998719349E-2</v>
      </c>
      <c r="L251"/>
      <c r="M251" s="218"/>
      <c r="O251" s="273"/>
      <c r="P251" s="274"/>
      <c r="Q251" s="273"/>
      <c r="Z251" s="14"/>
      <c r="AA251" s="14"/>
      <c r="AB251" s="14"/>
    </row>
    <row r="252" spans="2:28" s="47" customFormat="1" ht="15.75" customHeight="1">
      <c r="C252" s="85"/>
      <c r="D252" s="85" t="str">
        <f>IF(Indice_index!$Z$1=1,"março","March")</f>
        <v>March</v>
      </c>
      <c r="E252" s="85">
        <v>6613.1954351299973</v>
      </c>
      <c r="F252" s="85">
        <v>6859.9414540199987</v>
      </c>
      <c r="G252" s="85">
        <v>6309.1478920700092</v>
      </c>
      <c r="H252" s="85">
        <v>6540.1051845800012</v>
      </c>
      <c r="I252" s="85">
        <f t="shared" si="51"/>
        <v>319.83626943999752</v>
      </c>
      <c r="J252" s="219">
        <f t="shared" si="52"/>
        <v>3.7311163916200062E-2</v>
      </c>
      <c r="K252" s="219">
        <f t="shared" si="53"/>
        <v>3.6606733026544359E-2</v>
      </c>
      <c r="L252"/>
      <c r="M252" s="218"/>
      <c r="O252" s="273"/>
      <c r="P252" s="273"/>
      <c r="Q252" s="273"/>
      <c r="Z252" s="14"/>
      <c r="AA252" s="14"/>
      <c r="AB252" s="14"/>
    </row>
    <row r="253" spans="2:28" s="47" customFormat="1" ht="15.75" customHeight="1">
      <c r="C253" s="85"/>
      <c r="D253" s="85" t="str">
        <f>IF(Indice_index!$Z$1=1,"abril","April")</f>
        <v>April</v>
      </c>
      <c r="E253" s="85">
        <v>8726.1997205499974</v>
      </c>
      <c r="F253" s="85">
        <v>8931.1874078299988</v>
      </c>
      <c r="G253" s="85">
        <v>8481.1038953499992</v>
      </c>
      <c r="H253" s="85">
        <v>8775.8390953199942</v>
      </c>
      <c r="I253" s="85">
        <f t="shared" si="51"/>
        <v>155.34831251000469</v>
      </c>
      <c r="J253" s="219">
        <f t="shared" si="52"/>
        <v>2.349106069590181E-2</v>
      </c>
      <c r="K253" s="219">
        <f t="shared" si="53"/>
        <v>3.4751985544192156E-2</v>
      </c>
      <c r="L253"/>
      <c r="M253" s="218"/>
      <c r="N253"/>
      <c r="O253"/>
      <c r="P253"/>
      <c r="Q253"/>
      <c r="Z253" s="14"/>
      <c r="AA253" s="14"/>
      <c r="AB253" s="14"/>
    </row>
    <row r="254" spans="2:28" s="47" customFormat="1" ht="15.75" customHeight="1">
      <c r="C254" s="85"/>
      <c r="D254" s="85" t="str">
        <f>IF(Indice_index!$Z$1=1,"maio","May")</f>
        <v>May</v>
      </c>
      <c r="E254" s="85">
        <v>10972.435426330007</v>
      </c>
      <c r="F254" s="85">
        <v>11478.890038959731</v>
      </c>
      <c r="G254" s="85">
        <v>10559.988151960006</v>
      </c>
      <c r="H254" s="85">
        <v>11210.028811909726</v>
      </c>
      <c r="I254" s="85">
        <f t="shared" si="51"/>
        <v>268.86122705000525</v>
      </c>
      <c r="J254" s="219">
        <f t="shared" si="52"/>
        <v>4.6156991857469555E-2</v>
      </c>
      <c r="K254" s="219">
        <f t="shared" si="53"/>
        <v>6.155694974232221E-2</v>
      </c>
      <c r="M254"/>
      <c r="N254"/>
      <c r="O254"/>
      <c r="P254"/>
      <c r="Q254"/>
      <c r="Z254" s="14"/>
      <c r="AA254" s="14"/>
      <c r="AB254" s="14"/>
    </row>
    <row r="255" spans="2:28" s="47" customFormat="1" ht="15.75" customHeight="1">
      <c r="C255" s="85"/>
      <c r="D255" s="40" t="str">
        <f>IF(Indice_index!$Z$1=1,"junho","June")</f>
        <v>June</v>
      </c>
      <c r="E255" s="40">
        <v>13579.346175430001</v>
      </c>
      <c r="F255" s="40">
        <v>13986.653908859998</v>
      </c>
      <c r="G255" s="40">
        <v>13259.222611510006</v>
      </c>
      <c r="H255" s="40">
        <v>13977.661247519995</v>
      </c>
      <c r="I255" s="40">
        <f t="shared" si="51"/>
        <v>8.9926613400039059</v>
      </c>
      <c r="J255" s="241">
        <f t="shared" si="52"/>
        <v>2.9994649828352291E-2</v>
      </c>
      <c r="K255" s="241">
        <f t="shared" si="53"/>
        <v>5.4184069236934744E-2</v>
      </c>
      <c r="L255"/>
      <c r="M255"/>
      <c r="N255"/>
      <c r="O255"/>
      <c r="P255"/>
      <c r="Q255"/>
      <c r="Z255" s="14"/>
      <c r="AA255" s="14"/>
      <c r="AB255" s="14"/>
    </row>
    <row r="256" spans="2:28" s="47" customFormat="1" ht="15.75" customHeight="1">
      <c r="C256" s="85"/>
      <c r="D256" s="45" t="str">
        <f>IF(Indice_index!$Z$1=1,"julho","July")</f>
        <v>July</v>
      </c>
      <c r="E256" s="45">
        <v>16610.580416280001</v>
      </c>
      <c r="F256" s="45">
        <v>16925.57347712</v>
      </c>
      <c r="G256" s="45">
        <v>16435.22594715</v>
      </c>
      <c r="H256" s="45">
        <v>16887.199350950003</v>
      </c>
      <c r="I256" s="45">
        <f t="shared" si="51"/>
        <v>38.374126169997908</v>
      </c>
      <c r="J256" s="221">
        <f t="shared" si="52"/>
        <v>1.8963398806418282E-2</v>
      </c>
      <c r="K256" s="221">
        <f t="shared" si="53"/>
        <v>2.7500285378089264E-2</v>
      </c>
      <c r="L256"/>
      <c r="M256"/>
      <c r="N256"/>
      <c r="O256"/>
      <c r="P256"/>
      <c r="Q256"/>
      <c r="Z256" s="14"/>
      <c r="AA256" s="14"/>
      <c r="AB256" s="14"/>
    </row>
    <row r="257" spans="2:28" s="47" customFormat="1" ht="15.75" customHeight="1">
      <c r="C257" s="85"/>
      <c r="D257" s="45" t="str">
        <f>IF(Indice_index!$Z$1=1,"agosto","August")</f>
        <v>August</v>
      </c>
      <c r="E257" s="45">
        <v>18856.430495209996</v>
      </c>
      <c r="F257" s="45">
        <v>19386.165407490007</v>
      </c>
      <c r="G257" s="45">
        <v>18602.711021099967</v>
      </c>
      <c r="H257" s="45">
        <v>19151.700080099996</v>
      </c>
      <c r="I257" s="45">
        <f t="shared" si="51"/>
        <v>234.46532739001123</v>
      </c>
      <c r="J257" s="221">
        <f t="shared" si="52"/>
        <v>2.8093064189141068E-2</v>
      </c>
      <c r="K257" s="221">
        <f t="shared" si="53"/>
        <v>2.9511239430497119E-2</v>
      </c>
      <c r="L257"/>
      <c r="M257"/>
      <c r="N257"/>
      <c r="O257"/>
      <c r="P257"/>
      <c r="Q257"/>
      <c r="Z257" s="14"/>
      <c r="AA257" s="14"/>
      <c r="AB257" s="14"/>
    </row>
    <row r="258" spans="2:28" s="47" customFormat="1" ht="15.75" customHeight="1">
      <c r="C258" s="45"/>
      <c r="D258" s="45" t="str">
        <f>IF(Indice_index!$Z$1=1,"setembro","September")</f>
        <v>September</v>
      </c>
      <c r="E258" s="45">
        <v>21285.428572939993</v>
      </c>
      <c r="F258" s="45">
        <v>21648.547142859999</v>
      </c>
      <c r="G258" s="45">
        <v>21075.605055190001</v>
      </c>
      <c r="H258" s="45">
        <v>21348.898449800032</v>
      </c>
      <c r="I258" s="45">
        <f t="shared" si="51"/>
        <v>299.64869305996763</v>
      </c>
      <c r="J258" s="221">
        <f t="shared" si="52"/>
        <v>1.7059490659334754E-2</v>
      </c>
      <c r="K258" s="221">
        <f t="shared" si="53"/>
        <v>1.296728582142086E-2</v>
      </c>
      <c r="L258"/>
      <c r="M258"/>
      <c r="N258"/>
      <c r="O258"/>
      <c r="P258"/>
      <c r="Q258"/>
      <c r="Z258" s="14"/>
      <c r="AA258" s="14"/>
      <c r="AB258" s="14"/>
    </row>
    <row r="259" spans="2:28" ht="15.75" customHeight="1">
      <c r="C259" s="45"/>
      <c r="D259" s="45" t="str">
        <f>IF(Indice_index!$Z$1=1,"outubro","October")</f>
        <v>October</v>
      </c>
      <c r="E259" s="45">
        <v>23636.568339479993</v>
      </c>
      <c r="F259" s="45">
        <v>24184.437709419999</v>
      </c>
      <c r="G259" s="45">
        <v>23399.203054779991</v>
      </c>
      <c r="H259" s="45">
        <v>23831.520656770019</v>
      </c>
      <c r="I259" s="45">
        <f t="shared" si="51"/>
        <v>352.91705264998018</v>
      </c>
      <c r="J259" s="221">
        <f t="shared" si="52"/>
        <v>2.3178887987090075E-2</v>
      </c>
      <c r="K259" s="221">
        <f t="shared" si="53"/>
        <v>1.8475740433463762E-2</v>
      </c>
      <c r="L259" s="381"/>
      <c r="M259" s="381"/>
      <c r="N259" s="381"/>
      <c r="O259" s="381"/>
      <c r="P259"/>
      <c r="Q259"/>
    </row>
    <row r="260" spans="2:28" s="36" customFormat="1" ht="15.75" customHeight="1">
      <c r="C260" s="45"/>
      <c r="D260" s="45" t="str">
        <f>IF(Indice_index!$Z$1=1,"novembro","November")</f>
        <v>November</v>
      </c>
      <c r="E260" s="45">
        <v>25847.371110560009</v>
      </c>
      <c r="F260" s="45">
        <v>26846.550483359988</v>
      </c>
      <c r="G260" s="45">
        <v>25674.04105854005</v>
      </c>
      <c r="H260" s="45">
        <v>26525.683447509993</v>
      </c>
      <c r="I260" s="45">
        <f t="shared" si="51"/>
        <v>320.86703584999486</v>
      </c>
      <c r="J260" s="221">
        <f t="shared" si="52"/>
        <v>3.8656905126872344E-2</v>
      </c>
      <c r="K260" s="221">
        <f t="shared" si="53"/>
        <v>3.3171341707684099E-2</v>
      </c>
      <c r="L260" s="236"/>
      <c r="M260" s="236"/>
      <c r="N260" s="236"/>
      <c r="O260" s="236"/>
      <c r="P260" s="236"/>
      <c r="Q260" s="236"/>
      <c r="Z260" s="54"/>
      <c r="AA260" s="54"/>
      <c r="AB260" s="54"/>
    </row>
    <row r="261" spans="2:28" s="36" customFormat="1" ht="15.75" customHeight="1">
      <c r="C261" s="45"/>
      <c r="D261" s="45" t="str">
        <f>IF(Indice_index!$Z$1=1,"dezembro","December")</f>
        <v>December</v>
      </c>
      <c r="E261" s="45">
        <v>29093.230373080005</v>
      </c>
      <c r="F261" s="45">
        <v>30411.54235679</v>
      </c>
      <c r="G261" s="45">
        <v>29340.243649490025</v>
      </c>
      <c r="H261" s="45">
        <v>30558.938984520013</v>
      </c>
      <c r="I261" s="45">
        <f t="shared" si="51"/>
        <v>-147.39662773001328</v>
      </c>
      <c r="J261" s="221">
        <f t="shared" si="52"/>
        <v>4.5313358702505246E-2</v>
      </c>
      <c r="K261" s="221">
        <f t="shared" si="53"/>
        <v>4.1536646715991769E-2</v>
      </c>
      <c r="L261" s="236"/>
      <c r="M261" s="236"/>
      <c r="N261" s="236"/>
      <c r="O261" s="236"/>
      <c r="P261" s="236"/>
      <c r="Q261" s="236"/>
      <c r="Z261" s="54"/>
      <c r="AA261" s="54"/>
      <c r="AB261" s="54"/>
    </row>
    <row r="262" spans="2:28" ht="15.75" customHeight="1">
      <c r="B262" s="36"/>
      <c r="C262" s="36"/>
      <c r="D262" s="45"/>
      <c r="E262" s="45"/>
      <c r="F262" s="45"/>
      <c r="G262" s="45"/>
      <c r="H262" s="45"/>
      <c r="I262" s="45"/>
      <c r="J262" s="67"/>
      <c r="K262" s="67"/>
      <c r="M262" s="42"/>
      <c r="O262" s="272"/>
      <c r="P262" s="272"/>
      <c r="Q262" s="272"/>
    </row>
    <row r="263" spans="2:28" s="47" customFormat="1" ht="15.75" customHeight="1">
      <c r="C263" s="32" t="s">
        <v>149</v>
      </c>
      <c r="D263" s="85" t="str">
        <f>IF(Indice_index!$Z$1=1,"janeiro","January")</f>
        <v>January</v>
      </c>
      <c r="E263" s="85">
        <v>2200.3451246000004</v>
      </c>
      <c r="F263" s="85">
        <v>2294.8910662400012</v>
      </c>
      <c r="G263" s="85">
        <v>1766.2502442999996</v>
      </c>
      <c r="H263" s="85">
        <v>2045.6545063899985</v>
      </c>
      <c r="I263" s="85">
        <f t="shared" ref="I263:I274" si="54">IF(F263="","",+F263-H263)</f>
        <v>249.23655985000278</v>
      </c>
      <c r="J263" s="219">
        <f t="shared" ref="J263:J274" si="55">IF(F263="","",IF(E263=0,"-",(F263-E263)/E263))</f>
        <v>4.2968687313172417E-2</v>
      </c>
      <c r="K263" s="219">
        <f t="shared" ref="K263:K274" si="56">IF(H263="","",IF(G263=0,"-",(H263-G263)/G263))</f>
        <v>0.15819064313886752</v>
      </c>
      <c r="L263"/>
      <c r="M263" s="218"/>
      <c r="O263" s="273"/>
      <c r="P263" s="273"/>
      <c r="Q263" s="272"/>
      <c r="Z263" s="14"/>
      <c r="AA263" s="14"/>
      <c r="AB263" s="14"/>
    </row>
    <row r="264" spans="2:28" s="47" customFormat="1" ht="15.75" customHeight="1">
      <c r="C264" s="85"/>
      <c r="D264" s="85" t="str">
        <f>IF(Indice_index!$Z$1=1,"fevereiro","February")</f>
        <v>February</v>
      </c>
      <c r="E264" s="85">
        <v>4485.5885841599975</v>
      </c>
      <c r="F264" s="85">
        <v>4551.0927634300006</v>
      </c>
      <c r="G264" s="85">
        <v>4215.6919063700034</v>
      </c>
      <c r="H264" s="85">
        <v>4523.6075398199946</v>
      </c>
      <c r="I264" s="85">
        <f t="shared" si="54"/>
        <v>27.48522361000596</v>
      </c>
      <c r="J264" s="219">
        <f t="shared" si="55"/>
        <v>1.4603251734079808E-2</v>
      </c>
      <c r="K264" s="219">
        <f t="shared" si="56"/>
        <v>7.3040355009037522E-2</v>
      </c>
      <c r="L264"/>
      <c r="M264" s="218"/>
      <c r="O264" s="273"/>
      <c r="P264" s="274"/>
      <c r="Q264" s="273"/>
      <c r="Z264" s="14"/>
      <c r="AA264" s="14"/>
      <c r="AB264" s="14"/>
    </row>
    <row r="265" spans="2:28" s="47" customFormat="1" ht="15.75" customHeight="1">
      <c r="C265" s="85"/>
      <c r="D265" s="85" t="str">
        <f>IF(Indice_index!$Z$1=1,"março","March")</f>
        <v>March</v>
      </c>
      <c r="E265" s="85">
        <v>6850.0793698099988</v>
      </c>
      <c r="F265" s="85">
        <v>6923.2042049500033</v>
      </c>
      <c r="G265" s="85">
        <v>6548.0542979700022</v>
      </c>
      <c r="H265" s="85">
        <v>7120.9170630600038</v>
      </c>
      <c r="I265" s="85">
        <f t="shared" si="54"/>
        <v>-197.71285811000052</v>
      </c>
      <c r="J265" s="219">
        <f t="shared" si="55"/>
        <v>1.0675034724748419E-2</v>
      </c>
      <c r="K265" s="219">
        <f t="shared" si="56"/>
        <v>8.7485952165607103E-2</v>
      </c>
      <c r="L265"/>
      <c r="M265" s="218"/>
      <c r="O265" s="273"/>
      <c r="P265" s="273"/>
      <c r="Q265" s="273"/>
      <c r="Z265" s="14"/>
      <c r="AA265" s="14"/>
      <c r="AB265" s="14"/>
    </row>
    <row r="266" spans="2:28" s="47" customFormat="1" ht="15.75" customHeight="1">
      <c r="C266" s="85"/>
      <c r="D266" s="85" t="str">
        <f>IF(Indice_index!$Z$1=1,"abril","April")</f>
        <v>April</v>
      </c>
      <c r="E266" s="85">
        <v>8928.1578738900007</v>
      </c>
      <c r="F266" s="85">
        <v>9270.3235209499999</v>
      </c>
      <c r="G266" s="85">
        <v>8772.4927871599939</v>
      </c>
      <c r="H266" s="85">
        <v>9477.6517969100023</v>
      </c>
      <c r="I266" s="85">
        <f t="shared" si="54"/>
        <v>-207.32827596000243</v>
      </c>
      <c r="J266" s="219">
        <f t="shared" si="55"/>
        <v>3.8324327581689313E-2</v>
      </c>
      <c r="K266" s="219">
        <f t="shared" si="56"/>
        <v>8.0382968314562334E-2</v>
      </c>
      <c r="L266"/>
      <c r="M266" s="218"/>
      <c r="N266"/>
      <c r="O266"/>
      <c r="P266"/>
      <c r="Q266"/>
      <c r="Z266" s="14"/>
      <c r="AA266" s="14"/>
      <c r="AB266" s="14"/>
    </row>
    <row r="267" spans="2:28" s="47" customFormat="1" ht="15.75" customHeight="1">
      <c r="C267" s="85"/>
      <c r="D267" s="85" t="str">
        <f>IF(Indice_index!$Z$1=1,"maio","May")</f>
        <v>May</v>
      </c>
      <c r="E267" s="85">
        <v>11463.119838459999</v>
      </c>
      <c r="F267" s="85">
        <v>11732.450227889994</v>
      </c>
      <c r="G267" s="85">
        <v>11203.482895810002</v>
      </c>
      <c r="H267" s="85">
        <v>11748.832072149991</v>
      </c>
      <c r="I267" s="85">
        <f t="shared" si="54"/>
        <v>-16.381844259996797</v>
      </c>
      <c r="J267" s="219">
        <f t="shared" si="55"/>
        <v>2.3495382864825574E-2</v>
      </c>
      <c r="K267" s="219">
        <f t="shared" si="56"/>
        <v>4.8676753596325326E-2</v>
      </c>
      <c r="M267"/>
      <c r="N267"/>
      <c r="O267"/>
      <c r="P267"/>
      <c r="Q267"/>
      <c r="Z267" s="14"/>
      <c r="AA267" s="14"/>
      <c r="AB267" s="14"/>
    </row>
    <row r="268" spans="2:28" s="47" customFormat="1" ht="15.75" customHeight="1">
      <c r="C268" s="85"/>
      <c r="D268" s="40" t="str">
        <f>IF(Indice_index!$Z$1=1,"junho","June")</f>
        <v>June</v>
      </c>
      <c r="E268" s="40">
        <v>13980.230168699996</v>
      </c>
      <c r="F268" s="40">
        <v>14369.625105599993</v>
      </c>
      <c r="G268" s="40">
        <v>13978.88194391001</v>
      </c>
      <c r="H268" s="40">
        <v>14454.722783969974</v>
      </c>
      <c r="I268" s="40">
        <f t="shared" si="54"/>
        <v>-85.097678369980713</v>
      </c>
      <c r="J268" s="241">
        <f t="shared" si="55"/>
        <v>2.7853256505876674E-2</v>
      </c>
      <c r="K268" s="241">
        <f t="shared" si="56"/>
        <v>3.4039978445290962E-2</v>
      </c>
      <c r="L268"/>
      <c r="M268"/>
      <c r="N268"/>
      <c r="O268"/>
      <c r="P268"/>
      <c r="Q268"/>
      <c r="Z268" s="14"/>
      <c r="AA268" s="14"/>
      <c r="AB268" s="14"/>
    </row>
    <row r="269" spans="2:28" s="47" customFormat="1" ht="15.75" customHeight="1">
      <c r="C269" s="85"/>
      <c r="D269" s="45" t="str">
        <f>IF(Indice_index!$Z$1=1,"julho","July")</f>
        <v>July</v>
      </c>
      <c r="E269" s="45">
        <v>16944.473943220008</v>
      </c>
      <c r="F269" s="45">
        <v>17613.86922244999</v>
      </c>
      <c r="G269" s="45">
        <v>16903.947170790016</v>
      </c>
      <c r="H269" s="45">
        <v>17697.838249330009</v>
      </c>
      <c r="I269" s="45">
        <f t="shared" si="54"/>
        <v>-83.969026880018646</v>
      </c>
      <c r="J269" s="221">
        <f t="shared" si="55"/>
        <v>3.950522639257429E-2</v>
      </c>
      <c r="K269" s="221">
        <f t="shared" si="56"/>
        <v>4.6964834338327509E-2</v>
      </c>
      <c r="L269"/>
      <c r="M269"/>
      <c r="N269"/>
      <c r="O269"/>
      <c r="P269"/>
      <c r="Q269"/>
      <c r="Z269" s="14"/>
      <c r="AA269" s="14"/>
      <c r="AB269" s="14"/>
    </row>
    <row r="270" spans="2:28" s="47" customFormat="1" ht="15.75" customHeight="1">
      <c r="C270" s="85"/>
      <c r="D270" s="45" t="str">
        <f>IF(Indice_index!$Z$1=1,"agosto","August")</f>
        <v>August</v>
      </c>
      <c r="E270" s="45">
        <v>19371.687380290001</v>
      </c>
      <c r="F270" s="45">
        <v>19948.370700149993</v>
      </c>
      <c r="G270" s="45">
        <v>19157.284685619994</v>
      </c>
      <c r="H270" s="45">
        <v>19910.82900137001</v>
      </c>
      <c r="I270" s="45">
        <f t="shared" si="54"/>
        <v>37.541698779983562</v>
      </c>
      <c r="J270" s="221">
        <f t="shared" si="55"/>
        <v>2.9769390169219184E-2</v>
      </c>
      <c r="K270" s="221">
        <f t="shared" si="56"/>
        <v>3.9334609685873059E-2</v>
      </c>
      <c r="L270"/>
      <c r="M270"/>
      <c r="N270"/>
      <c r="O270"/>
      <c r="P270"/>
      <c r="Q270"/>
      <c r="Z270" s="14"/>
      <c r="AA270" s="14"/>
      <c r="AB270" s="14"/>
    </row>
    <row r="271" spans="2:28" s="47" customFormat="1" ht="15.75" customHeight="1">
      <c r="C271" s="45"/>
      <c r="D271" s="45" t="str">
        <f>IF(Indice_index!$Z$1=1,"setembro","September")</f>
        <v>September</v>
      </c>
      <c r="E271" s="45">
        <v>21644.138023769996</v>
      </c>
      <c r="F271" s="45">
        <v>22221.411288299998</v>
      </c>
      <c r="G271" s="45">
        <v>21347.369814170033</v>
      </c>
      <c r="H271" s="45">
        <v>22138.806438629981</v>
      </c>
      <c r="I271" s="45">
        <f t="shared" si="54"/>
        <v>82.604849670016847</v>
      </c>
      <c r="J271" s="221">
        <f t="shared" si="55"/>
        <v>2.6671113624207616E-2</v>
      </c>
      <c r="K271" s="221">
        <f t="shared" si="56"/>
        <v>3.7074198430506654E-2</v>
      </c>
      <c r="L271"/>
      <c r="M271"/>
      <c r="N271"/>
      <c r="O271"/>
      <c r="P271"/>
      <c r="Q271"/>
      <c r="Z271" s="14"/>
      <c r="AA271" s="14"/>
      <c r="AB271" s="14"/>
    </row>
    <row r="272" spans="2:28" ht="15.75" customHeight="1">
      <c r="C272" s="45"/>
      <c r="D272" s="45" t="str">
        <f>IF(Indice_index!$Z$1=1,"outubro","October")</f>
        <v>October</v>
      </c>
      <c r="E272" s="45"/>
      <c r="F272" s="45"/>
      <c r="G272" s="45"/>
      <c r="H272" s="45"/>
      <c r="I272" s="45" t="str">
        <f t="shared" si="54"/>
        <v/>
      </c>
      <c r="J272" s="221" t="str">
        <f t="shared" si="55"/>
        <v/>
      </c>
      <c r="K272" s="221" t="str">
        <f t="shared" si="56"/>
        <v/>
      </c>
      <c r="L272" s="381"/>
      <c r="M272" s="381"/>
      <c r="N272" s="381"/>
      <c r="O272" s="381"/>
      <c r="P272"/>
      <c r="Q272"/>
    </row>
    <row r="273" spans="3:28" s="36" customFormat="1" ht="15.75" customHeight="1">
      <c r="C273" s="45"/>
      <c r="D273" s="45" t="str">
        <f>IF(Indice_index!$Z$1=1,"novembro","November")</f>
        <v>November</v>
      </c>
      <c r="E273" s="45"/>
      <c r="F273" s="45"/>
      <c r="G273" s="45"/>
      <c r="H273" s="45"/>
      <c r="I273" s="45" t="str">
        <f t="shared" si="54"/>
        <v/>
      </c>
      <c r="J273" s="221" t="str">
        <f t="shared" si="55"/>
        <v/>
      </c>
      <c r="K273" s="221" t="str">
        <f t="shared" si="56"/>
        <v/>
      </c>
      <c r="L273" s="236"/>
      <c r="M273" s="236"/>
      <c r="N273" s="236"/>
      <c r="O273" s="236"/>
      <c r="P273" s="236"/>
      <c r="Q273" s="236"/>
      <c r="Z273" s="54"/>
      <c r="AA273" s="54"/>
      <c r="AB273" s="54"/>
    </row>
    <row r="274" spans="3:28" s="36" customFormat="1" ht="15.75" customHeight="1">
      <c r="C274" s="99"/>
      <c r="D274" s="99" t="str">
        <f>IF(Indice_index!$Z$1=1,"dezembro","December")</f>
        <v>December</v>
      </c>
      <c r="E274" s="99"/>
      <c r="F274" s="99"/>
      <c r="G274" s="99"/>
      <c r="H274" s="99"/>
      <c r="I274" s="99" t="str">
        <f t="shared" si="54"/>
        <v/>
      </c>
      <c r="J274" s="268" t="str">
        <f t="shared" si="55"/>
        <v/>
      </c>
      <c r="K274" s="268" t="str">
        <f t="shared" si="56"/>
        <v/>
      </c>
      <c r="L274" s="236"/>
      <c r="M274" s="236"/>
      <c r="N274" s="236"/>
      <c r="O274" s="236"/>
      <c r="P274" s="236"/>
      <c r="Q274" s="236"/>
      <c r="Z274" s="54"/>
      <c r="AA274" s="54"/>
      <c r="AB274" s="54"/>
    </row>
    <row r="275" spans="3:28" ht="14.25" customHeight="1">
      <c r="C275" s="90"/>
      <c r="D275" s="90"/>
      <c r="E275"/>
      <c r="F275"/>
      <c r="G275"/>
      <c r="H275"/>
      <c r="I275"/>
      <c r="J275" s="90"/>
      <c r="K275" s="90"/>
      <c r="M275" s="226"/>
      <c r="N275" s="223"/>
    </row>
    <row r="276" spans="3:28" ht="12" customHeight="1">
      <c r="D276" s="48"/>
      <c r="E276" s="25"/>
      <c r="F276" s="25"/>
      <c r="G276" s="25"/>
      <c r="H276" s="25"/>
      <c r="J276" s="26"/>
    </row>
    <row r="277" spans="3:28" ht="23.25" customHeight="1">
      <c r="C277" s="393" t="str">
        <f>IF(Indice_index!$Z$1=1,"1.3 Evolução da Receita, Despesa e Saldo das Entidades Publicas Reclassificadas (valores acumulados)","1.3 State-Owned Enterprises, Expenditure and Balance Evolution (cumulative values)")</f>
        <v>1.3 State-Owned Enterprises, Expenditure and Balance Evolution (cumulative values)</v>
      </c>
      <c r="D277" s="393"/>
      <c r="E277" s="393"/>
      <c r="F277" s="393"/>
      <c r="G277" s="393"/>
      <c r="H277" s="393"/>
      <c r="I277" s="393"/>
      <c r="J277" s="393"/>
      <c r="K277" s="95" t="str">
        <f>IF(Indice_index!$Z$1=1,"€ Milhões","€ Millions")</f>
        <v>€ Millions</v>
      </c>
    </row>
    <row r="278" spans="3:28" ht="12" customHeight="1">
      <c r="C278" s="86"/>
      <c r="D278" s="92"/>
      <c r="E278" s="7" t="str">
        <f>IF(Indice_index!$Z$1=1,"Receita efetiva","Effective revenue")</f>
        <v>Effective revenue</v>
      </c>
      <c r="F278" s="388"/>
      <c r="G278" s="7" t="str">
        <f>IF(Indice_index!$Z$1=1,"Despesa  efetiva","Effective expenditure")</f>
        <v>Effective expenditure</v>
      </c>
      <c r="H278" s="388"/>
      <c r="I278" s="3" t="str">
        <f>IF(Indice_index!$Z$1=1,"Saldo global","Overall
balance")</f>
        <v>Overall
balance</v>
      </c>
      <c r="J278" s="8" t="str">
        <f>IF(Indice_index!$Z$1=1,"VH (%)","YOY Change Rate (%)")</f>
        <v>YOY Change Rate (%)</v>
      </c>
      <c r="K278" s="391"/>
    </row>
    <row r="279" spans="3:28" ht="12" customHeight="1">
      <c r="C279" s="89"/>
      <c r="D279" s="93"/>
      <c r="E279" s="389"/>
      <c r="F279" s="390"/>
      <c r="G279" s="389"/>
      <c r="H279" s="390"/>
      <c r="I279" s="2"/>
      <c r="J279" s="382" t="str">
        <f>IF(Indice_index!$Z$1=1,"Receita","Revenue")</f>
        <v>Revenue</v>
      </c>
      <c r="K279" s="383" t="str">
        <f>IF(Indice_index!$Z$1=1,"Despesa","Expenditure")</f>
        <v>Expenditure</v>
      </c>
    </row>
    <row r="280" spans="3:28" ht="12" customHeight="1">
      <c r="C280" s="35"/>
      <c r="D280" s="36"/>
      <c r="E280" s="30" t="str">
        <f>IF(Indice_index!$Z$1=1,"Ano n-1","Year n-1")</f>
        <v>Year n-1</v>
      </c>
      <c r="F280" s="30" t="str">
        <f>IF(Indice_index!$Z$1=1,"Ano n","Year n")</f>
        <v>Year n</v>
      </c>
      <c r="G280" s="30" t="str">
        <f>IF(Indice_index!$Z$1=1,"Ano n-1","Year n-1")</f>
        <v>Year n-1</v>
      </c>
      <c r="H280" s="30" t="str">
        <f>IF(Indice_index!$Z$1=1,"Ano n","Year n")</f>
        <v>Year n</v>
      </c>
      <c r="I280" s="30" t="str">
        <f>IF(Indice_index!$Z$1=1,"Ano n","Year n")</f>
        <v>Year n</v>
      </c>
      <c r="J280" s="31" t="str">
        <f>IF(Indice_index!$Z$1=1,"Ano n","Year n")</f>
        <v>Year n</v>
      </c>
      <c r="K280" s="31" t="str">
        <f>IF(Indice_index!$Z$1=1,"Ano n","Year n")</f>
        <v>Year n</v>
      </c>
    </row>
    <row r="281" spans="3:28" ht="15.75" customHeight="1">
      <c r="C281" s="35" t="s">
        <v>5</v>
      </c>
      <c r="D281" s="19" t="str">
        <f>IF(Indice_index!$Z$1=1,"janeiro","January")</f>
        <v>January</v>
      </c>
      <c r="E281" s="56"/>
      <c r="F281" s="56">
        <v>363.71814799999999</v>
      </c>
      <c r="G281" s="56"/>
      <c r="H281" s="56">
        <v>226.42325899999997</v>
      </c>
      <c r="I281" s="19">
        <f>IF(F281="","",+F281-H281)</f>
        <v>137.29488900000001</v>
      </c>
      <c r="J281" s="57" t="s">
        <v>6</v>
      </c>
      <c r="K281" s="57" t="s">
        <v>6</v>
      </c>
      <c r="M281" s="58"/>
    </row>
    <row r="282" spans="3:28" ht="15.75" customHeight="1">
      <c r="C282" s="36"/>
      <c r="D282" s="19" t="str">
        <f>IF(Indice_index!$Z$1=1,"fevereiro","February")</f>
        <v>February</v>
      </c>
      <c r="E282" s="56"/>
      <c r="F282" s="56">
        <v>729.92439000000002</v>
      </c>
      <c r="G282" s="56"/>
      <c r="H282" s="56">
        <v>640.73507399999994</v>
      </c>
      <c r="I282" s="19">
        <f>IF(F282="","",+F282-H282)</f>
        <v>89.189316000000076</v>
      </c>
      <c r="J282" s="57" t="s">
        <v>6</v>
      </c>
      <c r="K282" s="57" t="s">
        <v>6</v>
      </c>
      <c r="M282" s="58"/>
    </row>
    <row r="283" spans="3:28" s="44" customFormat="1" ht="15.75" customHeight="1">
      <c r="C283" s="45"/>
      <c r="D283" s="44" t="str">
        <f>IF(Indice_index!$Z$1=1,"março","March")</f>
        <v>March</v>
      </c>
      <c r="E283" s="56"/>
      <c r="F283" s="56">
        <v>888.73242000000005</v>
      </c>
      <c r="G283" s="56"/>
      <c r="H283" s="56">
        <v>956.87100000000009</v>
      </c>
      <c r="I283" s="44">
        <f>IF(F283="","",+F283-H283)</f>
        <v>-68.138580000000047</v>
      </c>
      <c r="J283" s="59" t="s">
        <v>6</v>
      </c>
      <c r="K283" s="59" t="s">
        <v>6</v>
      </c>
      <c r="L283"/>
      <c r="M283" s="60"/>
      <c r="Z283" s="53"/>
      <c r="AA283" s="53"/>
      <c r="AB283" s="53"/>
    </row>
    <row r="284" spans="3:28" s="44" customFormat="1" ht="15.75" customHeight="1">
      <c r="C284" s="61"/>
      <c r="D284" s="44" t="str">
        <f>IF(Indice_index!$Z$1=1,"abril","April")</f>
        <v>April</v>
      </c>
      <c r="E284" s="56"/>
      <c r="F284" s="56">
        <v>1049.9203269999998</v>
      </c>
      <c r="G284" s="56"/>
      <c r="H284" s="56">
        <v>1209.0980799999998</v>
      </c>
      <c r="I284" s="44">
        <f>IF(F284="","",+F284-H284)</f>
        <v>-159.17775299999994</v>
      </c>
      <c r="J284" s="59" t="s">
        <v>6</v>
      </c>
      <c r="K284" s="59" t="s">
        <v>6</v>
      </c>
      <c r="L284"/>
      <c r="M284" s="60"/>
      <c r="Z284" s="53"/>
      <c r="AA284" s="53"/>
      <c r="AB284" s="53"/>
    </row>
    <row r="285" spans="3:28" s="44" customFormat="1" ht="15.75" customHeight="1">
      <c r="C285" s="61"/>
      <c r="D285" s="44" t="str">
        <f>IF(Indice_index!$Z$1=1,"maio","May")</f>
        <v>May</v>
      </c>
      <c r="E285" s="56"/>
      <c r="F285" s="56">
        <v>1254.573926</v>
      </c>
      <c r="G285" s="56"/>
      <c r="H285" s="56">
        <v>1715.02502</v>
      </c>
      <c r="I285" s="44">
        <v>-460.45109400000001</v>
      </c>
      <c r="J285" s="59" t="s">
        <v>6</v>
      </c>
      <c r="K285" s="59" t="s">
        <v>6</v>
      </c>
      <c r="L285"/>
      <c r="M285" s="60"/>
      <c r="Z285" s="53"/>
      <c r="AA285" s="53"/>
      <c r="AB285" s="53"/>
    </row>
    <row r="286" spans="3:28" s="44" customFormat="1" ht="15.75" customHeight="1">
      <c r="C286" s="61"/>
      <c r="D286" s="44" t="str">
        <f>IF(Indice_index!$Z$1=1,"junho","June")</f>
        <v>June</v>
      </c>
      <c r="E286" s="56"/>
      <c r="F286" s="56">
        <v>1433.9124442</v>
      </c>
      <c r="G286" s="56"/>
      <c r="H286" s="56">
        <v>1906.3989779999997</v>
      </c>
      <c r="I286" s="44">
        <f>IF(F286="","",+F286-H286)</f>
        <v>-472.48653379999973</v>
      </c>
      <c r="J286" s="59" t="s">
        <v>6</v>
      </c>
      <c r="K286" s="59" t="s">
        <v>6</v>
      </c>
      <c r="L286"/>
      <c r="M286" s="60"/>
      <c r="Z286" s="53"/>
      <c r="AA286" s="53"/>
      <c r="AB286" s="53"/>
    </row>
    <row r="287" spans="3:28" s="44" customFormat="1" ht="15.75" customHeight="1">
      <c r="C287" s="61"/>
      <c r="D287" s="44" t="str">
        <f>IF(Indice_index!$Z$1=1,"julho","July")</f>
        <v>July</v>
      </c>
      <c r="E287" s="56"/>
      <c r="F287" s="56">
        <v>1763.316298</v>
      </c>
      <c r="G287" s="56"/>
      <c r="H287" s="56">
        <v>2268.1437459999997</v>
      </c>
      <c r="I287" s="44">
        <f>IF(F287="","",+F287-H287)</f>
        <v>-504.82744799999978</v>
      </c>
      <c r="J287" s="59" t="s">
        <v>6</v>
      </c>
      <c r="K287" s="59" t="s">
        <v>6</v>
      </c>
      <c r="L287"/>
      <c r="M287"/>
      <c r="Z287" s="53"/>
      <c r="AA287" s="53"/>
      <c r="AB287" s="53"/>
    </row>
    <row r="288" spans="3:28" s="44" customFormat="1" ht="15.75" customHeight="1">
      <c r="C288" s="61"/>
      <c r="D288" s="44" t="str">
        <f>IF(Indice_index!$Z$1=1,"agosto","August")</f>
        <v>August</v>
      </c>
      <c r="E288" s="56"/>
      <c r="F288" s="56">
        <v>2009.521786</v>
      </c>
      <c r="G288" s="56"/>
      <c r="H288" s="56">
        <v>2526.054537</v>
      </c>
      <c r="I288" s="44">
        <f>IF(F288="","",+F288-H288)</f>
        <v>-516.53275099999996</v>
      </c>
      <c r="J288" s="59" t="s">
        <v>6</v>
      </c>
      <c r="K288" s="59" t="s">
        <v>6</v>
      </c>
      <c r="L288"/>
      <c r="M288" s="60"/>
      <c r="Z288" s="53"/>
      <c r="AA288" s="53"/>
      <c r="AB288" s="53"/>
    </row>
    <row r="289" spans="3:28" s="44" customFormat="1" ht="15.75" customHeight="1">
      <c r="C289" s="61"/>
      <c r="D289" s="44" t="str">
        <f>IF(Indice_index!$Z$1=1,"setembro","September")</f>
        <v>September</v>
      </c>
      <c r="E289" s="56"/>
      <c r="F289" s="56">
        <v>2203.3200769999999</v>
      </c>
      <c r="G289" s="56"/>
      <c r="H289" s="56">
        <v>2704.6312420000004</v>
      </c>
      <c r="I289" s="44">
        <f>IF(F289="","",+F289-H289)</f>
        <v>-501.31116500000053</v>
      </c>
      <c r="J289" s="59" t="s">
        <v>6</v>
      </c>
      <c r="K289" s="59" t="s">
        <v>6</v>
      </c>
      <c r="L289"/>
      <c r="M289" s="60"/>
      <c r="Z289" s="53"/>
      <c r="AA289" s="53"/>
      <c r="AB289" s="53"/>
    </row>
    <row r="290" spans="3:28" s="44" customFormat="1" ht="15.75" customHeight="1">
      <c r="C290" s="61"/>
      <c r="D290" s="44" t="str">
        <f>IF(Indice_index!$Z$1=1,"outubro","October")</f>
        <v>October</v>
      </c>
      <c r="E290" s="56"/>
      <c r="F290" s="56">
        <v>2426.194477</v>
      </c>
      <c r="G290" s="56"/>
      <c r="H290" s="56">
        <v>3084.4753430000001</v>
      </c>
      <c r="I290" s="44">
        <f>IF(F290="","",+F290-H290)</f>
        <v>-658.28086600000006</v>
      </c>
      <c r="J290" s="59" t="s">
        <v>6</v>
      </c>
      <c r="K290" s="59" t="s">
        <v>6</v>
      </c>
      <c r="L290"/>
      <c r="M290" s="60"/>
      <c r="Z290" s="53"/>
      <c r="AA290" s="53"/>
      <c r="AB290" s="53"/>
    </row>
    <row r="291" spans="3:28" s="44" customFormat="1" ht="15.75" customHeight="1">
      <c r="C291" s="61"/>
      <c r="D291" s="44" t="str">
        <f>IF(Indice_index!$Z$1=1,"novembro","November")</f>
        <v>November</v>
      </c>
      <c r="E291" s="56"/>
      <c r="F291" s="56">
        <v>2673.4880939999998</v>
      </c>
      <c r="G291" s="56"/>
      <c r="H291" s="56">
        <v>3376.816652</v>
      </c>
      <c r="I291" s="44">
        <v>-703.32855800000016</v>
      </c>
      <c r="J291" s="59" t="s">
        <v>6</v>
      </c>
      <c r="K291" s="59" t="s">
        <v>6</v>
      </c>
      <c r="L291"/>
      <c r="M291" s="60"/>
      <c r="Z291" s="53"/>
      <c r="AA291" s="53"/>
      <c r="AB291" s="53"/>
    </row>
    <row r="292" spans="3:28" s="44" customFormat="1" ht="15.75" customHeight="1">
      <c r="C292" s="61"/>
      <c r="D292" s="44" t="str">
        <f>IF(Indice_index!$Z$1=1,"dezembro","December")</f>
        <v>December</v>
      </c>
      <c r="E292" s="56"/>
      <c r="F292" s="39">
        <v>3354.9348999999997</v>
      </c>
      <c r="G292" s="39"/>
      <c r="H292" s="39">
        <v>4211.9003899999998</v>
      </c>
      <c r="I292" s="24">
        <f>IF(F292="","",+F292-H292)</f>
        <v>-856.96549000000005</v>
      </c>
      <c r="J292" s="62" t="s">
        <v>6</v>
      </c>
      <c r="K292" s="62" t="s">
        <v>6</v>
      </c>
      <c r="L292"/>
      <c r="M292" s="60"/>
      <c r="Z292" s="53"/>
      <c r="AA292" s="53"/>
      <c r="AB292" s="53"/>
    </row>
    <row r="293" spans="3:28" ht="15.75" customHeight="1">
      <c r="H293" s="19"/>
    </row>
    <row r="294" spans="3:28" ht="15.75" customHeight="1">
      <c r="C294" s="32">
        <v>2013</v>
      </c>
      <c r="D294" s="36" t="str">
        <f>IF(Indice_index!$Z$1=1,"janeiro","January")</f>
        <v>January</v>
      </c>
      <c r="E294" s="36">
        <v>384.74889600000017</v>
      </c>
      <c r="F294" s="36">
        <v>196.53022899999999</v>
      </c>
      <c r="G294" s="36">
        <v>284.48197055999998</v>
      </c>
      <c r="H294" s="36">
        <v>117.84502918000004</v>
      </c>
      <c r="I294" s="36">
        <f t="shared" ref="I294:I300" si="57">IF(F294="","",+F294-H294)</f>
        <v>78.685199819999951</v>
      </c>
      <c r="J294" s="220">
        <f t="shared" ref="J294:J305" si="58">IF(F294="","",IF(E294=0,"-",(F294-E294)/E294))</f>
        <v>-0.4891987188444073</v>
      </c>
      <c r="K294" s="220">
        <f t="shared" ref="K294:K305" si="59">IF(H294="","",IF(G294=0,"-",(H294-G294)/G294))</f>
        <v>-0.58575571960492523</v>
      </c>
      <c r="L294" s="218"/>
      <c r="M294" s="218"/>
    </row>
    <row r="295" spans="3:28" ht="15.75" customHeight="1">
      <c r="C295" s="61"/>
      <c r="D295" s="44" t="str">
        <f>IF(Indice_index!$Z$1=1,"fevereiro","February")</f>
        <v>February</v>
      </c>
      <c r="E295" s="56">
        <v>729.92439000000002</v>
      </c>
      <c r="F295" s="56">
        <v>377.58224599999994</v>
      </c>
      <c r="G295" s="56">
        <v>640.73507410000002</v>
      </c>
      <c r="H295" s="56">
        <v>499.65955398000006</v>
      </c>
      <c r="I295" s="44">
        <f>IF(F295="","",+F295-H295)</f>
        <v>-122.07730798000011</v>
      </c>
      <c r="J295" s="220">
        <f>IF(F295="","",IF(E295=0,"-",(F295-E295)/E295))</f>
        <v>-0.48271046813492569</v>
      </c>
      <c r="K295" s="220">
        <f>IF(H295="","",IF(G295=0,"-",(H295-G295)/G295))</f>
        <v>-0.22017761446594727</v>
      </c>
      <c r="L295" s="218"/>
      <c r="M295" s="218"/>
    </row>
    <row r="296" spans="3:28" ht="15.75" customHeight="1">
      <c r="C296" s="61"/>
      <c r="D296" s="44" t="str">
        <f>IF(Indice_index!$Z$1=1,"março","March")</f>
        <v>March</v>
      </c>
      <c r="E296" s="56">
        <v>888.73241999999982</v>
      </c>
      <c r="F296" s="56">
        <v>548.317138</v>
      </c>
      <c r="G296" s="56">
        <v>956.87100009999995</v>
      </c>
      <c r="H296" s="56">
        <v>938.30111925999995</v>
      </c>
      <c r="I296" s="44">
        <f t="shared" si="57"/>
        <v>-389.98398125999995</v>
      </c>
      <c r="J296" s="51">
        <f t="shared" si="58"/>
        <v>-0.38303461687602203</v>
      </c>
      <c r="K296" s="51">
        <f t="shared" si="59"/>
        <v>-1.9406880173042457E-2</v>
      </c>
      <c r="L296" s="218"/>
      <c r="M296" s="218"/>
    </row>
    <row r="297" spans="3:28" ht="15.75" customHeight="1">
      <c r="C297" s="61"/>
      <c r="D297" s="44" t="str">
        <f>IF(Indice_index!$Z$1=1,"abril","April")</f>
        <v>April</v>
      </c>
      <c r="E297" s="56">
        <v>1054.7830800000002</v>
      </c>
      <c r="F297" s="56">
        <v>748.14242799999988</v>
      </c>
      <c r="G297" s="56">
        <v>1212.9125664199996</v>
      </c>
      <c r="H297" s="56">
        <v>1069.7627341999998</v>
      </c>
      <c r="I297" s="44">
        <f t="shared" si="57"/>
        <v>-321.62030619999996</v>
      </c>
      <c r="J297" s="51">
        <f t="shared" si="58"/>
        <v>-0.29071442063708514</v>
      </c>
      <c r="K297" s="51">
        <f t="shared" si="59"/>
        <v>-0.11802155916523893</v>
      </c>
    </row>
    <row r="298" spans="3:28" ht="15.75" customHeight="1">
      <c r="C298" s="61"/>
      <c r="D298" s="44" t="str">
        <f>IF(Indice_index!$Z$1=1,"maio","May")</f>
        <v>May</v>
      </c>
      <c r="E298" s="39">
        <v>1254.5739260000003</v>
      </c>
      <c r="F298" s="39">
        <v>976.03336199999967</v>
      </c>
      <c r="G298" s="39">
        <v>1715.0250200799999</v>
      </c>
      <c r="H298" s="39">
        <v>1495.2675044099999</v>
      </c>
      <c r="I298" s="24">
        <f t="shared" si="57"/>
        <v>-519.23414241000023</v>
      </c>
      <c r="J298" s="240">
        <f t="shared" si="58"/>
        <v>-0.2220200485818167</v>
      </c>
      <c r="K298" s="240">
        <f t="shared" si="59"/>
        <v>-0.1281366237209467</v>
      </c>
      <c r="M298" s="223"/>
      <c r="N298" s="223"/>
    </row>
    <row r="299" spans="3:28" ht="15.75" customHeight="1">
      <c r="C299" s="61"/>
      <c r="D299" s="44" t="str">
        <f>IF(Indice_index!$Z$1=1,"junho","June")</f>
        <v>June</v>
      </c>
      <c r="E299" s="39">
        <v>1433.9124450000002</v>
      </c>
      <c r="F299" s="39">
        <v>1158.8187099999998</v>
      </c>
      <c r="G299" s="39">
        <v>1906.3989784400001</v>
      </c>
      <c r="H299" s="39">
        <v>1757.2040095599996</v>
      </c>
      <c r="I299" s="24">
        <f t="shared" si="57"/>
        <v>-598.38529955999979</v>
      </c>
      <c r="J299" s="240">
        <f t="shared" si="58"/>
        <v>-0.19184834887181718</v>
      </c>
      <c r="K299" s="240">
        <f t="shared" si="59"/>
        <v>-7.8260096950999336E-2</v>
      </c>
      <c r="M299" s="223"/>
      <c r="N299" s="223"/>
    </row>
    <row r="300" spans="3:28" ht="15.75" customHeight="1">
      <c r="C300" s="61"/>
      <c r="D300" s="44" t="str">
        <f>IF(Indice_index!$Z$1=1,"julho","July")</f>
        <v>July</v>
      </c>
      <c r="E300" s="56">
        <v>1763.316298</v>
      </c>
      <c r="F300" s="56">
        <v>1378.306781</v>
      </c>
      <c r="G300" s="56">
        <v>2268.1437467299993</v>
      </c>
      <c r="H300" s="56">
        <v>1992.4600410199996</v>
      </c>
      <c r="I300" s="44">
        <f t="shared" si="57"/>
        <v>-614.15326001999961</v>
      </c>
      <c r="J300" s="51">
        <f t="shared" si="58"/>
        <v>-0.21834399048922076</v>
      </c>
      <c r="K300" s="51">
        <f t="shared" si="59"/>
        <v>-0.12154595849908326</v>
      </c>
      <c r="M300" s="223"/>
      <c r="N300" s="223"/>
    </row>
    <row r="301" spans="3:28" ht="15.75" customHeight="1">
      <c r="C301" s="61"/>
      <c r="D301" s="44" t="str">
        <f>IF(Indice_index!$Z$1=1,"agosto","August")</f>
        <v>August</v>
      </c>
      <c r="E301" s="56">
        <v>2009.6945160000007</v>
      </c>
      <c r="F301" s="56">
        <v>1585.2963160000002</v>
      </c>
      <c r="G301" s="56">
        <v>2526.0545366799997</v>
      </c>
      <c r="H301" s="56">
        <v>2141.7741381000005</v>
      </c>
      <c r="I301" s="44">
        <f>IF(F301="","",+F301-H301)</f>
        <v>-556.47782210000037</v>
      </c>
      <c r="J301" s="51">
        <f t="shared" si="58"/>
        <v>-0.21117547797498215</v>
      </c>
      <c r="K301" s="51">
        <f t="shared" si="59"/>
        <v>-0.15212672291907836</v>
      </c>
      <c r="M301" s="223"/>
      <c r="N301" s="223"/>
    </row>
    <row r="302" spans="3:28" ht="15.75" customHeight="1">
      <c r="C302" s="61"/>
      <c r="D302" s="44" t="str">
        <f>IF(Indice_index!$Z$1=1,"setembro","September")</f>
        <v>September</v>
      </c>
      <c r="E302" s="56">
        <v>2208.7182149999994</v>
      </c>
      <c r="F302" s="56">
        <v>1666.7171700000001</v>
      </c>
      <c r="G302" s="56">
        <v>2713.41332861</v>
      </c>
      <c r="H302" s="56">
        <v>2260.1596422800003</v>
      </c>
      <c r="I302" s="44">
        <f>IF(F302="","",+F302-H302)</f>
        <v>-593.44247228000017</v>
      </c>
      <c r="J302" s="51">
        <f t="shared" si="58"/>
        <v>-0.24539166713034033</v>
      </c>
      <c r="K302" s="51">
        <f t="shared" si="59"/>
        <v>-0.16704188836655709</v>
      </c>
      <c r="M302" s="223"/>
      <c r="N302" s="223"/>
    </row>
    <row r="303" spans="3:28" ht="15.75" customHeight="1">
      <c r="C303" s="61"/>
      <c r="D303" s="44" t="str">
        <f>IF(Indice_index!$Z$1=1,"outubro","October")</f>
        <v>October</v>
      </c>
      <c r="E303" s="56">
        <v>2458.4038689999998</v>
      </c>
      <c r="F303" s="56">
        <v>2040.9742699999995</v>
      </c>
      <c r="G303" s="56">
        <v>3115.7079618899998</v>
      </c>
      <c r="H303" s="56">
        <v>2680.2878630299992</v>
      </c>
      <c r="I303" s="44">
        <f>IF(F303="","",+F303-H303)</f>
        <v>-639.31359302999977</v>
      </c>
      <c r="J303" s="51">
        <f t="shared" si="58"/>
        <v>-0.16979699888358754</v>
      </c>
      <c r="K303" s="51">
        <f t="shared" si="59"/>
        <v>-0.13974997149472029</v>
      </c>
      <c r="M303" s="223"/>
      <c r="N303" s="223"/>
    </row>
    <row r="304" spans="3:28" ht="15.75" customHeight="1">
      <c r="C304" s="61"/>
      <c r="D304" s="44" t="str">
        <f>IF(Indice_index!$Z$1=1,"novembro","November")</f>
        <v>November</v>
      </c>
      <c r="E304" s="56">
        <v>2705.6974850000001</v>
      </c>
      <c r="F304" s="56">
        <v>2227.3874999999998</v>
      </c>
      <c r="G304" s="56">
        <v>3408.04927116</v>
      </c>
      <c r="H304" s="56">
        <v>2932.7378868399996</v>
      </c>
      <c r="I304" s="44">
        <f>IF(F304="","",+F304-H304)</f>
        <v>-705.35038683999983</v>
      </c>
      <c r="J304" s="51">
        <f t="shared" si="58"/>
        <v>-0.17677881124984685</v>
      </c>
      <c r="K304" s="51">
        <f t="shared" si="59"/>
        <v>-0.13946728656250273</v>
      </c>
      <c r="M304" s="223"/>
      <c r="N304" s="223"/>
    </row>
    <row r="305" spans="3:14" ht="15.75" customHeight="1">
      <c r="C305" s="61"/>
      <c r="D305" s="44" t="str">
        <f>IF(Indice_index!$Z$1=1,"dezembro","December")</f>
        <v>December</v>
      </c>
      <c r="E305" s="56">
        <v>3424.5587740000001</v>
      </c>
      <c r="F305" s="56">
        <v>2528.4666249999996</v>
      </c>
      <c r="G305" s="56">
        <v>4259.4395073099995</v>
      </c>
      <c r="H305" s="56">
        <v>3501.3474395499993</v>
      </c>
      <c r="I305" s="44">
        <f>IF(F305="","",+F305-H305)</f>
        <v>-972.88081454999974</v>
      </c>
      <c r="J305" s="51">
        <f t="shared" si="58"/>
        <v>-0.2616664534430912</v>
      </c>
      <c r="K305" s="51">
        <f t="shared" si="59"/>
        <v>-0.1779793013749747</v>
      </c>
      <c r="M305" s="223"/>
      <c r="N305" s="223"/>
    </row>
    <row r="306" spans="3:14" ht="15.75" customHeight="1">
      <c r="H306" s="19"/>
    </row>
    <row r="307" spans="3:14" ht="15.75" customHeight="1">
      <c r="C307" s="32" t="s">
        <v>16</v>
      </c>
      <c r="D307" s="36" t="str">
        <f>IF(Indice_index!$Z$1=1,"janeiro","January")</f>
        <v>January</v>
      </c>
      <c r="E307" s="36">
        <v>196.53022899999999</v>
      </c>
      <c r="F307" s="36">
        <v>285.56170900000006</v>
      </c>
      <c r="G307" s="36">
        <v>117.84502918000001</v>
      </c>
      <c r="H307" s="36">
        <v>136.96552657000004</v>
      </c>
      <c r="I307" s="36">
        <f>IF(F307="","",+F307-H307)</f>
        <v>148.59618243000003</v>
      </c>
      <c r="J307" s="220">
        <f>IF(F307="","",IF(E307=0,"-",(F307-E307)/E307))</f>
        <v>0.45301672141235877</v>
      </c>
      <c r="K307" s="220">
        <f t="shared" ref="K307:K316" si="60">IF(H307="","",IF(G307=0,"-",(H307-G307)/G307))</f>
        <v>0.16225119992795631</v>
      </c>
    </row>
    <row r="308" spans="3:14" ht="15.75" customHeight="1">
      <c r="C308" s="61"/>
      <c r="D308" s="44" t="str">
        <f>IF(Indice_index!$Z$1=1,"fevereiro","February")</f>
        <v>February</v>
      </c>
      <c r="E308" s="56">
        <v>384.2</v>
      </c>
      <c r="F308" s="56">
        <v>444.1</v>
      </c>
      <c r="G308" s="56">
        <v>506.5</v>
      </c>
      <c r="H308" s="56">
        <v>599.6</v>
      </c>
      <c r="I308" s="44">
        <f t="shared" ref="I308:I313" si="61">IF(F308="","",+F308-H308)</f>
        <v>-155.5</v>
      </c>
      <c r="J308" s="220">
        <f>IF(F308="","",IF(E308=0,"-",(F308-E308)/E308))</f>
        <v>0.15590838105153576</v>
      </c>
      <c r="K308" s="220">
        <f t="shared" si="60"/>
        <v>0.18381046396841072</v>
      </c>
    </row>
    <row r="309" spans="3:14" ht="15.75" customHeight="1">
      <c r="C309" s="61"/>
      <c r="D309" s="44" t="str">
        <f>IF(Indice_index!$Z$1=1,"março","March")</f>
        <v>March</v>
      </c>
      <c r="E309" s="56">
        <v>548.29999999999995</v>
      </c>
      <c r="F309" s="56">
        <v>628.70000000000005</v>
      </c>
      <c r="G309" s="56">
        <v>938.3</v>
      </c>
      <c r="H309" s="56">
        <v>790.6</v>
      </c>
      <c r="I309" s="44">
        <f t="shared" si="61"/>
        <v>-161.89999999999998</v>
      </c>
      <c r="J309" s="51">
        <f>IF(F309="","",IF(E309=0,"-",(F309-E309)/E309))</f>
        <v>0.14663505380266295</v>
      </c>
      <c r="K309" s="51">
        <f t="shared" si="60"/>
        <v>-0.15741234146861338</v>
      </c>
    </row>
    <row r="310" spans="3:14" ht="15.75" customHeight="1">
      <c r="C310" s="61"/>
      <c r="D310" s="44" t="str">
        <f>IF(Indice_index!$Z$1=1,"abril","April")</f>
        <v>April</v>
      </c>
      <c r="E310" s="56">
        <v>748.65531227999998</v>
      </c>
      <c r="F310" s="56">
        <v>816.21905806999973</v>
      </c>
      <c r="G310" s="56">
        <v>1069.7884276300001</v>
      </c>
      <c r="H310" s="56">
        <v>1099.3722623699996</v>
      </c>
      <c r="I310" s="44">
        <f t="shared" si="61"/>
        <v>-283.15320429999986</v>
      </c>
      <c r="J310" s="51">
        <f t="shared" ref="J310:J316" si="62">IF(F310="","",IF(E310=0,"-",(F310-E310)/E310))</f>
        <v>9.0246799403903316E-2</v>
      </c>
      <c r="K310" s="51">
        <f t="shared" si="60"/>
        <v>2.7653911723030358E-2</v>
      </c>
    </row>
    <row r="311" spans="3:14" ht="15.75" customHeight="1">
      <c r="C311" s="61"/>
      <c r="D311" s="44" t="str">
        <f>IF(Indice_index!$Z$1=1,"maio","May")</f>
        <v>May</v>
      </c>
      <c r="E311" s="39">
        <v>976.1</v>
      </c>
      <c r="F311" s="39">
        <v>1042.7</v>
      </c>
      <c r="G311" s="39">
        <v>1495.4</v>
      </c>
      <c r="H311" s="39">
        <v>1291.0999999999999</v>
      </c>
      <c r="I311" s="24">
        <f t="shared" si="61"/>
        <v>-248.39999999999986</v>
      </c>
      <c r="J311" s="240">
        <f t="shared" si="62"/>
        <v>6.8230714066181766E-2</v>
      </c>
      <c r="K311" s="240">
        <f t="shared" si="60"/>
        <v>-0.13661896482546487</v>
      </c>
      <c r="M311" s="223"/>
      <c r="N311" s="223"/>
    </row>
    <row r="312" spans="3:14" ht="15.75" customHeight="1">
      <c r="C312" s="61"/>
      <c r="D312" s="44" t="str">
        <f>IF(Indice_index!$Z$1=1,"junho","June")</f>
        <v>June</v>
      </c>
      <c r="E312" s="39">
        <v>1158.8858330300002</v>
      </c>
      <c r="F312" s="39">
        <v>1244.1625575700002</v>
      </c>
      <c r="G312" s="39">
        <v>1757.2711336800007</v>
      </c>
      <c r="H312" s="39">
        <v>1649.5970324499995</v>
      </c>
      <c r="I312" s="24">
        <f t="shared" si="61"/>
        <v>-405.43447487999924</v>
      </c>
      <c r="J312" s="240">
        <f t="shared" si="62"/>
        <v>7.3585095364430489E-2</v>
      </c>
      <c r="K312" s="240">
        <f t="shared" si="60"/>
        <v>-6.1273470647932884E-2</v>
      </c>
      <c r="M312" s="223"/>
      <c r="N312" s="223"/>
    </row>
    <row r="313" spans="3:14" ht="15.75" customHeight="1">
      <c r="C313" s="61"/>
      <c r="D313" s="44" t="str">
        <f>IF(Indice_index!$Z$1=1,"julho","July")</f>
        <v>July</v>
      </c>
      <c r="E313" s="56">
        <v>1378.3853927</v>
      </c>
      <c r="F313" s="56">
        <v>1492.8497608200003</v>
      </c>
      <c r="G313" s="56">
        <v>1992.5386508499996</v>
      </c>
      <c r="H313" s="56">
        <v>1899.0740696599992</v>
      </c>
      <c r="I313" s="44">
        <f t="shared" si="61"/>
        <v>-406.22430883999891</v>
      </c>
      <c r="J313" s="51">
        <f t="shared" si="62"/>
        <v>8.3042354283649131E-2</v>
      </c>
      <c r="K313" s="51">
        <f t="shared" si="60"/>
        <v>-4.6907286415813952E-2</v>
      </c>
      <c r="M313" s="223"/>
      <c r="N313" s="223"/>
    </row>
    <row r="314" spans="3:14" ht="15.75" customHeight="1">
      <c r="C314" s="61"/>
      <c r="D314" s="44" t="str">
        <f>IF(Indice_index!$Z$1=1,"agosto","August")</f>
        <v>August</v>
      </c>
      <c r="E314" s="56">
        <v>1585.3797210999999</v>
      </c>
      <c r="F314" s="56">
        <v>1667.4368321100003</v>
      </c>
      <c r="G314" s="56">
        <v>2141.8575433199994</v>
      </c>
      <c r="H314" s="56">
        <v>2176.93178016</v>
      </c>
      <c r="I314" s="44">
        <f>IF(F314="","",+F314-H314)</f>
        <v>-509.49494804999972</v>
      </c>
      <c r="J314" s="51">
        <f t="shared" si="62"/>
        <v>5.175864804998636E-2</v>
      </c>
      <c r="K314" s="51">
        <f t="shared" si="60"/>
        <v>1.6375616085854878E-2</v>
      </c>
      <c r="M314" s="223"/>
      <c r="N314" s="223"/>
    </row>
    <row r="315" spans="3:14" ht="15.75" customHeight="1">
      <c r="C315" s="61"/>
      <c r="D315" s="44" t="str">
        <f>IF(Indice_index!$Z$1=1,"setembro","September")</f>
        <v>September</v>
      </c>
      <c r="E315" s="56">
        <v>1822.8101565100003</v>
      </c>
      <c r="F315" s="56">
        <v>1957.8425881700002</v>
      </c>
      <c r="G315" s="56">
        <v>2421.8915956699993</v>
      </c>
      <c r="H315" s="56">
        <v>2419.1770265200003</v>
      </c>
      <c r="I315" s="44">
        <f>IF(F315="","",+F315-H315)</f>
        <v>-461.33443835000003</v>
      </c>
      <c r="J315" s="51">
        <f t="shared" si="62"/>
        <v>7.407926227410129E-2</v>
      </c>
      <c r="K315" s="51">
        <f t="shared" si="60"/>
        <v>-1.1208466782131562E-3</v>
      </c>
      <c r="M315" s="223"/>
      <c r="N315" s="223"/>
    </row>
    <row r="316" spans="3:14" ht="15.75" customHeight="1">
      <c r="C316" s="61"/>
      <c r="D316" s="44" t="str">
        <f>IF(Indice_index!$Z$1=1,"outubro","October")</f>
        <v>October</v>
      </c>
      <c r="E316" s="56">
        <v>2081.1793107200001</v>
      </c>
      <c r="F316" s="56">
        <v>2200.5354185899996</v>
      </c>
      <c r="G316" s="56">
        <v>2730.186431520001</v>
      </c>
      <c r="H316" s="56">
        <v>2764.1847436399994</v>
      </c>
      <c r="I316" s="44">
        <f>IF(F316="","",+F316-H316)</f>
        <v>-563.64932504999979</v>
      </c>
      <c r="J316" s="51">
        <f t="shared" si="62"/>
        <v>5.7350227947781843E-2</v>
      </c>
      <c r="K316" s="51">
        <f t="shared" si="60"/>
        <v>1.2452743786097517E-2</v>
      </c>
      <c r="M316" s="223"/>
      <c r="N316" s="223"/>
    </row>
    <row r="317" spans="3:14" ht="15.75" customHeight="1">
      <c r="C317" s="61"/>
      <c r="D317" s="44" t="str">
        <f>IF(Indice_index!$Z$1=1,"novembro","November")</f>
        <v>November</v>
      </c>
      <c r="E317" s="56">
        <v>2288.9871650900004</v>
      </c>
      <c r="F317" s="56">
        <v>2462.8353613800009</v>
      </c>
      <c r="G317" s="56">
        <v>3005.9107525500012</v>
      </c>
      <c r="H317" s="56">
        <v>2969.1910647100003</v>
      </c>
      <c r="I317" s="44">
        <f>IF(F317="","",+F317-H317)</f>
        <v>-506.35570332999941</v>
      </c>
      <c r="J317" s="51">
        <f>IF(F317="","",IF(E317=0,"-",(F317-E317)/E317))</f>
        <v>7.5949834468890517E-2</v>
      </c>
      <c r="K317" s="51">
        <f>IF(H317="","",IF(G317=0,"-",(H317-G317)/G317))</f>
        <v>-1.2215827701754133E-2</v>
      </c>
      <c r="M317" s="223"/>
      <c r="N317" s="223"/>
    </row>
    <row r="318" spans="3:14" ht="15.75" customHeight="1">
      <c r="C318" s="61"/>
      <c r="D318" s="44" t="str">
        <f>IF(Indice_index!$Z$1=1,"dezembro","December")</f>
        <v>December</v>
      </c>
      <c r="E318" s="56">
        <v>2623.3902313600001</v>
      </c>
      <c r="F318" s="56">
        <v>2870.7522063900001</v>
      </c>
      <c r="G318" s="56">
        <v>3602.3781566699972</v>
      </c>
      <c r="H318" s="56">
        <v>3940.2366722500014</v>
      </c>
      <c r="I318" s="44">
        <f>IF(F318="","",+F318-H318)</f>
        <v>-1069.4844658600014</v>
      </c>
      <c r="J318" s="51">
        <f>IF(F318="","",IF(E318=0,"-",(F318-E318)/E318))</f>
        <v>9.4290956821076605E-2</v>
      </c>
      <c r="K318" s="51">
        <f>IF(H318="","",IF(G318=0,"-",(H318-G318)/G318))</f>
        <v>9.3787631638405589E-2</v>
      </c>
      <c r="M318" s="223"/>
      <c r="N318" s="223"/>
    </row>
    <row r="319" spans="3:14" ht="15.75" customHeight="1">
      <c r="H319" s="19"/>
    </row>
    <row r="320" spans="3:14" ht="15.75" customHeight="1">
      <c r="C320" s="32" t="s">
        <v>23</v>
      </c>
      <c r="D320" s="36" t="str">
        <f>IF(Indice_index!$Z$1=1,"janeiro","January")</f>
        <v>January</v>
      </c>
      <c r="E320" s="36">
        <v>292.13767832999997</v>
      </c>
      <c r="F320" s="36">
        <v>645.83405739</v>
      </c>
      <c r="G320" s="36">
        <v>137.92994911000011</v>
      </c>
      <c r="H320" s="36">
        <v>493.11772235000001</v>
      </c>
      <c r="I320" s="36">
        <f>IF(F320="","",+F320-H320)</f>
        <v>152.71633503999999</v>
      </c>
      <c r="J320" s="220">
        <f>IF(F320="","",IF(E320=0,"-",(F320-E320)/E320))</f>
        <v>1.2107181144243335</v>
      </c>
      <c r="K320" s="220">
        <f t="shared" ref="K320:K329" si="63">IF(H320="","",IF(G320=0,"-",(H320-G320)/G320))</f>
        <v>2.5751316195783929</v>
      </c>
    </row>
    <row r="321" spans="3:14" ht="15.75" customHeight="1">
      <c r="C321" s="61"/>
      <c r="D321" s="44" t="str">
        <f>IF(Indice_index!$Z$1=1,"fevereiro","February")</f>
        <v>February</v>
      </c>
      <c r="E321" s="56">
        <v>448.29580216000005</v>
      </c>
      <c r="F321" s="56">
        <v>1193.5485113699995</v>
      </c>
      <c r="G321" s="56">
        <v>599.53688321999994</v>
      </c>
      <c r="H321" s="56">
        <v>1406.5246103300005</v>
      </c>
      <c r="I321" s="44">
        <f t="shared" ref="I321:I326" si="64">IF(F321="","",+F321-H321)</f>
        <v>-212.97609896000108</v>
      </c>
      <c r="J321" s="220">
        <f>IF(F321="","",IF(E321=0,"-",(F321-E321)/E321))</f>
        <v>1.6624128658336472</v>
      </c>
      <c r="K321" s="220">
        <f t="shared" si="63"/>
        <v>1.3460184847608061</v>
      </c>
    </row>
    <row r="322" spans="3:14" ht="15.75" customHeight="1">
      <c r="C322" s="61"/>
      <c r="D322" s="44" t="str">
        <f>IF(Indice_index!$Z$1=1,"março","March")</f>
        <v>March</v>
      </c>
      <c r="E322" s="56">
        <v>628.13112568000008</v>
      </c>
      <c r="F322" s="56">
        <v>1985.5705614400006</v>
      </c>
      <c r="G322" s="56">
        <v>791.24882556000011</v>
      </c>
      <c r="H322" s="56">
        <v>2181.9649241699999</v>
      </c>
      <c r="I322" s="44">
        <f t="shared" si="64"/>
        <v>-196.39436272999933</v>
      </c>
      <c r="J322" s="51">
        <f>IF(F322="","",IF(E322=0,"-",(F322-E322)/E322))</f>
        <v>2.161076533646487</v>
      </c>
      <c r="K322" s="51">
        <f t="shared" si="63"/>
        <v>1.7576216907819502</v>
      </c>
    </row>
    <row r="323" spans="3:14" ht="15.75" customHeight="1">
      <c r="C323" s="61"/>
      <c r="D323" s="44" t="str">
        <f>IF(Indice_index!$Z$1=1,"abril","April")</f>
        <v>April</v>
      </c>
      <c r="E323" s="56">
        <v>811.40760794000005</v>
      </c>
      <c r="F323" s="56">
        <v>2941.7585741999992</v>
      </c>
      <c r="G323" s="56">
        <v>1101.9011582899998</v>
      </c>
      <c r="H323" s="56">
        <v>2909.3673294300006</v>
      </c>
      <c r="I323" s="44">
        <f t="shared" si="64"/>
        <v>32.391244769998593</v>
      </c>
      <c r="J323" s="51">
        <f t="shared" ref="J323:J329" si="65">IF(F323="","",IF(E323=0,"-",(F323-E323)/E323))</f>
        <v>2.6255003593921553</v>
      </c>
      <c r="K323" s="51">
        <f t="shared" si="63"/>
        <v>1.6403160642329677</v>
      </c>
    </row>
    <row r="324" spans="3:14" ht="15.75" customHeight="1">
      <c r="C324" s="61"/>
      <c r="D324" s="44" t="str">
        <f>IF(Indice_index!$Z$1=1,"maio","May")</f>
        <v>May</v>
      </c>
      <c r="E324" s="39">
        <v>1031.3356857599999</v>
      </c>
      <c r="F324" s="39">
        <v>3496.1540265600015</v>
      </c>
      <c r="G324" s="39">
        <v>1290.1122856700008</v>
      </c>
      <c r="H324" s="39">
        <v>3750.9115424300016</v>
      </c>
      <c r="I324" s="24">
        <f t="shared" si="64"/>
        <v>-254.75751587000013</v>
      </c>
      <c r="J324" s="240">
        <f t="shared" si="65"/>
        <v>2.3899282986447385</v>
      </c>
      <c r="K324" s="240">
        <f t="shared" si="63"/>
        <v>1.907430294318933</v>
      </c>
      <c r="M324" s="223"/>
      <c r="N324" s="223"/>
    </row>
    <row r="325" spans="3:14" ht="15.75" customHeight="1">
      <c r="C325" s="61"/>
      <c r="D325" s="44" t="str">
        <f>IF(Indice_index!$Z$1=1,"junho","June")</f>
        <v>June</v>
      </c>
      <c r="E325" s="39">
        <v>1244.17907057</v>
      </c>
      <c r="F325" s="39">
        <v>4018.8973822499993</v>
      </c>
      <c r="G325" s="39">
        <v>1649.2309814499997</v>
      </c>
      <c r="H325" s="39">
        <v>4656.9846053499996</v>
      </c>
      <c r="I325" s="24">
        <f t="shared" si="64"/>
        <v>-638.0872231000003</v>
      </c>
      <c r="J325" s="240">
        <f t="shared" si="65"/>
        <v>2.2301599322104075</v>
      </c>
      <c r="K325" s="240">
        <f t="shared" si="63"/>
        <v>1.823730973847939</v>
      </c>
      <c r="M325" s="223"/>
      <c r="N325" s="223"/>
    </row>
    <row r="326" spans="3:14" ht="15.75" customHeight="1">
      <c r="C326" s="61"/>
      <c r="D326" s="44" t="str">
        <f>IF(Indice_index!$Z$1=1,"julho","July")</f>
        <v>July</v>
      </c>
      <c r="E326" s="56">
        <v>1492.83604382</v>
      </c>
      <c r="F326" s="56">
        <v>4883.3290786300004</v>
      </c>
      <c r="G326" s="56">
        <v>1898.7216468699985</v>
      </c>
      <c r="H326" s="56">
        <v>5434.4205562199995</v>
      </c>
      <c r="I326" s="44">
        <f t="shared" si="64"/>
        <v>-551.09147758999916</v>
      </c>
      <c r="J326" s="51">
        <f t="shared" si="65"/>
        <v>2.2711757589494619</v>
      </c>
      <c r="K326" s="51">
        <f t="shared" si="63"/>
        <v>1.8621470478195286</v>
      </c>
      <c r="M326" s="223"/>
      <c r="N326" s="223"/>
    </row>
    <row r="327" spans="3:14" ht="15.75" customHeight="1">
      <c r="C327" s="61"/>
      <c r="D327" s="44" t="str">
        <f>IF(Indice_index!$Z$1=1,"agosto","August")</f>
        <v>August</v>
      </c>
      <c r="E327" s="56">
        <v>1701.8608737199997</v>
      </c>
      <c r="F327" s="56">
        <v>5659.6051353599987</v>
      </c>
      <c r="G327" s="56">
        <v>2175.1681550199992</v>
      </c>
      <c r="H327" s="56">
        <v>6356.7605349799942</v>
      </c>
      <c r="I327" s="44">
        <f>IF(F327="","",+F327-H327)</f>
        <v>-697.15539961999548</v>
      </c>
      <c r="J327" s="51">
        <f t="shared" si="65"/>
        <v>2.3255392510370094</v>
      </c>
      <c r="K327" s="51">
        <f t="shared" si="63"/>
        <v>1.9224225815872833</v>
      </c>
      <c r="M327" s="223"/>
      <c r="N327" s="223"/>
    </row>
    <row r="328" spans="3:14" ht="15.75" customHeight="1">
      <c r="C328" s="61"/>
      <c r="D328" s="44" t="str">
        <f>IF(Indice_index!$Z$1=1,"setembro","September")</f>
        <v>September</v>
      </c>
      <c r="E328" s="56">
        <v>1957.8374881299999</v>
      </c>
      <c r="F328" s="56">
        <v>6337.8488907899982</v>
      </c>
      <c r="G328" s="56">
        <v>2419.1731611799996</v>
      </c>
      <c r="H328" s="56">
        <v>7135.78610897</v>
      </c>
      <c r="I328" s="44">
        <f>IF(F328="","",+F328-H328)</f>
        <v>-797.93721818000176</v>
      </c>
      <c r="J328" s="51">
        <f t="shared" si="65"/>
        <v>2.2371680127769458</v>
      </c>
      <c r="K328" s="51">
        <f t="shared" si="63"/>
        <v>1.9496797597942013</v>
      </c>
      <c r="M328" s="223"/>
      <c r="N328" s="223"/>
    </row>
    <row r="329" spans="3:14" ht="15.75" customHeight="1">
      <c r="C329" s="61"/>
      <c r="D329" s="44" t="str">
        <f>IF(Indice_index!$Z$1=1,"outubro","October")</f>
        <v>October</v>
      </c>
      <c r="E329" s="56">
        <v>2200.6407796599997</v>
      </c>
      <c r="F329" s="56">
        <v>7130.860065259998</v>
      </c>
      <c r="G329" s="56">
        <v>2765.53608115</v>
      </c>
      <c r="H329" s="56">
        <v>8069.1487617100047</v>
      </c>
      <c r="I329" s="44">
        <f>IF(F329="","",+F329-H329)</f>
        <v>-938.28869645000668</v>
      </c>
      <c r="J329" s="51">
        <f t="shared" si="65"/>
        <v>2.2403562322251069</v>
      </c>
      <c r="K329" s="51">
        <f t="shared" si="63"/>
        <v>1.9177521192761262</v>
      </c>
      <c r="M329" s="223"/>
      <c r="N329" s="223"/>
    </row>
    <row r="330" spans="3:14" ht="15.75" customHeight="1">
      <c r="C330" s="61"/>
      <c r="D330" s="44" t="str">
        <f>IF(Indice_index!$Z$1=1,"novembro","November")</f>
        <v>November</v>
      </c>
      <c r="E330" s="56">
        <v>2452.2535533</v>
      </c>
      <c r="F330" s="56">
        <v>7861.9771235099979</v>
      </c>
      <c r="G330" s="56">
        <v>2969.187911</v>
      </c>
      <c r="H330" s="56">
        <v>8850.7989832900021</v>
      </c>
      <c r="I330" s="44">
        <f>IF(F330="","",+F330-H330)</f>
        <v>-988.82185978000416</v>
      </c>
      <c r="J330" s="51">
        <f>IF(F330="","",IF(E330=0,"-",(F330-E330)/E330))</f>
        <v>2.2060212994411312</v>
      </c>
      <c r="K330" s="51">
        <f>IF(H330="","",IF(G330=0,"-",(H330-G330)/G330))</f>
        <v>1.9808820622299785</v>
      </c>
      <c r="M330" s="223"/>
      <c r="N330" s="223"/>
    </row>
    <row r="331" spans="3:14" ht="15.75" customHeight="1">
      <c r="C331" s="61"/>
      <c r="D331" s="44" t="str">
        <f>IF(Indice_index!$Z$1=1,"dezembro","December")</f>
        <v>December</v>
      </c>
      <c r="E331" s="56">
        <v>2866.5655480300002</v>
      </c>
      <c r="F331" s="56">
        <v>8968.8835898400012</v>
      </c>
      <c r="G331" s="56">
        <v>3974.8509525999993</v>
      </c>
      <c r="H331" s="56">
        <v>10159.104559719999</v>
      </c>
      <c r="I331" s="44">
        <f>IF(F331="","",+F331-H331)</f>
        <v>-1190.2209698799979</v>
      </c>
      <c r="J331" s="51">
        <f>IF(F331="","",IF(E331=0,"-",(F331-E331)/E331))</f>
        <v>2.128790686821628</v>
      </c>
      <c r="K331" s="51">
        <f>IF(H331="","",IF(G331=0,"-",(H331-G331)/G331))</f>
        <v>1.5558454092661769</v>
      </c>
      <c r="M331" s="223"/>
      <c r="N331" s="223"/>
    </row>
    <row r="332" spans="3:14" ht="15.75" customHeight="1">
      <c r="H332" s="19"/>
    </row>
    <row r="333" spans="3:14" ht="15.75" customHeight="1">
      <c r="C333" s="32" t="s">
        <v>117</v>
      </c>
      <c r="D333" s="36" t="str">
        <f>IF(Indice_index!$Z$1=1,"janeiro","January")</f>
        <v>January</v>
      </c>
      <c r="E333" s="36">
        <v>648.43616753000015</v>
      </c>
      <c r="F333" s="36">
        <v>650.42857262999985</v>
      </c>
      <c r="G333" s="36">
        <v>484.11165283999986</v>
      </c>
      <c r="H333" s="36">
        <v>467.86333549999966</v>
      </c>
      <c r="I333" s="36">
        <f>IF(F333="","",+F333-H333)</f>
        <v>182.56523713000018</v>
      </c>
      <c r="J333" s="220">
        <f t="shared" ref="J333:J342" si="66">IF(F333="","",IF(E333=0,"-",(F333-E333)/E333))</f>
        <v>3.0726310464592051E-3</v>
      </c>
      <c r="K333" s="220">
        <f t="shared" ref="K333:K342" si="67">IF(H333="","",IF(G333=0,"-",(H333-G333)/G333))</f>
        <v>-3.3563160987100445E-2</v>
      </c>
    </row>
    <row r="334" spans="3:14" ht="15.75" customHeight="1">
      <c r="C334" s="61"/>
      <c r="D334" s="44" t="str">
        <f>IF(Indice_index!$Z$1=1,"fevereiro","February")</f>
        <v>February</v>
      </c>
      <c r="E334" s="56">
        <v>1210.2566374400001</v>
      </c>
      <c r="F334" s="56">
        <v>1309.9899990800002</v>
      </c>
      <c r="G334" s="56">
        <v>1414.651175850001</v>
      </c>
      <c r="H334" s="56">
        <v>1374.0738650799999</v>
      </c>
      <c r="I334" s="44">
        <f t="shared" ref="I334:I339" si="68">IF(F334="","",+F334-H334)</f>
        <v>-64.083865999999716</v>
      </c>
      <c r="J334" s="220">
        <f t="shared" si="66"/>
        <v>8.2406787580989002E-2</v>
      </c>
      <c r="K334" s="220">
        <f t="shared" si="67"/>
        <v>-2.8683615765292794E-2</v>
      </c>
    </row>
    <row r="335" spans="3:14" ht="15.75" customHeight="1">
      <c r="C335" s="61"/>
      <c r="D335" s="44" t="str">
        <f>IF(Indice_index!$Z$1=1,"março","March")</f>
        <v>March</v>
      </c>
      <c r="E335" s="56">
        <v>2016.1963310000003</v>
      </c>
      <c r="F335" s="56">
        <v>1935.3758986499997</v>
      </c>
      <c r="G335" s="56">
        <v>2213.8752386800011</v>
      </c>
      <c r="H335" s="56">
        <v>2188.8519310499978</v>
      </c>
      <c r="I335" s="44">
        <f t="shared" si="68"/>
        <v>-253.47603239999808</v>
      </c>
      <c r="J335" s="51">
        <f>IF(F335="","",IF(E335=0,"-",(F335-E335)/E335))</f>
        <v>-4.0085596381338018E-2</v>
      </c>
      <c r="K335" s="51">
        <f t="shared" si="67"/>
        <v>-1.1302943902531358E-2</v>
      </c>
    </row>
    <row r="336" spans="3:14" ht="15.75" customHeight="1">
      <c r="C336" s="61"/>
      <c r="D336" s="44" t="str">
        <f>IF(Indice_index!$Z$1=1,"abril","April")</f>
        <v>April</v>
      </c>
      <c r="E336" s="56">
        <v>2938.7665748699992</v>
      </c>
      <c r="F336" s="56">
        <v>2671.6884775399994</v>
      </c>
      <c r="G336" s="56">
        <v>2951.724612269998</v>
      </c>
      <c r="H336" s="56">
        <v>3079.3702207299993</v>
      </c>
      <c r="I336" s="44">
        <f t="shared" si="68"/>
        <v>-407.68174318999991</v>
      </c>
      <c r="J336" s="51">
        <f t="shared" si="66"/>
        <v>-9.0881017775906334E-2</v>
      </c>
      <c r="K336" s="51">
        <f t="shared" si="67"/>
        <v>4.3244416477537372E-2</v>
      </c>
    </row>
    <row r="337" spans="2:28" ht="15.75" customHeight="1">
      <c r="C337" s="61"/>
      <c r="D337" s="44" t="str">
        <f>IF(Indice_index!$Z$1=1,"maio","May")</f>
        <v>May</v>
      </c>
      <c r="E337" s="39">
        <v>3494.303918560001</v>
      </c>
      <c r="F337" s="39">
        <v>3341.3897874799991</v>
      </c>
      <c r="G337" s="39">
        <v>3749.497626999997</v>
      </c>
      <c r="H337" s="39">
        <v>3676.3742494699991</v>
      </c>
      <c r="I337" s="24">
        <f t="shared" si="68"/>
        <v>-334.98446199</v>
      </c>
      <c r="J337" s="240">
        <f t="shared" si="66"/>
        <v>-4.3760970609281642E-2</v>
      </c>
      <c r="K337" s="240">
        <f t="shared" si="67"/>
        <v>-1.9502179972975344E-2</v>
      </c>
      <c r="M337" s="223"/>
      <c r="N337" s="223"/>
    </row>
    <row r="338" spans="2:28" ht="15.75" customHeight="1">
      <c r="C338" s="61"/>
      <c r="D338" s="44" t="str">
        <f>IF(Indice_index!$Z$1=1,"junho","June")</f>
        <v>June</v>
      </c>
      <c r="E338" s="39">
        <v>4009.9053587200001</v>
      </c>
      <c r="F338" s="39">
        <v>4117.5489933600002</v>
      </c>
      <c r="G338" s="39">
        <v>4655.508461620002</v>
      </c>
      <c r="H338" s="39">
        <v>4598.7729694300006</v>
      </c>
      <c r="I338" s="24">
        <f t="shared" si="68"/>
        <v>-481.22397607000039</v>
      </c>
      <c r="J338" s="240">
        <f t="shared" si="66"/>
        <v>2.6844432726053399E-2</v>
      </c>
      <c r="K338" s="240">
        <f t="shared" si="67"/>
        <v>-1.2186744510879671E-2</v>
      </c>
      <c r="M338" s="223"/>
      <c r="N338" s="223"/>
    </row>
    <row r="339" spans="2:28" ht="15.75" customHeight="1">
      <c r="C339" s="61"/>
      <c r="D339" s="44" t="str">
        <f>IF(Indice_index!$Z$1=1,"julho","July")</f>
        <v>July</v>
      </c>
      <c r="E339" s="56">
        <v>4679.5154892800001</v>
      </c>
      <c r="F339" s="56">
        <v>4900.9647819099991</v>
      </c>
      <c r="G339" s="56">
        <v>5407.1853012899992</v>
      </c>
      <c r="H339" s="56">
        <v>5600.7334392799994</v>
      </c>
      <c r="I339" s="44">
        <f t="shared" si="68"/>
        <v>-699.76865737000026</v>
      </c>
      <c r="J339" s="51">
        <f t="shared" si="66"/>
        <v>4.7323124186104931E-2</v>
      </c>
      <c r="K339" s="51">
        <f t="shared" si="67"/>
        <v>3.5794619049549711E-2</v>
      </c>
      <c r="M339" s="223"/>
      <c r="N339" s="223"/>
    </row>
    <row r="340" spans="2:28" ht="15.75" customHeight="1">
      <c r="C340" s="61"/>
      <c r="D340" s="44" t="str">
        <f>IF(Indice_index!$Z$1=1,"agosto","August")</f>
        <v>August</v>
      </c>
      <c r="E340" s="56">
        <v>5428.1510933500031</v>
      </c>
      <c r="F340" s="56">
        <v>5564.5769605999985</v>
      </c>
      <c r="G340" s="56">
        <v>6270.0042153899985</v>
      </c>
      <c r="H340" s="56">
        <v>6314.1140641799957</v>
      </c>
      <c r="I340" s="44">
        <f>IF(F340="","",+F340-H340)</f>
        <v>-749.53710357999717</v>
      </c>
      <c r="J340" s="51">
        <f t="shared" si="66"/>
        <v>2.5133026863811882E-2</v>
      </c>
      <c r="K340" s="51">
        <f t="shared" si="67"/>
        <v>7.0350588731228625E-3</v>
      </c>
      <c r="M340" s="223"/>
      <c r="N340" s="223"/>
    </row>
    <row r="341" spans="2:28" ht="15.75" customHeight="1">
      <c r="C341" s="61"/>
      <c r="D341" s="44" t="str">
        <f>IF(Indice_index!$Z$1=1,"setembro","September")</f>
        <v>September</v>
      </c>
      <c r="E341" s="56">
        <v>6282.7049089800012</v>
      </c>
      <c r="F341" s="56">
        <v>6506.6881331574305</v>
      </c>
      <c r="G341" s="56">
        <v>7077.9842946800036</v>
      </c>
      <c r="H341" s="56">
        <v>7275.703592447433</v>
      </c>
      <c r="I341" s="44">
        <f>IF(F341="","",+F341-H341)</f>
        <v>-769.01545929000258</v>
      </c>
      <c r="J341" s="51">
        <f t="shared" si="66"/>
        <v>3.565076307456131E-2</v>
      </c>
      <c r="K341" s="51">
        <f t="shared" si="67"/>
        <v>2.7934407528431564E-2</v>
      </c>
      <c r="M341" s="223"/>
      <c r="N341" s="223"/>
    </row>
    <row r="342" spans="2:28" ht="15.75" customHeight="1">
      <c r="C342" s="61"/>
      <c r="D342" s="44" t="str">
        <f>IF(Indice_index!$Z$1=1,"outubro","October")</f>
        <v>October</v>
      </c>
      <c r="E342" s="56">
        <v>7048.0210914500021</v>
      </c>
      <c r="F342" s="56">
        <v>7091.4605809999994</v>
      </c>
      <c r="G342" s="56">
        <v>7985.6037374200023</v>
      </c>
      <c r="H342" s="56">
        <v>7910.9671862600007</v>
      </c>
      <c r="I342" s="44">
        <f>IF(F342="","",+F342-H342)</f>
        <v>-819.50660526000138</v>
      </c>
      <c r="J342" s="51">
        <f t="shared" si="66"/>
        <v>6.1633597553636642E-3</v>
      </c>
      <c r="K342" s="51">
        <f t="shared" si="67"/>
        <v>-9.3463880270266454E-3</v>
      </c>
      <c r="M342" s="223"/>
      <c r="N342" s="223"/>
    </row>
    <row r="343" spans="2:28" ht="15.75" customHeight="1">
      <c r="C343" s="61"/>
      <c r="D343" s="44" t="str">
        <f>IF(Indice_index!$Z$1=1,"novembro","November")</f>
        <v>November</v>
      </c>
      <c r="E343" s="56">
        <v>7756.1018196999985</v>
      </c>
      <c r="F343" s="56">
        <v>7918.3238814099977</v>
      </c>
      <c r="G343" s="56">
        <v>8710.4943230000063</v>
      </c>
      <c r="H343" s="56">
        <v>8634.5047891700033</v>
      </c>
      <c r="I343" s="44">
        <f>IF(F343="","",+F343-H343)</f>
        <v>-716.18090776000554</v>
      </c>
      <c r="J343" s="51">
        <f>IF(F343="","",IF(E343=0,"-",(F343-E343)/E343))</f>
        <v>2.0915411566409001E-2</v>
      </c>
      <c r="K343" s="51">
        <f>IF(H343="","",IF(G343=0,"-",(H343-G343)/G343))</f>
        <v>-8.7239060163730418E-3</v>
      </c>
      <c r="M343" s="223"/>
      <c r="N343" s="223"/>
    </row>
    <row r="344" spans="2:28" ht="15.75" customHeight="1">
      <c r="C344" s="61"/>
      <c r="D344" s="44" t="str">
        <f>IF(Indice_index!$Z$1=1,"dezembro","December")</f>
        <v>December</v>
      </c>
      <c r="E344" s="56">
        <v>8968.883589840003</v>
      </c>
      <c r="F344" s="56">
        <v>9179.6857596399987</v>
      </c>
      <c r="G344" s="56">
        <v>10159.104559720001</v>
      </c>
      <c r="H344" s="56">
        <v>10179.574335309999</v>
      </c>
      <c r="I344" s="44">
        <f>IF(F344="","",+F344-H344)</f>
        <v>-999.88857567000014</v>
      </c>
      <c r="J344" s="51">
        <f>IF(F344="","",IF(E344=0,"-",(F344-E344)/E344))</f>
        <v>2.3503724592745686E-2</v>
      </c>
      <c r="K344" s="51">
        <f>IF(H344="","",IF(G344=0,"-",(H344-G344)/G344))</f>
        <v>2.0149192745942224E-3</v>
      </c>
      <c r="M344" s="223"/>
      <c r="N344" s="223"/>
    </row>
    <row r="345" spans="2:28" ht="15.75" customHeight="1">
      <c r="B345" s="36"/>
      <c r="C345" s="36"/>
      <c r="D345" s="45"/>
      <c r="E345" s="45"/>
      <c r="F345" s="45"/>
      <c r="G345" s="45"/>
      <c r="H345" s="45"/>
      <c r="I345" s="45"/>
      <c r="J345" s="67"/>
      <c r="K345" s="67"/>
      <c r="M345" s="42"/>
      <c r="O345" s="272"/>
      <c r="P345" s="272"/>
      <c r="Q345" s="272"/>
    </row>
    <row r="346" spans="2:28" s="47" customFormat="1" ht="15.75" customHeight="1">
      <c r="C346" s="32" t="s">
        <v>136</v>
      </c>
      <c r="D346" s="85" t="str">
        <f>IF(Indice_index!$Z$1=1,"janeiro","January")</f>
        <v>January</v>
      </c>
      <c r="E346" s="85">
        <v>593.13570087999994</v>
      </c>
      <c r="F346" s="85">
        <v>597.56674292000002</v>
      </c>
      <c r="G346" s="85">
        <v>429.01755796999947</v>
      </c>
      <c r="H346" s="85">
        <v>470.44507028999982</v>
      </c>
      <c r="I346" s="85">
        <f t="shared" ref="I346:I370" si="69">IF(F346="","",+F346-H346)</f>
        <v>127.12167263000021</v>
      </c>
      <c r="J346" s="219">
        <f t="shared" ref="J346:J370" si="70">IF(F346="","",IF(E346=0,"-",(F346-E346)/E346))</f>
        <v>7.470536731183113E-3</v>
      </c>
      <c r="K346" s="219">
        <f t="shared" ref="K346:K370" si="71">IF(H346="","",IF(G346=0,"-",(H346-G346)/G346))</f>
        <v>9.6563675659394124E-2</v>
      </c>
      <c r="L346"/>
      <c r="M346" s="218"/>
      <c r="O346" s="273"/>
      <c r="P346" s="273"/>
      <c r="Q346" s="272"/>
      <c r="Z346" s="14"/>
      <c r="AA346" s="14"/>
      <c r="AB346" s="14"/>
    </row>
    <row r="347" spans="2:28" s="47" customFormat="1" ht="15.75" customHeight="1">
      <c r="C347" s="85"/>
      <c r="D347" s="85" t="str">
        <f>IF(Indice_index!$Z$1=1,"fevereiro","February")</f>
        <v>February</v>
      </c>
      <c r="E347" s="85">
        <v>1200.0495790800005</v>
      </c>
      <c r="F347" s="85">
        <v>1192.3228386100002</v>
      </c>
      <c r="G347" s="85">
        <v>1298.2173830800002</v>
      </c>
      <c r="H347" s="85">
        <v>1440.6853193099996</v>
      </c>
      <c r="I347" s="85">
        <f t="shared" si="69"/>
        <v>-248.36248069999942</v>
      </c>
      <c r="J347" s="219">
        <f t="shared" si="70"/>
        <v>-6.4386843716273028E-3</v>
      </c>
      <c r="K347" s="219">
        <f t="shared" si="71"/>
        <v>0.10974120211824345</v>
      </c>
      <c r="L347"/>
      <c r="M347" s="218"/>
      <c r="O347" s="273"/>
      <c r="P347" s="274"/>
      <c r="Q347" s="273"/>
      <c r="Z347" s="14"/>
      <c r="AA347" s="14"/>
      <c r="AB347" s="14"/>
    </row>
    <row r="348" spans="2:28" s="47" customFormat="1" ht="15.75" customHeight="1">
      <c r="C348" s="85"/>
      <c r="D348" s="85" t="str">
        <f>IF(Indice_index!$Z$1=1,"março","March")</f>
        <v>March</v>
      </c>
      <c r="E348" s="85">
        <v>1893.5304666500003</v>
      </c>
      <c r="F348" s="85">
        <v>1968.9888977599996</v>
      </c>
      <c r="G348" s="85">
        <v>2137.7103450499999</v>
      </c>
      <c r="H348" s="85">
        <v>2222.9918475800005</v>
      </c>
      <c r="I348" s="85">
        <f t="shared" si="69"/>
        <v>-254.00294982000082</v>
      </c>
      <c r="J348" s="219">
        <f t="shared" si="70"/>
        <v>3.9850655925013447E-2</v>
      </c>
      <c r="K348" s="219">
        <f t="shared" si="71"/>
        <v>3.989385312536619E-2</v>
      </c>
      <c r="L348"/>
      <c r="M348" s="218"/>
      <c r="O348" s="273"/>
      <c r="P348" s="273"/>
      <c r="Q348" s="273"/>
      <c r="Z348" s="14"/>
      <c r="AA348" s="14"/>
      <c r="AB348" s="14"/>
    </row>
    <row r="349" spans="2:28" s="47" customFormat="1" ht="15.75" customHeight="1">
      <c r="C349" s="85"/>
      <c r="D349" s="85" t="str">
        <f>IF(Indice_index!$Z$1=1,"abril","April")</f>
        <v>April</v>
      </c>
      <c r="E349" s="85">
        <v>2527.8086274599996</v>
      </c>
      <c r="F349" s="85">
        <v>2624.4590183943355</v>
      </c>
      <c r="G349" s="85">
        <v>2932.5400303199986</v>
      </c>
      <c r="H349" s="85">
        <v>2992.3908002343378</v>
      </c>
      <c r="I349" s="85">
        <f t="shared" si="69"/>
        <v>-367.93178184000226</v>
      </c>
      <c r="J349" s="219">
        <f t="shared" si="70"/>
        <v>3.8234852862043006E-2</v>
      </c>
      <c r="K349" s="219">
        <f t="shared" si="71"/>
        <v>2.04091911092543E-2</v>
      </c>
      <c r="L349"/>
      <c r="M349" s="218"/>
      <c r="N349"/>
      <c r="O349"/>
      <c r="P349"/>
      <c r="Q349"/>
      <c r="Z349" s="14"/>
      <c r="AA349" s="14"/>
      <c r="AB349" s="14"/>
    </row>
    <row r="350" spans="2:28" s="47" customFormat="1" ht="15.75" customHeight="1">
      <c r="C350" s="85"/>
      <c r="D350" s="85" t="str">
        <f>IF(Indice_index!$Z$1=1,"maio","May")</f>
        <v>May</v>
      </c>
      <c r="E350" s="85">
        <v>3180.5127251499998</v>
      </c>
      <c r="F350" s="85">
        <v>3453.0054591200005</v>
      </c>
      <c r="G350" s="85">
        <v>3506.3432289599996</v>
      </c>
      <c r="H350" s="85">
        <v>3898.2173020399996</v>
      </c>
      <c r="I350" s="85">
        <f t="shared" si="69"/>
        <v>-445.21184291999907</v>
      </c>
      <c r="J350" s="219">
        <f t="shared" si="70"/>
        <v>8.5675725116663187E-2</v>
      </c>
      <c r="K350" s="219">
        <f t="shared" si="71"/>
        <v>0.11176146985366062</v>
      </c>
      <c r="M350"/>
      <c r="N350"/>
      <c r="O350"/>
      <c r="P350"/>
      <c r="Q350"/>
      <c r="Z350" s="14"/>
      <c r="AA350" s="14"/>
      <c r="AB350" s="14"/>
    </row>
    <row r="351" spans="2:28" s="47" customFormat="1" ht="15.75" customHeight="1">
      <c r="C351" s="85"/>
      <c r="D351" s="40" t="str">
        <f>IF(Indice_index!$Z$1=1,"junho","June")</f>
        <v>June</v>
      </c>
      <c r="E351" s="40">
        <v>4106.0747264599995</v>
      </c>
      <c r="F351" s="40">
        <v>4293.2354523700014</v>
      </c>
      <c r="G351" s="40">
        <v>4553.9881566500026</v>
      </c>
      <c r="H351" s="40">
        <v>5034.8187951999998</v>
      </c>
      <c r="I351" s="40">
        <f t="shared" si="69"/>
        <v>-741.5833428299984</v>
      </c>
      <c r="J351" s="241">
        <f t="shared" si="70"/>
        <v>4.558142225320877E-2</v>
      </c>
      <c r="K351" s="241">
        <f t="shared" si="71"/>
        <v>0.10558451669397953</v>
      </c>
      <c r="L351"/>
      <c r="M351"/>
      <c r="N351"/>
      <c r="O351"/>
      <c r="P351"/>
      <c r="Q351"/>
      <c r="Z351" s="14"/>
      <c r="AA351" s="14"/>
      <c r="AB351" s="14"/>
    </row>
    <row r="352" spans="2:28" s="47" customFormat="1" ht="15.75" customHeight="1">
      <c r="C352" s="85"/>
      <c r="D352" s="45" t="str">
        <f>IF(Indice_index!$Z$1=1,"julho","July")</f>
        <v>July</v>
      </c>
      <c r="E352" s="45">
        <v>4886.795906360001</v>
      </c>
      <c r="F352" s="45">
        <v>4979.9272551300019</v>
      </c>
      <c r="G352" s="45">
        <v>5550.4574405999992</v>
      </c>
      <c r="H352" s="45">
        <v>5750.6084295600031</v>
      </c>
      <c r="I352" s="45">
        <f t="shared" si="69"/>
        <v>-770.68117443000119</v>
      </c>
      <c r="J352" s="221">
        <f t="shared" si="70"/>
        <v>1.9057752882372991E-2</v>
      </c>
      <c r="K352" s="221">
        <f t="shared" si="71"/>
        <v>3.606026910430065E-2</v>
      </c>
      <c r="L352"/>
      <c r="M352"/>
      <c r="N352"/>
      <c r="O352"/>
      <c r="P352"/>
      <c r="Q352"/>
      <c r="Z352" s="14"/>
      <c r="AA352" s="14"/>
      <c r="AB352" s="14"/>
    </row>
    <row r="353" spans="3:28" s="47" customFormat="1" ht="15.75" customHeight="1">
      <c r="C353" s="85"/>
      <c r="D353" s="45" t="str">
        <f>IF(Indice_index!$Z$1=1,"agosto","August")</f>
        <v>August</v>
      </c>
      <c r="E353" s="45">
        <v>5549.6600380399996</v>
      </c>
      <c r="F353" s="45">
        <v>5726.8893815899992</v>
      </c>
      <c r="G353" s="45">
        <v>6258.01937516</v>
      </c>
      <c r="H353" s="45">
        <v>6479.3793837300009</v>
      </c>
      <c r="I353" s="45">
        <f t="shared" si="69"/>
        <v>-752.49000214000171</v>
      </c>
      <c r="J353" s="221">
        <f t="shared" si="70"/>
        <v>3.1935171224036378E-2</v>
      </c>
      <c r="K353" s="221">
        <f t="shared" si="71"/>
        <v>3.5372215280867737E-2</v>
      </c>
      <c r="L353"/>
      <c r="M353"/>
      <c r="N353"/>
      <c r="O353"/>
      <c r="P353"/>
      <c r="Q353"/>
      <c r="Z353" s="14"/>
      <c r="AA353" s="14"/>
      <c r="AB353" s="14"/>
    </row>
    <row r="354" spans="3:28" s="47" customFormat="1" ht="15.75" customHeight="1">
      <c r="C354" s="45"/>
      <c r="D354" s="45" t="str">
        <f>IF(Indice_index!$Z$1=1,"setembro","September")</f>
        <v>September</v>
      </c>
      <c r="E354" s="45">
        <v>6488.0088481999983</v>
      </c>
      <c r="F354" s="45">
        <v>6360.4404072499992</v>
      </c>
      <c r="G354" s="45">
        <v>7220.5925660999992</v>
      </c>
      <c r="H354" s="45">
        <v>7187.8782135199972</v>
      </c>
      <c r="I354" s="45">
        <f t="shared" si="69"/>
        <v>-827.43780626999796</v>
      </c>
      <c r="J354" s="221">
        <f t="shared" si="70"/>
        <v>-1.9662186648433905E-2</v>
      </c>
      <c r="K354" s="221">
        <f t="shared" si="71"/>
        <v>-4.5307019168472143E-3</v>
      </c>
      <c r="L354"/>
      <c r="M354"/>
      <c r="N354"/>
      <c r="O354"/>
      <c r="P354"/>
      <c r="Q354"/>
      <c r="Z354" s="14"/>
      <c r="AA354" s="14"/>
      <c r="AB354" s="14"/>
    </row>
    <row r="355" spans="3:28" ht="15.75" customHeight="1">
      <c r="C355" s="45"/>
      <c r="D355" s="45" t="str">
        <f>IF(Indice_index!$Z$1=1,"outubro","October")</f>
        <v>October</v>
      </c>
      <c r="E355" s="45">
        <v>7072.5318029999999</v>
      </c>
      <c r="F355" s="45">
        <v>7066.2713356100021</v>
      </c>
      <c r="G355" s="45">
        <v>7985.1577932599994</v>
      </c>
      <c r="H355" s="45">
        <v>7946.8783264399972</v>
      </c>
      <c r="I355" s="45">
        <f t="shared" si="69"/>
        <v>-880.60699082999508</v>
      </c>
      <c r="J355" s="221">
        <f t="shared" si="70"/>
        <v>-8.8518052154141114E-4</v>
      </c>
      <c r="K355" s="221">
        <f t="shared" si="71"/>
        <v>-4.7938272243427168E-3</v>
      </c>
      <c r="L355" s="381"/>
      <c r="M355" s="381"/>
      <c r="N355" s="381"/>
      <c r="O355" s="381"/>
      <c r="P355"/>
      <c r="Q355"/>
    </row>
    <row r="356" spans="3:28" s="36" customFormat="1" ht="15.75" customHeight="1">
      <c r="C356" s="45"/>
      <c r="D356" s="45" t="str">
        <f>IF(Indice_index!$Z$1=1,"novembro","November")</f>
        <v>November</v>
      </c>
      <c r="E356" s="45">
        <v>7898.6234714100019</v>
      </c>
      <c r="F356" s="45">
        <v>7788.4320409499996</v>
      </c>
      <c r="G356" s="45">
        <v>8703.1270271699959</v>
      </c>
      <c r="H356" s="45">
        <v>8677.6922302800031</v>
      </c>
      <c r="I356" s="45">
        <f t="shared" si="69"/>
        <v>-889.26018933000341</v>
      </c>
      <c r="J356" s="221">
        <f t="shared" si="70"/>
        <v>-1.3950713166522386E-2</v>
      </c>
      <c r="K356" s="221">
        <f t="shared" si="71"/>
        <v>-2.9224894466769059E-3</v>
      </c>
      <c r="L356" s="236"/>
      <c r="M356" s="236"/>
      <c r="N356" s="236"/>
      <c r="O356" s="236"/>
      <c r="P356" s="236"/>
      <c r="Q356" s="236"/>
      <c r="Z356" s="54"/>
      <c r="AA356" s="54"/>
      <c r="AB356" s="54"/>
    </row>
    <row r="357" spans="3:28" s="36" customFormat="1" ht="15.75" customHeight="1">
      <c r="C357" s="45"/>
      <c r="D357" s="45" t="str">
        <f>IF(Indice_index!$Z$1=1,"dezembro","December")</f>
        <v>December</v>
      </c>
      <c r="E357" s="45">
        <v>9179.6857596400041</v>
      </c>
      <c r="F357" s="45">
        <v>9318.0409290200023</v>
      </c>
      <c r="G357" s="45">
        <v>10179.574335310004</v>
      </c>
      <c r="H357" s="45">
        <v>10469.178622609998</v>
      </c>
      <c r="I357" s="45">
        <f t="shared" si="69"/>
        <v>-1151.1376935899953</v>
      </c>
      <c r="J357" s="221">
        <f t="shared" si="70"/>
        <v>1.5071885138846408E-2</v>
      </c>
      <c r="K357" s="221">
        <f t="shared" si="71"/>
        <v>2.844954786522258E-2</v>
      </c>
      <c r="L357" s="236"/>
      <c r="M357" s="236"/>
      <c r="N357" s="236"/>
      <c r="O357" s="236"/>
      <c r="P357" s="236"/>
      <c r="Q357" s="236"/>
      <c r="Z357" s="54"/>
      <c r="AA357" s="54"/>
      <c r="AB357" s="54"/>
    </row>
    <row r="358" spans="3:28" s="36" customFormat="1" ht="15.75" customHeight="1">
      <c r="C358" s="45"/>
      <c r="D358" s="45"/>
      <c r="E358" s="45"/>
      <c r="F358" s="45"/>
      <c r="G358" s="45"/>
      <c r="H358" s="45"/>
      <c r="I358" s="45"/>
      <c r="J358" s="221"/>
      <c r="K358" s="221"/>
      <c r="L358" s="236"/>
      <c r="M358" s="236"/>
      <c r="N358" s="236"/>
      <c r="O358" s="236"/>
      <c r="P358" s="236"/>
      <c r="Q358" s="236"/>
      <c r="Z358" s="54"/>
      <c r="AA358" s="54"/>
      <c r="AB358" s="54"/>
    </row>
    <row r="359" spans="3:28" s="47" customFormat="1" ht="15.75" customHeight="1">
      <c r="C359" s="32" t="s">
        <v>149</v>
      </c>
      <c r="D359" s="85" t="str">
        <f>IF(Indice_index!$Z$1=1,"janeiro","January")</f>
        <v>January</v>
      </c>
      <c r="E359" s="85">
        <v>598.54998020000028</v>
      </c>
      <c r="F359" s="85">
        <v>549.45067003634381</v>
      </c>
      <c r="G359" s="85">
        <v>470.54850865999992</v>
      </c>
      <c r="H359" s="85">
        <v>690.15216545634428</v>
      </c>
      <c r="I359" s="85">
        <f t="shared" si="69"/>
        <v>-140.70149542000047</v>
      </c>
      <c r="J359" s="219">
        <f t="shared" si="70"/>
        <v>-8.2030426510498522E-2</v>
      </c>
      <c r="K359" s="219">
        <f t="shared" si="71"/>
        <v>0.46669716884603163</v>
      </c>
      <c r="L359"/>
      <c r="M359" s="218"/>
      <c r="O359" s="273"/>
      <c r="P359" s="273"/>
      <c r="Q359" s="272"/>
      <c r="Z359" s="14"/>
      <c r="AA359" s="14"/>
      <c r="AB359" s="14"/>
    </row>
    <row r="360" spans="3:28" s="47" customFormat="1" ht="15.75" customHeight="1">
      <c r="C360" s="85"/>
      <c r="D360" s="85" t="str">
        <f>IF(Indice_index!$Z$1=1,"fevereiro","February")</f>
        <v>February</v>
      </c>
      <c r="E360" s="85">
        <v>1192.2954750000001</v>
      </c>
      <c r="F360" s="85">
        <v>1269.2476927863531</v>
      </c>
      <c r="G360" s="85">
        <v>1439.9015545300006</v>
      </c>
      <c r="H360" s="85">
        <v>1698.4020990163535</v>
      </c>
      <c r="I360" s="85">
        <f t="shared" si="69"/>
        <v>-429.1544062300004</v>
      </c>
      <c r="J360" s="219">
        <f t="shared" si="70"/>
        <v>6.4541231095717272E-2</v>
      </c>
      <c r="K360" s="219">
        <f t="shared" si="71"/>
        <v>0.17952654032013343</v>
      </c>
      <c r="L360"/>
      <c r="M360" s="218"/>
      <c r="O360" s="273"/>
      <c r="P360" s="274"/>
      <c r="Q360" s="273"/>
      <c r="Z360" s="14"/>
      <c r="AA360" s="14"/>
      <c r="AB360" s="14"/>
    </row>
    <row r="361" spans="3:28" s="47" customFormat="1" ht="15.75" customHeight="1">
      <c r="C361" s="85"/>
      <c r="D361" s="85" t="str">
        <f>IF(Indice_index!$Z$1=1,"março","March")</f>
        <v>March</v>
      </c>
      <c r="E361" s="85">
        <v>1962.7129437599997</v>
      </c>
      <c r="F361" s="85">
        <v>1898.9315005045307</v>
      </c>
      <c r="G361" s="85">
        <v>2221.0037119899989</v>
      </c>
      <c r="H361" s="85">
        <v>2796.8625452345286</v>
      </c>
      <c r="I361" s="85">
        <f t="shared" si="69"/>
        <v>-897.93104472999789</v>
      </c>
      <c r="J361" s="219">
        <f t="shared" si="70"/>
        <v>-3.249657238887E-2</v>
      </c>
      <c r="K361" s="219">
        <f t="shared" si="71"/>
        <v>0.2592786451169708</v>
      </c>
      <c r="L361"/>
      <c r="M361" s="218"/>
      <c r="O361" s="273"/>
      <c r="P361" s="273"/>
      <c r="Q361" s="273"/>
      <c r="Z361" s="14"/>
      <c r="AA361" s="14"/>
      <c r="AB361" s="14"/>
    </row>
    <row r="362" spans="3:28" s="47" customFormat="1" ht="15.75" customHeight="1">
      <c r="C362" s="85"/>
      <c r="D362" s="85" t="str">
        <f>IF(Indice_index!$Z$1=1,"abril","April")</f>
        <v>April</v>
      </c>
      <c r="E362" s="85">
        <v>2622.8219943499989</v>
      </c>
      <c r="F362" s="85">
        <v>2672.1609393227068</v>
      </c>
      <c r="G362" s="85">
        <v>2990.1547998499996</v>
      </c>
      <c r="H362" s="85">
        <v>3674.5765242427074</v>
      </c>
      <c r="I362" s="85">
        <f t="shared" si="69"/>
        <v>-1002.4155849200006</v>
      </c>
      <c r="J362" s="219">
        <f t="shared" si="70"/>
        <v>1.8811396686085544E-2</v>
      </c>
      <c r="K362" s="219">
        <f t="shared" si="71"/>
        <v>0.22889173645024721</v>
      </c>
      <c r="L362"/>
      <c r="M362" s="218"/>
      <c r="N362"/>
      <c r="O362"/>
      <c r="P362"/>
      <c r="Q362"/>
      <c r="Z362" s="14"/>
      <c r="AA362" s="14"/>
      <c r="AB362" s="14"/>
    </row>
    <row r="363" spans="3:28" s="47" customFormat="1" ht="15.75" customHeight="1">
      <c r="C363" s="85"/>
      <c r="D363" s="85" t="str">
        <f>IF(Indice_index!$Z$1=1,"maio","May")</f>
        <v>May</v>
      </c>
      <c r="E363" s="85">
        <v>3446.1032853400011</v>
      </c>
      <c r="F363" s="85">
        <v>3498.3596016608822</v>
      </c>
      <c r="G363" s="85">
        <v>3898.9374758099984</v>
      </c>
      <c r="H363" s="85">
        <v>4407.8111910708867</v>
      </c>
      <c r="I363" s="85">
        <f t="shared" si="69"/>
        <v>-909.45158941000454</v>
      </c>
      <c r="J363" s="219">
        <f t="shared" si="70"/>
        <v>1.5163885697559797E-2</v>
      </c>
      <c r="K363" s="219">
        <f t="shared" si="71"/>
        <v>0.13051599786302562</v>
      </c>
      <c r="M363"/>
      <c r="N363"/>
      <c r="O363"/>
      <c r="P363"/>
      <c r="Q363"/>
      <c r="Z363" s="14"/>
      <c r="AA363" s="14"/>
      <c r="AB363" s="14"/>
    </row>
    <row r="364" spans="3:28" s="47" customFormat="1" ht="15.75" customHeight="1">
      <c r="C364" s="85"/>
      <c r="D364" s="40" t="str">
        <f>IF(Indice_index!$Z$1=1,"junho","June")</f>
        <v>June</v>
      </c>
      <c r="E364" s="40">
        <v>4286.817844799999</v>
      </c>
      <c r="F364" s="40">
        <v>4467.2205804999985</v>
      </c>
      <c r="G364" s="40">
        <v>5036.0305324399969</v>
      </c>
      <c r="H364" s="40">
        <v>5509.1989945699979</v>
      </c>
      <c r="I364" s="40">
        <f t="shared" si="69"/>
        <v>-1041.9784140699994</v>
      </c>
      <c r="J364" s="241">
        <f t="shared" si="70"/>
        <v>4.2083135377173043E-2</v>
      </c>
      <c r="K364" s="241">
        <f t="shared" si="71"/>
        <v>9.3956630938205832E-2</v>
      </c>
      <c r="L364"/>
      <c r="M364"/>
      <c r="N364"/>
      <c r="O364"/>
      <c r="P364"/>
      <c r="Q364"/>
      <c r="Z364" s="14"/>
      <c r="AA364" s="14"/>
      <c r="AB364" s="14"/>
    </row>
    <row r="365" spans="3:28" s="47" customFormat="1" ht="15.75" customHeight="1">
      <c r="C365" s="85"/>
      <c r="D365" s="45" t="str">
        <f>IF(Indice_index!$Z$1=1,"julho","July")</f>
        <v>July</v>
      </c>
      <c r="E365" s="45">
        <v>4968.101007090002</v>
      </c>
      <c r="F365" s="45">
        <v>5282.5570624599995</v>
      </c>
      <c r="G365" s="45">
        <v>5751.3852130699997</v>
      </c>
      <c r="H365" s="45">
        <v>6452.9700449200009</v>
      </c>
      <c r="I365" s="45">
        <f t="shared" si="69"/>
        <v>-1170.4129824600013</v>
      </c>
      <c r="J365" s="221">
        <f t="shared" si="70"/>
        <v>6.3295020556392828E-2</v>
      </c>
      <c r="K365" s="221">
        <f t="shared" si="71"/>
        <v>0.12198536628283087</v>
      </c>
      <c r="L365"/>
      <c r="M365"/>
      <c r="N365"/>
      <c r="O365"/>
      <c r="P365"/>
      <c r="Q365"/>
      <c r="Z365" s="14"/>
      <c r="AA365" s="14"/>
      <c r="AB365" s="14"/>
    </row>
    <row r="366" spans="3:28" s="47" customFormat="1" ht="15.75" customHeight="1">
      <c r="C366" s="85"/>
      <c r="D366" s="45" t="str">
        <f>IF(Indice_index!$Z$1=1,"agosto","August")</f>
        <v>August</v>
      </c>
      <c r="E366" s="45">
        <v>5712.4113543900003</v>
      </c>
      <c r="F366" s="45">
        <v>6022.5329914599988</v>
      </c>
      <c r="G366" s="45">
        <v>6484.9639892499981</v>
      </c>
      <c r="H366" s="45">
        <v>7238.1903434799988</v>
      </c>
      <c r="I366" s="45">
        <f t="shared" si="69"/>
        <v>-1215.65735202</v>
      </c>
      <c r="J366" s="221">
        <f t="shared" si="70"/>
        <v>5.4289094014854059E-2</v>
      </c>
      <c r="K366" s="221">
        <f t="shared" si="71"/>
        <v>0.11614965873035066</v>
      </c>
      <c r="L366"/>
      <c r="M366"/>
      <c r="N366"/>
      <c r="O366"/>
      <c r="P366"/>
      <c r="Q366"/>
      <c r="Z366" s="14"/>
      <c r="AA366" s="14"/>
      <c r="AB366" s="14"/>
    </row>
    <row r="367" spans="3:28" s="47" customFormat="1" ht="15.75" customHeight="1">
      <c r="C367" s="45"/>
      <c r="D367" s="45" t="str">
        <f>IF(Indice_index!$Z$1=1,"setembro","September")</f>
        <v>September</v>
      </c>
      <c r="E367" s="45">
        <v>6354.0312881600012</v>
      </c>
      <c r="F367" s="45">
        <v>6842.6539306200002</v>
      </c>
      <c r="G367" s="45">
        <v>7186.3495778899978</v>
      </c>
      <c r="H367" s="45">
        <v>7997.4739838300047</v>
      </c>
      <c r="I367" s="45">
        <f t="shared" si="69"/>
        <v>-1154.8200532100045</v>
      </c>
      <c r="J367" s="221">
        <f t="shared" si="70"/>
        <v>7.6899628015759156E-2</v>
      </c>
      <c r="K367" s="221">
        <f t="shared" si="71"/>
        <v>0.11287015711503463</v>
      </c>
      <c r="L367"/>
      <c r="M367"/>
      <c r="N367"/>
      <c r="O367"/>
      <c r="P367"/>
      <c r="Q367"/>
      <c r="Z367" s="14"/>
      <c r="AA367" s="14"/>
      <c r="AB367" s="14"/>
    </row>
    <row r="368" spans="3:28" ht="15.75" customHeight="1">
      <c r="C368" s="45"/>
      <c r="D368" s="45" t="str">
        <f>IF(Indice_index!$Z$1=1,"outubro","October")</f>
        <v>October</v>
      </c>
      <c r="E368" s="45"/>
      <c r="F368" s="45"/>
      <c r="G368" s="45"/>
      <c r="H368" s="45"/>
      <c r="I368" s="45" t="str">
        <f t="shared" si="69"/>
        <v/>
      </c>
      <c r="J368" s="221" t="str">
        <f t="shared" si="70"/>
        <v/>
      </c>
      <c r="K368" s="221" t="str">
        <f t="shared" si="71"/>
        <v/>
      </c>
      <c r="L368" s="381"/>
      <c r="M368" s="381"/>
      <c r="N368" s="381"/>
      <c r="O368" s="381"/>
      <c r="P368"/>
      <c r="Q368"/>
    </row>
    <row r="369" spans="3:28" s="36" customFormat="1" ht="15.75" customHeight="1">
      <c r="C369" s="45"/>
      <c r="D369" s="45" t="str">
        <f>IF(Indice_index!$Z$1=1,"novembro","November")</f>
        <v>November</v>
      </c>
      <c r="E369" s="45"/>
      <c r="F369" s="45"/>
      <c r="G369" s="45"/>
      <c r="H369" s="45"/>
      <c r="I369" s="45" t="str">
        <f t="shared" si="69"/>
        <v/>
      </c>
      <c r="J369" s="221" t="str">
        <f t="shared" si="70"/>
        <v/>
      </c>
      <c r="K369" s="221" t="str">
        <f t="shared" si="71"/>
        <v/>
      </c>
      <c r="L369" s="236"/>
      <c r="M369" s="236"/>
      <c r="N369" s="236"/>
      <c r="O369" s="236"/>
      <c r="P369" s="236"/>
      <c r="Q369" s="236"/>
      <c r="Z369" s="54"/>
      <c r="AA369" s="54"/>
      <c r="AB369" s="54"/>
    </row>
    <row r="370" spans="3:28" s="36" customFormat="1" ht="15.75" customHeight="1">
      <c r="C370" s="99"/>
      <c r="D370" s="99" t="str">
        <f>IF(Indice_index!$Z$1=1,"dezembro","December")</f>
        <v>December</v>
      </c>
      <c r="E370" s="99"/>
      <c r="F370" s="99"/>
      <c r="G370" s="99"/>
      <c r="H370" s="99"/>
      <c r="I370" s="99" t="str">
        <f t="shared" si="69"/>
        <v/>
      </c>
      <c r="J370" s="268" t="str">
        <f t="shared" si="70"/>
        <v/>
      </c>
      <c r="K370" s="268" t="str">
        <f t="shared" si="71"/>
        <v/>
      </c>
      <c r="L370" s="236"/>
      <c r="M370" s="236"/>
      <c r="N370" s="236"/>
      <c r="O370" s="236"/>
      <c r="P370" s="236"/>
      <c r="Q370" s="236"/>
      <c r="Z370" s="54"/>
      <c r="AA370" s="54"/>
      <c r="AB370" s="54"/>
    </row>
    <row r="371" spans="3:28" ht="24" customHeight="1">
      <c r="C371" s="304"/>
      <c r="D371" s="304"/>
      <c r="E371" s="304"/>
      <c r="F371" s="304"/>
      <c r="G371" s="304"/>
      <c r="H371" s="304"/>
      <c r="I371" s="304"/>
      <c r="J371" s="304"/>
      <c r="K371" s="304"/>
    </row>
    <row r="372" spans="3:28" ht="15" customHeight="1">
      <c r="C372" s="55"/>
      <c r="D372" s="55"/>
      <c r="E372" s="55"/>
      <c r="F372" s="55"/>
      <c r="G372" s="55"/>
      <c r="H372" s="55"/>
      <c r="I372" s="55"/>
      <c r="J372" s="55"/>
      <c r="K372" s="55"/>
    </row>
    <row r="373" spans="3:28" ht="15" customHeight="1">
      <c r="C373" s="91" t="str">
        <f>IF(Indice_index!$Z$1=1,"1.4 Evolução da Receita, Despesa e Saldo da Segurança Social (valores acumulados)","1.4 Social Security Revenue, Expenditure and Balance Evolution (cumulative values)")</f>
        <v>1.4 Social Security Revenue, Expenditure and Balance Evolution (cumulative values)</v>
      </c>
      <c r="D373" s="49"/>
      <c r="E373" s="49"/>
      <c r="F373" s="49"/>
      <c r="G373" s="49"/>
      <c r="H373" s="49"/>
      <c r="I373" s="49"/>
      <c r="J373" s="50"/>
      <c r="K373" s="95" t="str">
        <f>IF(Indice_index!$Z$1=1,"€ Milhões","€ Millions")</f>
        <v>€ Millions</v>
      </c>
    </row>
    <row r="374" spans="3:28" ht="15" customHeight="1">
      <c r="C374" s="86"/>
      <c r="D374" s="86"/>
      <c r="E374" s="3" t="str">
        <f>IF(Indice_index!$Z$1=1,"Receita efetiva","Effective revenue")</f>
        <v>Effective revenue</v>
      </c>
      <c r="F374" s="3"/>
      <c r="G374" s="3" t="str">
        <f>IF(Indice_index!$Z$1=1,"Despesa  efetiva","Effective expenditure")</f>
        <v>Effective expenditure</v>
      </c>
      <c r="H374" s="3"/>
      <c r="I374" s="3" t="str">
        <f>IF(Indice_index!$Z$1=1,"Saldo global","Overall
balance")</f>
        <v>Overall
balance</v>
      </c>
      <c r="J374" s="1" t="str">
        <f>IF(Indice_index!$Z$1=1,"VH (%)","YOY Change Rate (%)")</f>
        <v>YOY Change Rate (%)</v>
      </c>
      <c r="K374" s="1"/>
    </row>
    <row r="375" spans="3:28" ht="15" customHeight="1">
      <c r="C375" s="87"/>
      <c r="D375" s="89"/>
      <c r="E375" s="2"/>
      <c r="F375" s="2"/>
      <c r="G375" s="2"/>
      <c r="H375" s="2"/>
      <c r="I375" s="2"/>
      <c r="J375" s="74" t="str">
        <f>IF(Indice_index!$Z$1=1,"Receita","Revenue")</f>
        <v>Revenue</v>
      </c>
      <c r="K375" s="88" t="str">
        <f>IF(Indice_index!$Z$1=1,"Despesa","Expenditure")</f>
        <v>Expenditure</v>
      </c>
    </row>
    <row r="376" spans="3:28" s="27" customFormat="1" ht="15.75" customHeight="1">
      <c r="C376" s="35"/>
      <c r="D376" s="36"/>
      <c r="E376" s="30" t="str">
        <f>IF(Indice_index!$Z$1=1,"Ano n-1","Year n-1")</f>
        <v>Year n-1</v>
      </c>
      <c r="F376" s="30" t="str">
        <f>IF(Indice_index!$Z$1=1,"Ano n","Year n")</f>
        <v>Year n</v>
      </c>
      <c r="G376" s="30" t="str">
        <f>IF(Indice_index!$Z$1=1,"Ano n-1","Year n-1")</f>
        <v>Year n-1</v>
      </c>
      <c r="H376" s="30" t="str">
        <f>IF(Indice_index!$Z$1=1,"Ano n","Year n")</f>
        <v>Year n</v>
      </c>
      <c r="I376" s="30" t="str">
        <f>IF(Indice_index!$Z$1=1,"Ano n","Year n")</f>
        <v>Year n</v>
      </c>
      <c r="J376" s="31" t="str">
        <f>IF(Indice_index!$Z$1=1,"Ano n","Year n")</f>
        <v>Year n</v>
      </c>
      <c r="K376" s="31" t="str">
        <f>IF(Indice_index!$Z$1=1,"Ano n","Year n")</f>
        <v>Year n</v>
      </c>
      <c r="L376"/>
      <c r="M376" s="28"/>
      <c r="Z376" s="14"/>
      <c r="AA376" s="14"/>
      <c r="AB376" s="14"/>
    </row>
    <row r="377" spans="3:28" s="27" customFormat="1" ht="15.75" customHeight="1">
      <c r="C377" s="32" t="s">
        <v>2</v>
      </c>
      <c r="D377" s="19" t="str">
        <f>IF(Indice_index!$Z$1=1,"janeiro","January")</f>
        <v>January</v>
      </c>
      <c r="E377" s="39">
        <v>1996.8926432999999</v>
      </c>
      <c r="F377" s="39">
        <v>1926.3779698999999</v>
      </c>
      <c r="G377" s="39">
        <v>1425.6979074999999</v>
      </c>
      <c r="H377" s="39">
        <v>1541.5801919</v>
      </c>
      <c r="I377" s="19">
        <f t="shared" ref="I377:I387" si="72">IF(F377="","",+F377-H377)</f>
        <v>384.79777799999988</v>
      </c>
      <c r="J377" s="34">
        <f t="shared" ref="J377:J388" si="73">IF(F377="","",IF(E377=0,"-",(F377-E377)/E377))</f>
        <v>-3.5312200501409895E-2</v>
      </c>
      <c r="K377" s="34">
        <f t="shared" ref="K377:K388" si="74">IF(H377="","",IF(G377=0,"-",(H377-G377)/G377))</f>
        <v>8.1281093133679955E-2</v>
      </c>
      <c r="L377"/>
      <c r="M377" s="28"/>
      <c r="Z377" s="14"/>
      <c r="AA377" s="14"/>
      <c r="AB377" s="14"/>
    </row>
    <row r="378" spans="3:28" s="27" customFormat="1" ht="15.75" customHeight="1">
      <c r="C378" s="35"/>
      <c r="D378" s="19" t="str">
        <f>IF(Indice_index!$Z$1=1,"fevereiro","February")</f>
        <v>February</v>
      </c>
      <c r="E378" s="39">
        <v>3644.4642370000001</v>
      </c>
      <c r="F378" s="39">
        <v>3710.6738088000002</v>
      </c>
      <c r="G378" s="39">
        <v>2949.9491103</v>
      </c>
      <c r="H378" s="39">
        <v>3105.0225473999999</v>
      </c>
      <c r="I378" s="19">
        <f t="shared" si="72"/>
        <v>605.65126140000029</v>
      </c>
      <c r="J378" s="34">
        <f t="shared" si="73"/>
        <v>1.8167161891126563E-2</v>
      </c>
      <c r="K378" s="34">
        <f t="shared" si="74"/>
        <v>5.2568173653758189E-2</v>
      </c>
      <c r="L378"/>
      <c r="M378" s="28"/>
      <c r="Z378" s="14"/>
      <c r="AA378" s="14"/>
      <c r="AB378" s="14"/>
    </row>
    <row r="379" spans="3:28" s="27" customFormat="1" ht="15.75" customHeight="1">
      <c r="C379" s="35"/>
      <c r="D379" s="19" t="str">
        <f>IF(Indice_index!$Z$1=1,"março","March")</f>
        <v>March</v>
      </c>
      <c r="E379" s="39">
        <v>5291.5660819000004</v>
      </c>
      <c r="F379" s="39">
        <v>5389.3182770000003</v>
      </c>
      <c r="G379" s="39">
        <v>4390.3603233000003</v>
      </c>
      <c r="H379" s="39">
        <v>4684.8547854999997</v>
      </c>
      <c r="I379" s="19">
        <f t="shared" si="72"/>
        <v>704.4634915000006</v>
      </c>
      <c r="J379" s="34">
        <f t="shared" si="73"/>
        <v>1.8473206908322458E-2</v>
      </c>
      <c r="K379" s="34">
        <f t="shared" si="74"/>
        <v>6.7077515400522647E-2</v>
      </c>
      <c r="L379"/>
      <c r="M379" s="28"/>
      <c r="Z379" s="14"/>
      <c r="AA379" s="14"/>
      <c r="AB379" s="14"/>
    </row>
    <row r="380" spans="3:28" s="27" customFormat="1" ht="15.75" customHeight="1">
      <c r="C380" s="35"/>
      <c r="D380" s="19" t="str">
        <f>IF(Indice_index!$Z$1=1,"abril","April")</f>
        <v>April</v>
      </c>
      <c r="E380" s="39">
        <v>7195.8011182</v>
      </c>
      <c r="F380" s="39">
        <v>7235.3765729999996</v>
      </c>
      <c r="G380" s="39">
        <v>5850.3945984000002</v>
      </c>
      <c r="H380" s="39">
        <v>6350.9868558999997</v>
      </c>
      <c r="I380" s="19">
        <f t="shared" si="72"/>
        <v>884.38971709999987</v>
      </c>
      <c r="J380" s="34">
        <f t="shared" si="73"/>
        <v>5.4997983059736329E-3</v>
      </c>
      <c r="K380" s="34">
        <f t="shared" si="74"/>
        <v>8.5565554439166275E-2</v>
      </c>
      <c r="L380"/>
      <c r="M380" s="28"/>
      <c r="Z380" s="14"/>
      <c r="AA380" s="14"/>
      <c r="AB380" s="14"/>
    </row>
    <row r="381" spans="3:28" s="27" customFormat="1" ht="15.75" customHeight="1">
      <c r="C381" s="35"/>
      <c r="D381" s="19" t="str">
        <f>IF(Indice_index!$Z$1=1,"maio","May")</f>
        <v>May</v>
      </c>
      <c r="E381" s="39">
        <v>8870.5789127000007</v>
      </c>
      <c r="F381" s="39">
        <v>9122.5059395999997</v>
      </c>
      <c r="G381" s="39">
        <v>7308.8957681000002</v>
      </c>
      <c r="H381" s="39">
        <v>8018.3076363</v>
      </c>
      <c r="I381" s="19">
        <f t="shared" si="72"/>
        <v>1104.1983032999997</v>
      </c>
      <c r="J381" s="34">
        <f t="shared" si="73"/>
        <v>2.8400291500627454E-2</v>
      </c>
      <c r="K381" s="34">
        <f t="shared" si="74"/>
        <v>9.7061429073357353E-2</v>
      </c>
      <c r="L381"/>
      <c r="M381" s="28"/>
      <c r="Z381" s="14"/>
      <c r="AA381" s="14"/>
      <c r="AB381" s="14"/>
    </row>
    <row r="382" spans="3:28" s="27" customFormat="1" ht="15.75" customHeight="1">
      <c r="C382" s="35"/>
      <c r="D382" s="19" t="str">
        <f>IF(Indice_index!$Z$1=1,"junho","June")</f>
        <v>June</v>
      </c>
      <c r="E382" s="39">
        <v>10649.4351677</v>
      </c>
      <c r="F382" s="39">
        <v>10933.299807400001</v>
      </c>
      <c r="G382" s="39">
        <v>8817.4813711999996</v>
      </c>
      <c r="H382" s="39">
        <v>9754.5895715999995</v>
      </c>
      <c r="I382" s="19">
        <f t="shared" si="72"/>
        <v>1178.7102358000011</v>
      </c>
      <c r="J382" s="34">
        <f t="shared" si="73"/>
        <v>2.6655370470817983E-2</v>
      </c>
      <c r="K382" s="34">
        <f t="shared" si="74"/>
        <v>0.10627844403060711</v>
      </c>
      <c r="L382"/>
      <c r="M382" s="28"/>
      <c r="Z382" s="14"/>
      <c r="AA382" s="14"/>
      <c r="AB382" s="14"/>
    </row>
    <row r="383" spans="3:28" s="27" customFormat="1" ht="15.75" customHeight="1">
      <c r="C383" s="35"/>
      <c r="D383" s="19" t="str">
        <f>IF(Indice_index!$Z$1=1,"julho","July")</f>
        <v>July</v>
      </c>
      <c r="E383" s="39">
        <v>12529.9083878</v>
      </c>
      <c r="F383" s="39">
        <v>12876.901144400001</v>
      </c>
      <c r="G383" s="39">
        <v>11268.075950300001</v>
      </c>
      <c r="H383" s="39">
        <v>12410.4073787</v>
      </c>
      <c r="I383" s="19">
        <f t="shared" si="72"/>
        <v>466.49376570000095</v>
      </c>
      <c r="J383" s="34">
        <f t="shared" si="73"/>
        <v>2.7693159906728219E-2</v>
      </c>
      <c r="K383" s="34">
        <f t="shared" si="74"/>
        <v>0.10137768270629961</v>
      </c>
      <c r="L383"/>
      <c r="M383" s="28"/>
      <c r="Z383" s="14"/>
      <c r="AA383" s="14"/>
      <c r="AB383" s="14"/>
    </row>
    <row r="384" spans="3:28" s="27" customFormat="1" ht="15.75" customHeight="1">
      <c r="C384" s="35"/>
      <c r="D384" s="19" t="str">
        <f>IF(Indice_index!$Z$1=1,"agosto","August")</f>
        <v>August</v>
      </c>
      <c r="E384" s="39">
        <v>14344.0476053</v>
      </c>
      <c r="F384" s="39">
        <v>14762.7927158</v>
      </c>
      <c r="G384" s="39">
        <v>12810.0709405</v>
      </c>
      <c r="H384" s="39">
        <v>14134.7054721</v>
      </c>
      <c r="I384" s="19">
        <f t="shared" si="72"/>
        <v>628.08724369999982</v>
      </c>
      <c r="J384" s="34">
        <f t="shared" si="73"/>
        <v>2.9192953204176298E-2</v>
      </c>
      <c r="K384" s="34">
        <f t="shared" si="74"/>
        <v>0.10340571396931685</v>
      </c>
      <c r="L384"/>
      <c r="M384" s="28"/>
      <c r="Z384" s="14"/>
      <c r="AA384" s="14"/>
      <c r="AB384" s="14"/>
    </row>
    <row r="385" spans="3:28" s="27" customFormat="1" ht="15.75" customHeight="1">
      <c r="C385" s="35"/>
      <c r="D385" s="19" t="str">
        <f>IF(Indice_index!$Z$1=1,"setembro","September")</f>
        <v>September</v>
      </c>
      <c r="E385" s="39">
        <v>16032.2500896</v>
      </c>
      <c r="F385" s="39">
        <v>16879.888337</v>
      </c>
      <c r="G385" s="39">
        <v>14311.266007</v>
      </c>
      <c r="H385" s="39">
        <v>15878.000359600001</v>
      </c>
      <c r="I385" s="19">
        <f t="shared" si="72"/>
        <v>1001.8879773999997</v>
      </c>
      <c r="J385" s="34">
        <f t="shared" si="73"/>
        <v>5.2870822414993184E-2</v>
      </c>
      <c r="K385" s="34">
        <f t="shared" si="74"/>
        <v>0.10947559439071786</v>
      </c>
      <c r="L385"/>
      <c r="M385" s="28"/>
      <c r="Z385" s="14"/>
      <c r="AA385" s="14"/>
      <c r="AB385" s="14"/>
    </row>
    <row r="386" spans="3:28" s="27" customFormat="1" ht="15.75" customHeight="1">
      <c r="C386" s="35"/>
      <c r="D386" s="19" t="str">
        <f>IF(Indice_index!$Z$1=1,"outubro","October")</f>
        <v>October</v>
      </c>
      <c r="E386" s="39">
        <v>17821.041336599999</v>
      </c>
      <c r="F386" s="39">
        <v>18666.800604600001</v>
      </c>
      <c r="G386" s="39">
        <v>15917.8420093</v>
      </c>
      <c r="H386" s="39">
        <v>17667.823152500001</v>
      </c>
      <c r="I386" s="19">
        <f t="shared" si="72"/>
        <v>998.97745209999994</v>
      </c>
      <c r="J386" s="34">
        <f t="shared" si="73"/>
        <v>4.7458465082117388E-2</v>
      </c>
      <c r="K386" s="34">
        <f t="shared" si="74"/>
        <v>0.10993834102496897</v>
      </c>
      <c r="L386"/>
      <c r="M386" s="28"/>
      <c r="Z386" s="14"/>
      <c r="AA386" s="14"/>
      <c r="AB386" s="14"/>
    </row>
    <row r="387" spans="3:28" s="27" customFormat="1" ht="15.75" customHeight="1">
      <c r="C387" s="35"/>
      <c r="D387" s="19" t="str">
        <f>IF(Indice_index!$Z$1=1,"novembro","November")</f>
        <v>November</v>
      </c>
      <c r="E387" s="39">
        <v>19497.4580078</v>
      </c>
      <c r="F387" s="39">
        <v>20568.999378699998</v>
      </c>
      <c r="G387" s="39">
        <v>17574.267047099998</v>
      </c>
      <c r="H387" s="39">
        <v>19471.912109299999</v>
      </c>
      <c r="I387" s="19">
        <f t="shared" si="72"/>
        <v>1097.0872693999991</v>
      </c>
      <c r="J387" s="34">
        <f t="shared" si="73"/>
        <v>5.4958003780355681E-2</v>
      </c>
      <c r="K387" s="34">
        <f t="shared" si="74"/>
        <v>0.10797861766378128</v>
      </c>
      <c r="L387"/>
      <c r="M387" s="28"/>
      <c r="Z387" s="14"/>
      <c r="AA387" s="14"/>
      <c r="AB387" s="14"/>
    </row>
    <row r="388" spans="3:28" s="27" customFormat="1" ht="15.75" customHeight="1">
      <c r="C388" s="35"/>
      <c r="D388" s="36" t="str">
        <f>IF(Indice_index!$Z$1=1,"dezembro","December")</f>
        <v>December</v>
      </c>
      <c r="E388" s="39">
        <v>21649.9</v>
      </c>
      <c r="F388" s="39">
        <v>22849.1</v>
      </c>
      <c r="G388" s="39">
        <v>20038.5</v>
      </c>
      <c r="H388" s="39">
        <v>22269.7</v>
      </c>
      <c r="I388" s="36">
        <f>IF(F388="","",+F388-H388)</f>
        <v>579.39999999999782</v>
      </c>
      <c r="J388" s="34">
        <f t="shared" si="73"/>
        <v>5.5390556076471344E-2</v>
      </c>
      <c r="K388" s="34">
        <f t="shared" si="74"/>
        <v>0.11134565960525991</v>
      </c>
      <c r="L388"/>
      <c r="M388" s="28"/>
      <c r="Z388" s="14"/>
      <c r="AA388" s="14"/>
      <c r="AB388" s="14"/>
    </row>
    <row r="389" spans="3:28" ht="15.75" customHeight="1">
      <c r="C389" s="35"/>
      <c r="D389" s="36"/>
      <c r="E389" s="39"/>
      <c r="F389" s="39"/>
      <c r="G389" s="39"/>
      <c r="H389" s="39"/>
      <c r="I389" s="36"/>
      <c r="J389" s="37"/>
      <c r="K389" s="37"/>
    </row>
    <row r="390" spans="3:28" ht="15.75" customHeight="1">
      <c r="C390" s="32" t="s">
        <v>3</v>
      </c>
      <c r="D390" s="19" t="str">
        <f>IF(Indice_index!$Z$1=1,"janeiro","January")</f>
        <v>January</v>
      </c>
      <c r="E390" s="39">
        <v>1926.9506584000001</v>
      </c>
      <c r="F390" s="39">
        <v>1981.8487273999999</v>
      </c>
      <c r="G390" s="39">
        <v>1543.2234023999999</v>
      </c>
      <c r="H390" s="39">
        <v>1617.6272065000001</v>
      </c>
      <c r="I390" s="19">
        <f t="shared" ref="I390:I398" si="75">IF(F390="","",+F390-H390)</f>
        <v>364.22152089999986</v>
      </c>
      <c r="J390" s="34">
        <f t="shared" ref="J390:J398" si="76">IF(F390="","",IF(E390=0,"-",(F390-E390)/E390))</f>
        <v>2.8489608055446123E-2</v>
      </c>
      <c r="K390" s="34">
        <f>IF(H390="","",IF(G390=0,"-",(H390-G390)/G390))</f>
        <v>4.8213242479532348E-2</v>
      </c>
    </row>
    <row r="391" spans="3:28" ht="15.75" customHeight="1">
      <c r="D391" s="19" t="str">
        <f>IF(Indice_index!$Z$1=1,"fevereiro","February")</f>
        <v>February</v>
      </c>
      <c r="E391" s="39">
        <v>3705.0036458</v>
      </c>
      <c r="F391" s="39">
        <v>3720.4210883000001</v>
      </c>
      <c r="G391" s="39">
        <v>3105.1773079999998</v>
      </c>
      <c r="H391" s="39">
        <v>3310.9460838</v>
      </c>
      <c r="I391" s="19">
        <f t="shared" si="75"/>
        <v>409.47500450000007</v>
      </c>
      <c r="J391" s="34">
        <f t="shared" si="76"/>
        <v>4.1612489416784654E-3</v>
      </c>
      <c r="K391" s="34">
        <f t="shared" ref="K391:K398" si="77">IF(H391="","",IF(G391=0,"-",(H391-G391)/G391))</f>
        <v>6.6266353058123076E-2</v>
      </c>
    </row>
    <row r="392" spans="3:28" ht="15.75" customHeight="1">
      <c r="D392" s="19" t="str">
        <f>IF(Indice_index!$Z$1=1,"março","March")</f>
        <v>March</v>
      </c>
      <c r="E392" s="39">
        <v>5389.4</v>
      </c>
      <c r="F392" s="39">
        <v>5570.6</v>
      </c>
      <c r="G392" s="39">
        <v>4685</v>
      </c>
      <c r="H392" s="39">
        <v>5068</v>
      </c>
      <c r="I392" s="19">
        <f t="shared" si="75"/>
        <v>502.60000000000036</v>
      </c>
      <c r="J392" s="34">
        <f t="shared" si="76"/>
        <v>3.36215534196758E-2</v>
      </c>
      <c r="K392" s="34">
        <f t="shared" si="77"/>
        <v>8.1750266808964786E-2</v>
      </c>
    </row>
    <row r="393" spans="3:28" ht="15.75" customHeight="1">
      <c r="D393" s="19" t="str">
        <f>IF(Indice_index!$Z$1=1,"abril","April")</f>
        <v>April</v>
      </c>
      <c r="E393" s="39">
        <v>7236.0886313000001</v>
      </c>
      <c r="F393" s="39">
        <v>7451.0844378800011</v>
      </c>
      <c r="G393" s="39">
        <v>6356.0472554299995</v>
      </c>
      <c r="H393" s="39">
        <v>6974.99659634</v>
      </c>
      <c r="I393" s="19">
        <f t="shared" si="75"/>
        <v>476.08784154000114</v>
      </c>
      <c r="J393" s="34">
        <f t="shared" si="76"/>
        <v>2.9711604920098382E-2</v>
      </c>
      <c r="K393" s="43">
        <f t="shared" si="77"/>
        <v>9.737960025096247E-2</v>
      </c>
    </row>
    <row r="394" spans="3:28" ht="15.75" customHeight="1">
      <c r="D394" s="19" t="str">
        <f>IF(Indice_index!$Z$1=1,"maio","May")</f>
        <v>May</v>
      </c>
      <c r="E394" s="39">
        <v>9122.7491869199985</v>
      </c>
      <c r="F394" s="39">
        <v>9503.5908958999989</v>
      </c>
      <c r="G394" s="39">
        <v>8018.583124939998</v>
      </c>
      <c r="H394" s="39">
        <v>8783.5905385900023</v>
      </c>
      <c r="I394" s="19">
        <f t="shared" si="75"/>
        <v>720.00035730999662</v>
      </c>
      <c r="J394" s="34">
        <f t="shared" si="76"/>
        <v>4.1746375042957785E-2</v>
      </c>
      <c r="K394" s="43">
        <f t="shared" si="77"/>
        <v>9.5404312922892934E-2</v>
      </c>
    </row>
    <row r="395" spans="3:28" ht="15.75" customHeight="1">
      <c r="D395" s="19" t="str">
        <f>IF(Indice_index!$Z$1=1,"junho","June")</f>
        <v>June</v>
      </c>
      <c r="E395" s="39">
        <v>10933.17429768</v>
      </c>
      <c r="F395" s="39">
        <v>11484.108591630002</v>
      </c>
      <c r="G395" s="39">
        <v>9754.8667649600029</v>
      </c>
      <c r="H395" s="39">
        <v>10535.90807539</v>
      </c>
      <c r="I395" s="19">
        <f t="shared" si="75"/>
        <v>948.20051624000189</v>
      </c>
      <c r="J395" s="34">
        <f t="shared" si="76"/>
        <v>5.039106474932073E-2</v>
      </c>
      <c r="K395" s="43">
        <f t="shared" si="77"/>
        <v>8.0066835278113549E-2</v>
      </c>
    </row>
    <row r="396" spans="3:28" ht="15.75" customHeight="1">
      <c r="D396" s="19" t="str">
        <f>IF(Indice_index!$Z$1=1,"julho","July")</f>
        <v>July</v>
      </c>
      <c r="E396" s="39">
        <v>12875.741117740003</v>
      </c>
      <c r="F396" s="39">
        <v>13808.567682090003</v>
      </c>
      <c r="G396" s="39">
        <v>12410.989768690004</v>
      </c>
      <c r="H396" s="39">
        <v>13334.453361359998</v>
      </c>
      <c r="I396" s="19">
        <f t="shared" si="75"/>
        <v>474.11432073000469</v>
      </c>
      <c r="J396" s="34">
        <f t="shared" si="76"/>
        <v>7.2448378374489489E-2</v>
      </c>
      <c r="K396" s="43">
        <f t="shared" si="77"/>
        <v>7.4406925626485848E-2</v>
      </c>
    </row>
    <row r="397" spans="3:28" ht="15.75" customHeight="1">
      <c r="D397" s="19" t="str">
        <f>IF(Indice_index!$Z$1=1,"agosto","August")</f>
        <v>August</v>
      </c>
      <c r="E397" s="39">
        <v>14763.395171010003</v>
      </c>
      <c r="F397" s="39">
        <v>15765.101172139997</v>
      </c>
      <c r="G397" s="39">
        <v>14134.761505630002</v>
      </c>
      <c r="H397" s="39">
        <v>15104.623455269995</v>
      </c>
      <c r="I397" s="19">
        <f t="shared" si="75"/>
        <v>660.47771687000204</v>
      </c>
      <c r="J397" s="34">
        <f t="shared" si="76"/>
        <v>6.7850652883490153E-2</v>
      </c>
      <c r="K397" s="43">
        <f t="shared" si="77"/>
        <v>6.8615374179018765E-2</v>
      </c>
    </row>
    <row r="398" spans="3:28" ht="15.75" customHeight="1">
      <c r="D398" s="19" t="str">
        <f>IF(Indice_index!$Z$1=1,"setembro","September")</f>
        <v>September</v>
      </c>
      <c r="E398" s="33">
        <v>16880.61526817</v>
      </c>
      <c r="F398" s="33">
        <v>17725.393157790004</v>
      </c>
      <c r="G398" s="33">
        <v>15878.031074769999</v>
      </c>
      <c r="H398" s="33">
        <v>16838.51344947</v>
      </c>
      <c r="I398" s="19">
        <f t="shared" si="75"/>
        <v>886.87970832000428</v>
      </c>
      <c r="J398" s="34">
        <f t="shared" si="76"/>
        <v>5.0044259418251899E-2</v>
      </c>
      <c r="K398" s="43">
        <f t="shared" si="77"/>
        <v>6.0491276920738364E-2</v>
      </c>
    </row>
    <row r="399" spans="3:28" ht="15.75" customHeight="1">
      <c r="D399" s="19" t="str">
        <f>IF(Indice_index!$Z$1=1,"outubro","October")</f>
        <v>October</v>
      </c>
      <c r="E399" s="39">
        <v>18666.163600649998</v>
      </c>
      <c r="F399" s="33">
        <v>19600.069190310005</v>
      </c>
      <c r="G399" s="39">
        <v>17667.846427690005</v>
      </c>
      <c r="H399" s="33">
        <v>18601.218263229999</v>
      </c>
      <c r="I399" s="19">
        <f>IF(F399="","",+F399-H399)</f>
        <v>998.85092708000593</v>
      </c>
      <c r="J399" s="34">
        <f>IF(F399="","",IF(E399=0,"-",(F399-E399)/E399))</f>
        <v>5.0032004949720189E-2</v>
      </c>
      <c r="K399" s="43">
        <f>IF(H399="","",IF(G399=0,"-",(H399-G399)/G399))</f>
        <v>5.2828840196231464E-2</v>
      </c>
    </row>
    <row r="400" spans="3:28" ht="15.75" customHeight="1">
      <c r="D400" s="19" t="str">
        <f>IF(Indice_index!$Z$1=1,"novembro","November")</f>
        <v>November</v>
      </c>
      <c r="E400" s="39">
        <v>20570.630313219994</v>
      </c>
      <c r="F400" s="33">
        <v>21586.383254069999</v>
      </c>
      <c r="G400" s="39">
        <v>19471.997256470007</v>
      </c>
      <c r="H400" s="33">
        <v>20382.286394319995</v>
      </c>
      <c r="I400" s="19">
        <f>IF(F400="","",+F400-H400)</f>
        <v>1204.0968597500032</v>
      </c>
      <c r="J400" s="34">
        <f>IF(F400="","",IF(E400=0,"-",(F400-E400)/E400))</f>
        <v>4.937879517465333E-2</v>
      </c>
      <c r="K400" s="43">
        <f>IF(H400="","",IF(G400=0,"-",(H400-G400)/G400))</f>
        <v>4.6748627059688193E-2</v>
      </c>
    </row>
    <row r="401" spans="3:28" s="27" customFormat="1" ht="15.75" customHeight="1">
      <c r="C401" s="19"/>
      <c r="D401" s="36" t="str">
        <f>IF(Indice_index!$Z$1=1,"dezembro","December")</f>
        <v>December</v>
      </c>
      <c r="E401" s="33">
        <v>22849.15056654</v>
      </c>
      <c r="F401" s="33">
        <v>23836.246570160001</v>
      </c>
      <c r="G401" s="33">
        <v>22269.774235569992</v>
      </c>
      <c r="H401" s="33">
        <v>23185.252108010001</v>
      </c>
      <c r="I401" s="19">
        <f>IF(F401="","",+F401-H401)</f>
        <v>650.99446214999989</v>
      </c>
      <c r="J401" s="34">
        <f>IF(F401="","",IF(E401=0,"-",(F401-E401)/E401))</f>
        <v>4.3200555781950679E-2</v>
      </c>
      <c r="K401" s="43">
        <f>IF(H401="","",IF(G401=0,"-",(H401-G401)/G401))</f>
        <v>4.1108538539999163E-2</v>
      </c>
      <c r="L401"/>
      <c r="M401" s="28"/>
      <c r="Z401" s="14"/>
      <c r="AA401" s="14"/>
      <c r="AB401" s="14"/>
    </row>
    <row r="402" spans="3:28" ht="15.75" customHeight="1">
      <c r="C402" s="35"/>
      <c r="D402" s="36"/>
      <c r="E402" s="24"/>
      <c r="F402" s="24"/>
      <c r="G402" s="40"/>
      <c r="H402" s="40"/>
      <c r="I402" s="36"/>
      <c r="J402" s="34"/>
      <c r="K402" s="43"/>
    </row>
    <row r="403" spans="3:28" ht="15.75" customHeight="1">
      <c r="C403" s="32" t="s">
        <v>4</v>
      </c>
      <c r="D403" s="19" t="str">
        <f>IF(Indice_index!$Z$1=1,"janeiro","January")</f>
        <v>January</v>
      </c>
      <c r="E403" s="24">
        <v>1980.7018442399997</v>
      </c>
      <c r="F403" s="24">
        <v>1994.8362822399995</v>
      </c>
      <c r="G403" s="24">
        <v>1617.8829799100001</v>
      </c>
      <c r="H403" s="41">
        <v>1684.3354851299994</v>
      </c>
      <c r="I403" s="19">
        <f t="shared" ref="I403:I413" si="78">IF(F403="","",+F403-H403)</f>
        <v>310.50079711000012</v>
      </c>
      <c r="J403" s="34">
        <f t="shared" ref="J403:J413" si="79">IF(F403="","",IF(E403=0,"-",(F403-E403)/E403))</f>
        <v>7.1360755487271423E-3</v>
      </c>
      <c r="K403" s="43">
        <f t="shared" ref="K403:K413" si="80">IF(H403="","",IF(G403=0,"-",(H403-G403)/G403))</f>
        <v>4.1073740218032249E-2</v>
      </c>
    </row>
    <row r="404" spans="3:28" ht="15.75" customHeight="1">
      <c r="C404" s="32"/>
      <c r="D404" s="19" t="str">
        <f>IF(Indice_index!$Z$1=1,"fevereiro","February")</f>
        <v>February</v>
      </c>
      <c r="E404" s="24">
        <v>3721.1972781100003</v>
      </c>
      <c r="F404" s="24">
        <v>3852.9162513799993</v>
      </c>
      <c r="G404" s="24">
        <v>3311.30113596</v>
      </c>
      <c r="H404" s="41">
        <v>3371.5302627799992</v>
      </c>
      <c r="I404" s="19">
        <f t="shared" si="78"/>
        <v>481.38598860000002</v>
      </c>
      <c r="J404" s="34">
        <f t="shared" si="79"/>
        <v>3.5396933681758246E-2</v>
      </c>
      <c r="K404" s="43">
        <f t="shared" si="80"/>
        <v>1.8188960878829232E-2</v>
      </c>
    </row>
    <row r="405" spans="3:28" ht="15.75" customHeight="1">
      <c r="C405" s="32"/>
      <c r="D405" s="19" t="str">
        <f>IF(Indice_index!$Z$1=1,"março","March")</f>
        <v>March</v>
      </c>
      <c r="E405" s="24">
        <v>5572.441765630002</v>
      </c>
      <c r="F405" s="24">
        <v>5746.6450140199986</v>
      </c>
      <c r="G405" s="24">
        <v>5069.3282613400015</v>
      </c>
      <c r="H405" s="41">
        <v>5166.9702897599964</v>
      </c>
      <c r="I405" s="19">
        <f t="shared" si="78"/>
        <v>579.67472426000222</v>
      </c>
      <c r="J405" s="34">
        <f t="shared" si="79"/>
        <v>3.1261564627638912E-2</v>
      </c>
      <c r="K405" s="43">
        <f t="shared" si="80"/>
        <v>1.9261334714628372E-2</v>
      </c>
    </row>
    <row r="406" spans="3:28" ht="15.75" customHeight="1">
      <c r="C406" s="32"/>
      <c r="D406" s="19" t="str">
        <f>IF(Indice_index!$Z$1=1,"abril","April")</f>
        <v>April</v>
      </c>
      <c r="E406" s="40">
        <v>7452.4987227299998</v>
      </c>
      <c r="F406" s="40">
        <v>7632.4804911299998</v>
      </c>
      <c r="G406" s="40">
        <v>6976.3941192099983</v>
      </c>
      <c r="H406" s="40">
        <v>6906.118306829997</v>
      </c>
      <c r="I406" s="19">
        <f t="shared" si="78"/>
        <v>726.36218430000281</v>
      </c>
      <c r="J406" s="34">
        <f t="shared" si="79"/>
        <v>2.4150526567828654E-2</v>
      </c>
      <c r="K406" s="43">
        <f t="shared" si="80"/>
        <v>-1.0073371885124988E-2</v>
      </c>
    </row>
    <row r="407" spans="3:28" ht="15.75" customHeight="1">
      <c r="C407" s="32"/>
      <c r="D407" s="19" t="str">
        <f>IF(Indice_index!$Z$1=1,"maio","May")</f>
        <v>May</v>
      </c>
      <c r="E407" s="40">
        <v>9505.1711755499982</v>
      </c>
      <c r="F407" s="40">
        <v>9505.6429989400003</v>
      </c>
      <c r="G407" s="40">
        <v>8785.1211316799981</v>
      </c>
      <c r="H407" s="40">
        <v>8762.4121646799977</v>
      </c>
      <c r="I407" s="19">
        <f t="shared" si="78"/>
        <v>743.23083426000267</v>
      </c>
      <c r="J407" s="34">
        <f t="shared" si="79"/>
        <v>4.9638600009199661E-5</v>
      </c>
      <c r="K407" s="43">
        <f t="shared" si="80"/>
        <v>-2.5849349894686994E-3</v>
      </c>
    </row>
    <row r="408" spans="3:28" ht="15.75" customHeight="1">
      <c r="C408" s="32"/>
      <c r="D408" s="19" t="str">
        <f>IF(Indice_index!$Z$1=1,"junho","June")</f>
        <v>June</v>
      </c>
      <c r="E408" s="40">
        <v>11485.62458926</v>
      </c>
      <c r="F408" s="40">
        <v>11648.67225729</v>
      </c>
      <c r="G408" s="40">
        <v>10537.428734409999</v>
      </c>
      <c r="H408" s="40">
        <v>10567.59654454</v>
      </c>
      <c r="I408" s="19">
        <f>IF(F408="","",+F408-H408)</f>
        <v>1081.0757127500001</v>
      </c>
      <c r="J408" s="34">
        <f>IF(F408="","",IF(E408=0,"-",(F408-E408)/E408))</f>
        <v>1.4195803350778396E-2</v>
      </c>
      <c r="K408" s="43">
        <f>IF(H408="","",IF(G408=0,"-",(H408-G408)/G408))</f>
        <v>2.8629194930151511E-3</v>
      </c>
      <c r="M408" s="42"/>
    </row>
    <row r="409" spans="3:28" ht="15.75" customHeight="1">
      <c r="C409" s="36"/>
      <c r="D409" s="19" t="str">
        <f>IF(Indice_index!$Z$1=1,"julho","July")</f>
        <v>July</v>
      </c>
      <c r="E409" s="40">
        <v>13810.051159730001</v>
      </c>
      <c r="F409" s="40">
        <v>13634.385427020001</v>
      </c>
      <c r="G409" s="40">
        <v>13335.982814590001</v>
      </c>
      <c r="H409" s="40">
        <v>13333.67963488</v>
      </c>
      <c r="I409" s="19">
        <f t="shared" si="78"/>
        <v>300.70579214000099</v>
      </c>
      <c r="J409" s="34">
        <f t="shared" si="79"/>
        <v>-1.2720136274530251E-2</v>
      </c>
      <c r="K409" s="43">
        <f t="shared" si="80"/>
        <v>-1.7270416001746627E-4</v>
      </c>
      <c r="M409" s="42"/>
    </row>
    <row r="410" spans="3:28" ht="15.75" customHeight="1">
      <c r="C410" s="36"/>
      <c r="D410" s="19" t="str">
        <f>IF(Indice_index!$Z$1=1,"agosto","August")</f>
        <v>August</v>
      </c>
      <c r="E410" s="40">
        <v>15766.616709869997</v>
      </c>
      <c r="F410" s="40">
        <v>15810.292052830002</v>
      </c>
      <c r="G410" s="40">
        <v>15106.152937070001</v>
      </c>
      <c r="H410" s="40">
        <v>15076.206869899997</v>
      </c>
      <c r="I410" s="19">
        <f t="shared" si="78"/>
        <v>734.08518293000452</v>
      </c>
      <c r="J410" s="34">
        <f t="shared" si="79"/>
        <v>2.7701150959459696E-3</v>
      </c>
      <c r="K410" s="43">
        <f t="shared" si="80"/>
        <v>-1.9823754793662162E-3</v>
      </c>
      <c r="M410" s="42"/>
    </row>
    <row r="411" spans="3:28" ht="15.75" customHeight="1">
      <c r="C411" s="36"/>
      <c r="D411" s="19" t="str">
        <f>IF(Indice_index!$Z$1=1,"setembro","September")</f>
        <v>September</v>
      </c>
      <c r="E411" s="40">
        <v>17728.279283700002</v>
      </c>
      <c r="F411" s="40">
        <v>17635.31778085</v>
      </c>
      <c r="G411" s="40">
        <v>16839.98155153</v>
      </c>
      <c r="H411" s="40">
        <v>16831.648052839999</v>
      </c>
      <c r="I411" s="19">
        <f t="shared" si="78"/>
        <v>803.66972801000156</v>
      </c>
      <c r="J411" s="34">
        <f t="shared" si="79"/>
        <v>-5.2436844750902122E-3</v>
      </c>
      <c r="K411" s="43">
        <f t="shared" si="80"/>
        <v>-4.9486388476736246E-4</v>
      </c>
      <c r="M411" s="42"/>
    </row>
    <row r="412" spans="3:28" ht="15.75" customHeight="1">
      <c r="C412" s="36"/>
      <c r="D412" s="19" t="str">
        <f>IF(Indice_index!$Z$1=1,"outubro","October")</f>
        <v>October</v>
      </c>
      <c r="E412" s="19">
        <v>19603.361217230002</v>
      </c>
      <c r="F412" s="19">
        <v>19602.812945870006</v>
      </c>
      <c r="G412" s="19">
        <v>18601.964430969998</v>
      </c>
      <c r="H412" s="23">
        <v>18563.868724019998</v>
      </c>
      <c r="I412" s="19">
        <f t="shared" si="78"/>
        <v>1038.944221850008</v>
      </c>
      <c r="J412" s="34">
        <f t="shared" si="79"/>
        <v>-2.7968232280184626E-5</v>
      </c>
      <c r="K412" s="43">
        <f t="shared" si="80"/>
        <v>-2.0479399953359403E-3</v>
      </c>
      <c r="M412" s="42"/>
    </row>
    <row r="413" spans="3:28" ht="15.75" customHeight="1">
      <c r="C413" s="36"/>
      <c r="D413" s="19" t="str">
        <f>IF(Indice_index!$Z$1=1,"novembro","November")</f>
        <v>November</v>
      </c>
      <c r="E413" s="19">
        <v>21586.432200529998</v>
      </c>
      <c r="F413" s="19">
        <v>21327.869570660005</v>
      </c>
      <c r="G413" s="19">
        <v>20382.261737689998</v>
      </c>
      <c r="H413" s="23">
        <v>20364.780081529996</v>
      </c>
      <c r="I413" s="19">
        <f t="shared" si="78"/>
        <v>963.08948913000859</v>
      </c>
      <c r="J413" s="34">
        <f t="shared" si="79"/>
        <v>-1.1978015980966285E-2</v>
      </c>
      <c r="K413" s="43">
        <f t="shared" si="80"/>
        <v>-8.5768971005192971E-4</v>
      </c>
      <c r="M413" s="42"/>
    </row>
    <row r="414" spans="3:28" ht="15.75" customHeight="1">
      <c r="C414" s="36"/>
      <c r="D414" s="24" t="str">
        <f>IF(Indice_index!$Z$1=1,"dezembro","December")</f>
        <v>December</v>
      </c>
      <c r="E414" s="19">
        <v>23857.400163380004</v>
      </c>
      <c r="F414" s="19">
        <v>23537.59332172</v>
      </c>
      <c r="G414" s="19">
        <v>23168.251252540009</v>
      </c>
      <c r="H414" s="19">
        <v>23108.325992809998</v>
      </c>
      <c r="I414" s="19">
        <v>429.26732891000211</v>
      </c>
      <c r="J414" s="19">
        <v>-1.3404932619225297E-2</v>
      </c>
      <c r="K414" s="19">
        <v>-2.5865249421205766E-3</v>
      </c>
      <c r="M414" s="42"/>
    </row>
    <row r="415" spans="3:28" ht="15.75" customHeight="1">
      <c r="C415" s="36"/>
      <c r="D415" s="24"/>
      <c r="H415" s="19"/>
      <c r="M415" s="42"/>
    </row>
    <row r="416" spans="3:28" ht="15.75" customHeight="1">
      <c r="C416" s="35" t="s">
        <v>5</v>
      </c>
      <c r="D416" s="19" t="str">
        <f>IF(Indice_index!$Z$1=1,"janeiro","January")</f>
        <v>January</v>
      </c>
      <c r="E416" s="40">
        <v>1993.7978470399999</v>
      </c>
      <c r="F416" s="40">
        <v>2016.9395548599996</v>
      </c>
      <c r="G416" s="40">
        <v>1683.5343674699993</v>
      </c>
      <c r="H416" s="40">
        <v>1787.9919711900002</v>
      </c>
      <c r="I416" s="24">
        <f t="shared" ref="I416:I426" si="81">IF(F416="","",+F416-H416)</f>
        <v>228.9475836699994</v>
      </c>
      <c r="J416" s="63">
        <f t="shared" ref="J416:J421" si="82">IF(F416="","",IF(E416=0,"-",(F416-E416)/E416))</f>
        <v>1.1606847632199026E-2</v>
      </c>
      <c r="K416" s="64">
        <f t="shared" ref="K416:K421" si="83">IF(H416="","",IF(G416=0,"-",(H416-G416)/G416))</f>
        <v>6.2046612019556711E-2</v>
      </c>
      <c r="M416" s="42"/>
    </row>
    <row r="417" spans="3:15" ht="15.75" customHeight="1">
      <c r="C417" s="35"/>
      <c r="D417" s="19" t="str">
        <f>IF(Indice_index!$Z$1=1,"fevereiro","February")</f>
        <v>February</v>
      </c>
      <c r="E417" s="40">
        <v>3850.9437128099989</v>
      </c>
      <c r="F417" s="40">
        <v>4056.71971162</v>
      </c>
      <c r="G417" s="40">
        <v>3369.6808819499993</v>
      </c>
      <c r="H417" s="40">
        <v>3643.2719772299997</v>
      </c>
      <c r="I417" s="24">
        <f t="shared" si="81"/>
        <v>413.44773439000028</v>
      </c>
      <c r="J417" s="63">
        <f t="shared" si="82"/>
        <v>5.3435213328487774E-2</v>
      </c>
      <c r="K417" s="64">
        <f t="shared" si="83"/>
        <v>8.1191989646709845E-2</v>
      </c>
      <c r="M417" s="42"/>
    </row>
    <row r="418" spans="3:15" ht="15.75" customHeight="1">
      <c r="C418" s="35"/>
      <c r="D418" s="19" t="str">
        <f>IF(Indice_index!$Z$1=1,"março","March")</f>
        <v>March</v>
      </c>
      <c r="E418" s="40">
        <v>5743.6893594099993</v>
      </c>
      <c r="F418" s="40">
        <v>5806.3899459200002</v>
      </c>
      <c r="G418" s="40">
        <v>5164.0147880199984</v>
      </c>
      <c r="H418" s="40">
        <v>5528.1775774400003</v>
      </c>
      <c r="I418" s="24">
        <f t="shared" si="81"/>
        <v>278.2123684799999</v>
      </c>
      <c r="J418" s="63">
        <f t="shared" si="82"/>
        <v>1.0916430640051468E-2</v>
      </c>
      <c r="K418" s="64">
        <f t="shared" si="83"/>
        <v>7.0519315758898179E-2</v>
      </c>
      <c r="M418" s="42"/>
    </row>
    <row r="419" spans="3:15" ht="15.75" customHeight="1">
      <c r="C419" s="35"/>
      <c r="D419" s="19" t="str">
        <f>IF(Indice_index!$Z$1=1,"abril","April")</f>
        <v>April</v>
      </c>
      <c r="E419" s="40">
        <v>7628.567588529997</v>
      </c>
      <c r="F419" s="40">
        <v>7697.4166158300004</v>
      </c>
      <c r="G419" s="40">
        <v>6902.2067657199996</v>
      </c>
      <c r="H419" s="40">
        <v>7422.1091030899997</v>
      </c>
      <c r="I419" s="24">
        <f t="shared" si="81"/>
        <v>275.30751274000067</v>
      </c>
      <c r="J419" s="63">
        <f t="shared" si="82"/>
        <v>9.0251579344360778E-3</v>
      </c>
      <c r="K419" s="64">
        <f t="shared" si="83"/>
        <v>7.5324074606415659E-2</v>
      </c>
      <c r="M419" s="42"/>
    </row>
    <row r="420" spans="3:15" ht="15.75" customHeight="1">
      <c r="C420" s="35"/>
      <c r="D420" s="19" t="str">
        <f>IF(Indice_index!$Z$1=1,"maio","May")</f>
        <v>May</v>
      </c>
      <c r="E420" s="40">
        <v>9500.7615218400024</v>
      </c>
      <c r="F420" s="40">
        <v>9598.6801275299986</v>
      </c>
      <c r="G420" s="40">
        <v>8757.5230634500003</v>
      </c>
      <c r="H420" s="40">
        <v>9283.4096435299998</v>
      </c>
      <c r="I420" s="24">
        <f t="shared" si="81"/>
        <v>315.27048399999876</v>
      </c>
      <c r="J420" s="63">
        <f t="shared" si="82"/>
        <v>1.0306395488919965E-2</v>
      </c>
      <c r="K420" s="64">
        <f t="shared" si="83"/>
        <v>6.0049693991080171E-2</v>
      </c>
      <c r="M420" s="42"/>
    </row>
    <row r="421" spans="3:15" ht="15.75" customHeight="1">
      <c r="C421" s="35"/>
      <c r="D421" s="19" t="str">
        <f>IF(Indice_index!$Z$1=1,"junho","June")</f>
        <v>June</v>
      </c>
      <c r="E421" s="40">
        <v>11642.775585049998</v>
      </c>
      <c r="F421" s="40">
        <v>11429.84272599</v>
      </c>
      <c r="G421" s="40">
        <v>10561.693882630001</v>
      </c>
      <c r="H421" s="40">
        <v>11156.007194150001</v>
      </c>
      <c r="I421" s="24">
        <f t="shared" si="81"/>
        <v>273.83553183999902</v>
      </c>
      <c r="J421" s="63">
        <f t="shared" si="82"/>
        <v>-1.8288839933788315E-2</v>
      </c>
      <c r="K421" s="64">
        <f t="shared" si="83"/>
        <v>5.6270643527873955E-2</v>
      </c>
      <c r="M421" s="42"/>
    </row>
    <row r="422" spans="3:15" ht="15.75" customHeight="1">
      <c r="C422" s="35"/>
      <c r="D422" s="19" t="str">
        <f>IF(Indice_index!$Z$1=1,"julho","July")</f>
        <v>July</v>
      </c>
      <c r="E422" s="40">
        <v>13628.31883907</v>
      </c>
      <c r="F422" s="40">
        <v>13874.462689139998</v>
      </c>
      <c r="G422" s="40">
        <v>13325.895956390001</v>
      </c>
      <c r="H422" s="40">
        <v>13734.814966610002</v>
      </c>
      <c r="I422" s="24">
        <f t="shared" si="81"/>
        <v>139.64772252999683</v>
      </c>
      <c r="J422" s="63">
        <f t="shared" ref="J422:J427" si="84">IF(F422="","",IF(E422=0,"-",(F422-E422)/E422))</f>
        <v>1.8061204245115509E-2</v>
      </c>
      <c r="K422" s="64">
        <f t="shared" ref="K422:K427" si="85">IF(H422="","",IF(G422=0,"-",(H422-G422)/G422))</f>
        <v>3.0686042541396032E-2</v>
      </c>
      <c r="M422" s="42"/>
    </row>
    <row r="423" spans="3:15" ht="15.75" customHeight="1">
      <c r="C423" s="35"/>
      <c r="D423" s="19" t="str">
        <f>IF(Indice_index!$Z$1=1,"agosto","August")</f>
        <v>August</v>
      </c>
      <c r="E423" s="40">
        <v>15795.19962802</v>
      </c>
      <c r="F423" s="40">
        <v>15911.097511919997</v>
      </c>
      <c r="G423" s="40">
        <v>15067.51715743</v>
      </c>
      <c r="H423" s="40">
        <v>15642.34336234</v>
      </c>
      <c r="I423" s="24">
        <f t="shared" si="81"/>
        <v>268.75414957999783</v>
      </c>
      <c r="J423" s="63">
        <f t="shared" si="84"/>
        <v>7.3375384059343931E-3</v>
      </c>
      <c r="K423" s="64">
        <f t="shared" si="85"/>
        <v>3.8150028229869626E-2</v>
      </c>
      <c r="M423" s="42"/>
    </row>
    <row r="424" spans="3:15" ht="15.75" customHeight="1">
      <c r="C424" s="35"/>
      <c r="D424" s="19" t="str">
        <f>IF(Indice_index!$Z$1=1,"setembro","September")</f>
        <v>September</v>
      </c>
      <c r="E424" s="40">
        <v>17625.833886320004</v>
      </c>
      <c r="F424" s="40">
        <v>17678.502423180002</v>
      </c>
      <c r="G424" s="40">
        <v>16822.158317509999</v>
      </c>
      <c r="H424" s="40">
        <v>17434.273757959996</v>
      </c>
      <c r="I424" s="24">
        <f t="shared" si="81"/>
        <v>244.2286652200055</v>
      </c>
      <c r="J424" s="63">
        <f t="shared" si="84"/>
        <v>2.9881444021139453E-3</v>
      </c>
      <c r="K424" s="64">
        <f t="shared" si="85"/>
        <v>3.6387449749111761E-2</v>
      </c>
      <c r="M424" s="42"/>
    </row>
    <row r="425" spans="3:15" ht="15.75" customHeight="1">
      <c r="C425" s="35"/>
      <c r="D425" s="19" t="str">
        <f>IF(Indice_index!$Z$1=1,"outubro","October")</f>
        <v>October</v>
      </c>
      <c r="E425" s="40">
        <v>19592.183923100001</v>
      </c>
      <c r="F425" s="40">
        <v>19492.85743806</v>
      </c>
      <c r="G425" s="40">
        <v>18553.239701250004</v>
      </c>
      <c r="H425" s="40">
        <v>19256.160851750003</v>
      </c>
      <c r="I425" s="24">
        <f t="shared" si="81"/>
        <v>236.69658630999766</v>
      </c>
      <c r="J425" s="63">
        <f t="shared" si="84"/>
        <v>-5.0696995000588437E-3</v>
      </c>
      <c r="K425" s="64">
        <f t="shared" si="85"/>
        <v>3.7886706678652994E-2</v>
      </c>
      <c r="M425" s="42"/>
    </row>
    <row r="426" spans="3:15" ht="15.75" customHeight="1">
      <c r="C426" s="35"/>
      <c r="D426" s="19" t="str">
        <f>IF(Indice_index!$Z$1=1,"novembro","November")</f>
        <v>November</v>
      </c>
      <c r="E426" s="40">
        <v>21316.245875430002</v>
      </c>
      <c r="F426" s="40">
        <v>21236.805954370004</v>
      </c>
      <c r="G426" s="40">
        <v>20353.15681524</v>
      </c>
      <c r="H426" s="40">
        <v>21121.645655999997</v>
      </c>
      <c r="I426" s="24">
        <f t="shared" si="81"/>
        <v>115.16029837000679</v>
      </c>
      <c r="J426" s="63">
        <f t="shared" si="84"/>
        <v>-3.7267313167730146E-3</v>
      </c>
      <c r="K426" s="64">
        <f t="shared" si="85"/>
        <v>3.7757722191997745E-2</v>
      </c>
      <c r="M426" s="42"/>
    </row>
    <row r="427" spans="3:15" ht="15.75" customHeight="1">
      <c r="C427" s="35"/>
      <c r="D427" s="44" t="str">
        <f>IF(Indice_index!$Z$1=1,"dezembro","December")</f>
        <v>December</v>
      </c>
      <c r="E427" s="40">
        <v>23542.592549230001</v>
      </c>
      <c r="F427" s="40">
        <v>24180.345967390003</v>
      </c>
      <c r="G427" s="40">
        <v>23103.15896791</v>
      </c>
      <c r="H427" s="40">
        <v>23767.325134610001</v>
      </c>
      <c r="I427" s="24">
        <f>IF(F427="","",+F427-H427)</f>
        <v>413.02083278000282</v>
      </c>
      <c r="J427" s="63">
        <f t="shared" si="84"/>
        <v>2.7089345271825677E-2</v>
      </c>
      <c r="K427" s="64">
        <f t="shared" si="85"/>
        <v>2.8747850786228813E-2</v>
      </c>
      <c r="M427" s="82"/>
    </row>
    <row r="428" spans="3:15" ht="15.75" customHeight="1">
      <c r="E428" s="40"/>
      <c r="F428" s="40"/>
      <c r="G428" s="40"/>
      <c r="H428" s="40"/>
      <c r="I428" s="24"/>
      <c r="J428" s="63"/>
      <c r="K428" s="64"/>
      <c r="M428" s="82"/>
    </row>
    <row r="429" spans="3:15" ht="15.75" customHeight="1">
      <c r="C429" s="32">
        <v>2013</v>
      </c>
      <c r="D429" s="36" t="str">
        <f>IF(Indice_index!$Z$1=1,"janeiro","January")</f>
        <v>January</v>
      </c>
      <c r="E429" s="36">
        <v>2016.92845751</v>
      </c>
      <c r="F429" s="36">
        <v>2068.1436699599999</v>
      </c>
      <c r="G429" s="36">
        <v>1788.1393527299999</v>
      </c>
      <c r="H429" s="36">
        <v>1927.0954650299998</v>
      </c>
      <c r="I429" s="36">
        <f t="shared" ref="I429:I440" si="86">IF(F429="","",+F429-H429)</f>
        <v>141.04820493000011</v>
      </c>
      <c r="J429" s="220">
        <f t="shared" ref="J429:J440" si="87">IF(F429="","",IF(E429=0,"-",(F429-E429)/E429))</f>
        <v>2.5392676799864095E-2</v>
      </c>
      <c r="K429" s="220">
        <f t="shared" ref="K429:K440" si="88">IF(H429="","",IF(G429=0,"-",(H429-G429)/G429))</f>
        <v>7.7709889941100993E-2</v>
      </c>
      <c r="M429" s="82"/>
      <c r="N429"/>
      <c r="O429"/>
    </row>
    <row r="430" spans="3:15" ht="15.75" customHeight="1">
      <c r="C430" s="35"/>
      <c r="D430" s="19" t="str">
        <f>IF(Indice_index!$Z$1=1,"fevereiro","February")</f>
        <v>February</v>
      </c>
      <c r="E430" s="40">
        <v>4056.7198456199999</v>
      </c>
      <c r="F430" s="40">
        <v>3986.9205790600004</v>
      </c>
      <c r="G430" s="40">
        <v>3643.2742183399992</v>
      </c>
      <c r="H430" s="40">
        <v>3922.3945441699998</v>
      </c>
      <c r="I430" s="24">
        <f t="shared" si="86"/>
        <v>64.526034890000574</v>
      </c>
      <c r="J430" s="63">
        <f t="shared" si="87"/>
        <v>-1.7205838513931669E-2</v>
      </c>
      <c r="K430" s="64">
        <f t="shared" si="88"/>
        <v>7.6612494449341081E-2</v>
      </c>
      <c r="M430" s="82"/>
      <c r="N430"/>
      <c r="O430"/>
    </row>
    <row r="431" spans="3:15" ht="15.75" customHeight="1">
      <c r="C431" s="32"/>
      <c r="D431" s="36" t="str">
        <f>IF(Indice_index!$Z$1=1,"março","March")</f>
        <v>March</v>
      </c>
      <c r="E431" s="36">
        <v>5806.3899461199999</v>
      </c>
      <c r="F431" s="36">
        <v>6134.0282257500003</v>
      </c>
      <c r="G431" s="36">
        <v>5528.1774671299991</v>
      </c>
      <c r="H431" s="36">
        <v>5999.31502877</v>
      </c>
      <c r="I431" s="36">
        <f t="shared" si="86"/>
        <v>134.71319698000025</v>
      </c>
      <c r="J431" s="220">
        <f t="shared" si="87"/>
        <v>5.6427191881753984E-2</v>
      </c>
      <c r="K431" s="220">
        <f t="shared" si="88"/>
        <v>8.5224753445658843E-2</v>
      </c>
      <c r="M431" s="83"/>
      <c r="N431"/>
      <c r="O431"/>
    </row>
    <row r="432" spans="3:15" ht="15.75" customHeight="1">
      <c r="C432" s="32"/>
      <c r="D432" s="36" t="str">
        <f>IF(Indice_index!$Z$1=1,"abril","April")</f>
        <v>April</v>
      </c>
      <c r="E432" s="36">
        <v>7697.4214663899984</v>
      </c>
      <c r="F432" s="36">
        <v>8121.5230206799988</v>
      </c>
      <c r="G432" s="36">
        <v>7422.1091030899997</v>
      </c>
      <c r="H432" s="36">
        <v>8063.1269530600011</v>
      </c>
      <c r="I432" s="36">
        <f t="shared" si="86"/>
        <v>58.396067619997666</v>
      </c>
      <c r="J432" s="220">
        <f t="shared" si="87"/>
        <v>5.5096574371274375E-2</v>
      </c>
      <c r="K432" s="220">
        <f t="shared" si="88"/>
        <v>8.6365996654930666E-2</v>
      </c>
      <c r="M432" s="83"/>
    </row>
    <row r="433" spans="3:15" ht="15.75" customHeight="1">
      <c r="C433" s="32"/>
      <c r="D433" s="36" t="str">
        <f>IF(Indice_index!$Z$1=1,"maio","May")</f>
        <v>May</v>
      </c>
      <c r="E433" s="40">
        <v>9598.6801275299986</v>
      </c>
      <c r="F433" s="40">
        <v>10328.530085469996</v>
      </c>
      <c r="G433" s="40">
        <v>9283.4096435400006</v>
      </c>
      <c r="H433" s="40">
        <v>9997.0277736999997</v>
      </c>
      <c r="I433" s="40">
        <f t="shared" si="86"/>
        <v>331.5023117699966</v>
      </c>
      <c r="J433" s="241">
        <f t="shared" si="87"/>
        <v>7.6036491292871947E-2</v>
      </c>
      <c r="K433" s="241">
        <f t="shared" si="88"/>
        <v>7.6870261850028446E-2</v>
      </c>
      <c r="M433" s="83"/>
      <c r="N433" s="223"/>
    </row>
    <row r="434" spans="3:15" ht="15.75" customHeight="1">
      <c r="C434" s="32"/>
      <c r="D434" s="36" t="str">
        <f>IF(Indice_index!$Z$1=1,"junho","June")</f>
        <v>June</v>
      </c>
      <c r="E434" s="40">
        <v>11429.842725989998</v>
      </c>
      <c r="F434" s="40">
        <v>12382.62343942</v>
      </c>
      <c r="G434" s="40">
        <v>11156.007194149999</v>
      </c>
      <c r="H434" s="40">
        <v>11964.521080439999</v>
      </c>
      <c r="I434" s="40">
        <f t="shared" si="86"/>
        <v>418.10235898000064</v>
      </c>
      <c r="J434" s="241">
        <f t="shared" si="87"/>
        <v>8.3359039688577746E-2</v>
      </c>
      <c r="K434" s="241">
        <f t="shared" si="88"/>
        <v>7.2473410264020793E-2</v>
      </c>
      <c r="M434" s="83"/>
      <c r="N434" s="223"/>
    </row>
    <row r="435" spans="3:15" ht="15.75" customHeight="1">
      <c r="C435" s="32"/>
      <c r="D435" s="45" t="str">
        <f>IF(Indice_index!$Z$1=1,"julho","July")</f>
        <v>July</v>
      </c>
      <c r="E435" s="45">
        <v>13874.46268914</v>
      </c>
      <c r="F435" s="45">
        <v>14907.64584347</v>
      </c>
      <c r="G435" s="45">
        <v>13734.821367559998</v>
      </c>
      <c r="H435" s="45">
        <v>14735.363023219998</v>
      </c>
      <c r="I435" s="45">
        <f t="shared" si="86"/>
        <v>172.28282025000226</v>
      </c>
      <c r="J435" s="221">
        <f t="shared" si="87"/>
        <v>7.4466534487040423E-2</v>
      </c>
      <c r="K435" s="221">
        <f t="shared" si="88"/>
        <v>7.2847081799196814E-2</v>
      </c>
      <c r="M435" s="83"/>
      <c r="N435" s="223"/>
    </row>
    <row r="436" spans="3:15" ht="15.75" customHeight="1">
      <c r="C436" s="32"/>
      <c r="D436" s="45" t="str">
        <f>IF(Indice_index!$Z$1=1,"agosto","August")</f>
        <v>August</v>
      </c>
      <c r="E436" s="45">
        <v>15911.119858469996</v>
      </c>
      <c r="F436" s="45">
        <v>17161.403245190002</v>
      </c>
      <c r="G436" s="45">
        <v>15642.34499336</v>
      </c>
      <c r="H436" s="45">
        <v>16669.992650600001</v>
      </c>
      <c r="I436" s="45">
        <f t="shared" si="86"/>
        <v>491.41059459000098</v>
      </c>
      <c r="J436" s="221">
        <f t="shared" si="87"/>
        <v>7.857921993180389E-2</v>
      </c>
      <c r="K436" s="221">
        <f t="shared" si="88"/>
        <v>6.5696521696473609E-2</v>
      </c>
      <c r="M436" s="83"/>
      <c r="N436" s="223"/>
    </row>
    <row r="437" spans="3:15" ht="15.75" customHeight="1">
      <c r="C437" s="61"/>
      <c r="D437" s="45" t="str">
        <f>IF(Indice_index!$Z$1=1,"setembro","September")</f>
        <v>September</v>
      </c>
      <c r="E437" s="45">
        <v>17678.502479679999</v>
      </c>
      <c r="F437" s="45">
        <v>19008.002672300001</v>
      </c>
      <c r="G437" s="45">
        <v>17434.273757949999</v>
      </c>
      <c r="H437" s="45">
        <v>18580.500394619998</v>
      </c>
      <c r="I437" s="45">
        <f t="shared" si="86"/>
        <v>427.50227768000332</v>
      </c>
      <c r="J437" s="221">
        <f t="shared" si="87"/>
        <v>7.5204344607138207E-2</v>
      </c>
      <c r="K437" s="221">
        <f t="shared" si="88"/>
        <v>6.5745591275192708E-2</v>
      </c>
      <c r="M437" s="83"/>
      <c r="N437" s="223"/>
    </row>
    <row r="438" spans="3:15" ht="15.75" customHeight="1">
      <c r="C438" s="61"/>
      <c r="D438" s="45" t="str">
        <f>IF(Indice_index!$Z$1=1,"outubro","October")</f>
        <v>October</v>
      </c>
      <c r="E438" s="45">
        <v>19492.857494560001</v>
      </c>
      <c r="F438" s="45">
        <v>21093.17873113</v>
      </c>
      <c r="G438" s="45">
        <v>19256.160851740002</v>
      </c>
      <c r="H438" s="45">
        <v>20542.694277539995</v>
      </c>
      <c r="I438" s="45">
        <f t="shared" si="86"/>
        <v>550.4844535900047</v>
      </c>
      <c r="J438" s="221">
        <f t="shared" si="87"/>
        <v>8.209782670481279E-2</v>
      </c>
      <c r="K438" s="221">
        <f t="shared" si="88"/>
        <v>6.6811522592975264E-2</v>
      </c>
      <c r="M438" s="83"/>
      <c r="N438" s="223"/>
    </row>
    <row r="439" spans="3:15" ht="15.75" customHeight="1">
      <c r="C439" s="61"/>
      <c r="D439" s="45" t="str">
        <f>IF(Indice_index!$Z$1=1,"novembro","November")</f>
        <v>November</v>
      </c>
      <c r="E439" s="45">
        <v>21236.80595437</v>
      </c>
      <c r="F439" s="45">
        <v>22943.488604979997</v>
      </c>
      <c r="G439" s="45">
        <v>21121.64565599999</v>
      </c>
      <c r="H439" s="45">
        <v>22507.486921409996</v>
      </c>
      <c r="I439" s="45">
        <f t="shared" si="86"/>
        <v>436.00168357000075</v>
      </c>
      <c r="J439" s="221">
        <f t="shared" si="87"/>
        <v>8.0364375616419126E-2</v>
      </c>
      <c r="K439" s="221">
        <f t="shared" si="88"/>
        <v>6.56123716864047E-2</v>
      </c>
      <c r="M439" s="83"/>
      <c r="N439" s="223"/>
    </row>
    <row r="440" spans="3:15" ht="15.75" customHeight="1">
      <c r="C440" s="61"/>
      <c r="D440" s="45" t="str">
        <f>IF(Indice_index!$Z$1=1,"dezembro","December")</f>
        <v>December</v>
      </c>
      <c r="E440" s="45">
        <v>24192.245710929994</v>
      </c>
      <c r="F440" s="45">
        <v>25336.481583359993</v>
      </c>
      <c r="G440" s="45">
        <v>23760.782702559998</v>
      </c>
      <c r="H440" s="45">
        <v>24857.870727289996</v>
      </c>
      <c r="I440" s="45">
        <f t="shared" si="86"/>
        <v>478.61085606999768</v>
      </c>
      <c r="J440" s="221">
        <f t="shared" si="87"/>
        <v>4.7297629418216289E-2</v>
      </c>
      <c r="K440" s="221">
        <f t="shared" si="88"/>
        <v>4.6172217408132626E-2</v>
      </c>
      <c r="M440" s="83"/>
      <c r="N440" s="223"/>
    </row>
    <row r="441" spans="3:15" ht="15.75" customHeight="1">
      <c r="E441" s="40"/>
      <c r="F441" s="40"/>
      <c r="G441" s="40"/>
      <c r="H441" s="40"/>
      <c r="I441" s="24"/>
      <c r="J441" s="63"/>
      <c r="K441" s="64"/>
      <c r="M441" s="82"/>
    </row>
    <row r="442" spans="3:15" ht="15.75" customHeight="1">
      <c r="C442" s="32" t="s">
        <v>16</v>
      </c>
      <c r="D442" s="36" t="str">
        <f>IF(Indice_index!$Z$1=1,"janeiro","January")</f>
        <v>January</v>
      </c>
      <c r="E442" s="36">
        <v>2068.1317907400003</v>
      </c>
      <c r="F442" s="36">
        <v>2083.5382497099999</v>
      </c>
      <c r="G442" s="36">
        <v>1927.0954650300002</v>
      </c>
      <c r="H442" s="36">
        <v>1948.0417640799999</v>
      </c>
      <c r="I442" s="36">
        <f t="shared" ref="I442:I451" si="89">IF(F442="","",+F442-H442)</f>
        <v>135.49648563000005</v>
      </c>
      <c r="J442" s="220">
        <f t="shared" ref="J442:J451" si="90">IF(F442="","",IF(E442=0,"-",(F442-E442)/E442))</f>
        <v>7.4494570602229729E-3</v>
      </c>
      <c r="K442" s="220">
        <f t="shared" ref="K442:K451" si="91">IF(H442="","",IF(G442=0,"-",(H442-G442)/G442))</f>
        <v>1.0869362431753514E-2</v>
      </c>
      <c r="M442" s="82"/>
      <c r="N442"/>
      <c r="O442"/>
    </row>
    <row r="443" spans="3:15" ht="15.75" customHeight="1">
      <c r="C443" s="35"/>
      <c r="D443" s="19" t="str">
        <f>IF(Indice_index!$Z$1=1,"fevereiro","February")</f>
        <v>February</v>
      </c>
      <c r="E443" s="40">
        <v>3986.9</v>
      </c>
      <c r="F443" s="40">
        <v>3976.1</v>
      </c>
      <c r="G443" s="40">
        <v>3922.4</v>
      </c>
      <c r="H443" s="40">
        <v>3881.6</v>
      </c>
      <c r="I443" s="24">
        <f t="shared" si="89"/>
        <v>94.5</v>
      </c>
      <c r="J443" s="63">
        <f t="shared" si="90"/>
        <v>-2.7088715543405104E-3</v>
      </c>
      <c r="K443" s="64">
        <f t="shared" si="91"/>
        <v>-1.0401794819498312E-2</v>
      </c>
      <c r="M443" s="82"/>
      <c r="N443"/>
      <c r="O443"/>
    </row>
    <row r="444" spans="3:15" ht="15.75" customHeight="1">
      <c r="C444" s="32"/>
      <c r="D444" s="36" t="str">
        <f>IF(Indice_index!$Z$1=1,"março","March")</f>
        <v>March</v>
      </c>
      <c r="E444" s="36">
        <v>6134</v>
      </c>
      <c r="F444" s="36">
        <v>5998.5</v>
      </c>
      <c r="G444" s="36">
        <v>5999.3</v>
      </c>
      <c r="H444" s="36">
        <v>5924.3</v>
      </c>
      <c r="I444" s="36">
        <f t="shared" si="89"/>
        <v>74.199999999999818</v>
      </c>
      <c r="J444" s="220">
        <f t="shared" si="90"/>
        <v>-2.2089990218454515E-2</v>
      </c>
      <c r="K444" s="220">
        <f t="shared" si="91"/>
        <v>-1.2501458503492074E-2</v>
      </c>
      <c r="M444" s="83"/>
      <c r="N444"/>
      <c r="O444"/>
    </row>
    <row r="445" spans="3:15" ht="15.75" customHeight="1">
      <c r="C445" s="32"/>
      <c r="D445" s="36" t="str">
        <f>IF(Indice_index!$Z$1=1,"abril","April")</f>
        <v>April</v>
      </c>
      <c r="E445" s="36">
        <v>8121.5</v>
      </c>
      <c r="F445" s="36">
        <v>7945.3</v>
      </c>
      <c r="G445" s="36">
        <v>8063.1</v>
      </c>
      <c r="H445" s="36">
        <v>7895.1</v>
      </c>
      <c r="I445" s="36">
        <f t="shared" si="89"/>
        <v>50.199999999999818</v>
      </c>
      <c r="J445" s="220">
        <f t="shared" si="90"/>
        <v>-2.1695499599827597E-2</v>
      </c>
      <c r="K445" s="220">
        <f t="shared" si="91"/>
        <v>-2.0835658741675037E-2</v>
      </c>
      <c r="M445" s="83"/>
    </row>
    <row r="446" spans="3:15" ht="15.75" customHeight="1">
      <c r="C446" s="32"/>
      <c r="D446" s="36" t="str">
        <f>IF(Indice_index!$Z$1=1,"maio","May")</f>
        <v>May</v>
      </c>
      <c r="E446" s="40">
        <v>10328.53008547</v>
      </c>
      <c r="F446" s="40">
        <v>10158.047307030001</v>
      </c>
      <c r="G446" s="40">
        <v>9997.0278366999992</v>
      </c>
      <c r="H446" s="40">
        <v>9819.6660434099977</v>
      </c>
      <c r="I446" s="40">
        <f t="shared" si="89"/>
        <v>338.38126362000366</v>
      </c>
      <c r="J446" s="241">
        <f t="shared" si="90"/>
        <v>-1.6506005891373726E-2</v>
      </c>
      <c r="K446" s="241">
        <f t="shared" si="91"/>
        <v>-1.7741452378364921E-2</v>
      </c>
      <c r="M446" s="83"/>
      <c r="N446" s="223"/>
    </row>
    <row r="447" spans="3:15" ht="15.75" customHeight="1">
      <c r="C447" s="32"/>
      <c r="D447" s="36" t="str">
        <f>IF(Indice_index!$Z$1=1,"junho","June")</f>
        <v>June</v>
      </c>
      <c r="E447" s="40">
        <v>12382.62343942</v>
      </c>
      <c r="F447" s="40">
        <v>12198.94653662</v>
      </c>
      <c r="G447" s="40">
        <v>11964.521080439999</v>
      </c>
      <c r="H447" s="40">
        <v>11728.962881749998</v>
      </c>
      <c r="I447" s="40">
        <f t="shared" si="89"/>
        <v>469.98365487000228</v>
      </c>
      <c r="J447" s="241">
        <f t="shared" si="90"/>
        <v>-1.4833440078236221E-2</v>
      </c>
      <c r="K447" s="241">
        <f t="shared" si="91"/>
        <v>-1.968805914639575E-2</v>
      </c>
      <c r="M447" s="83"/>
      <c r="N447" s="223"/>
    </row>
    <row r="448" spans="3:15" ht="15.75" customHeight="1">
      <c r="C448" s="32"/>
      <c r="D448" s="45" t="str">
        <f>IF(Indice_index!$Z$1=1,"julho","July")</f>
        <v>July</v>
      </c>
      <c r="E448" s="45">
        <v>14907.64584347</v>
      </c>
      <c r="F448" s="45">
        <v>14984.821136209999</v>
      </c>
      <c r="G448" s="45">
        <v>14735.363023219998</v>
      </c>
      <c r="H448" s="45">
        <v>14718.659164629998</v>
      </c>
      <c r="I448" s="45">
        <f t="shared" si="89"/>
        <v>266.16197158000068</v>
      </c>
      <c r="J448" s="221">
        <f t="shared" si="90"/>
        <v>5.1768933572972197E-3</v>
      </c>
      <c r="K448" s="221">
        <f t="shared" si="91"/>
        <v>-1.1335898928093674E-3</v>
      </c>
      <c r="M448" s="83"/>
      <c r="N448" s="223"/>
    </row>
    <row r="449" spans="3:15" ht="15.75" customHeight="1">
      <c r="C449" s="32"/>
      <c r="D449" s="45" t="str">
        <f>IF(Indice_index!$Z$1=1,"agosto","August")</f>
        <v>August</v>
      </c>
      <c r="E449" s="45">
        <v>17161.403245190002</v>
      </c>
      <c r="F449" s="45">
        <v>17035.940982200002</v>
      </c>
      <c r="G449" s="45">
        <v>16669.992650600001</v>
      </c>
      <c r="H449" s="45">
        <v>16625.60900104</v>
      </c>
      <c r="I449" s="45">
        <f t="shared" si="89"/>
        <v>410.33198116000131</v>
      </c>
      <c r="J449" s="221">
        <f t="shared" si="90"/>
        <v>-7.310722858584715E-3</v>
      </c>
      <c r="K449" s="221">
        <f t="shared" si="91"/>
        <v>-2.6624876501312243E-3</v>
      </c>
      <c r="M449" s="83"/>
      <c r="N449" s="223"/>
    </row>
    <row r="450" spans="3:15" ht="15.75" customHeight="1">
      <c r="C450" s="61"/>
      <c r="D450" s="45" t="str">
        <f>IF(Indice_index!$Z$1=1,"setembro","September")</f>
        <v>September</v>
      </c>
      <c r="E450" s="45">
        <v>19008.002672300001</v>
      </c>
      <c r="F450" s="45">
        <v>18989.748869110001</v>
      </c>
      <c r="G450" s="45">
        <v>18580.500394620001</v>
      </c>
      <c r="H450" s="45">
        <v>18490.955543700002</v>
      </c>
      <c r="I450" s="45">
        <f t="shared" si="89"/>
        <v>498.79332540999894</v>
      </c>
      <c r="J450" s="221">
        <f t="shared" si="90"/>
        <v>-9.6032200251114472E-4</v>
      </c>
      <c r="K450" s="221">
        <f t="shared" si="91"/>
        <v>-4.8192916777379888E-3</v>
      </c>
      <c r="M450" s="83"/>
      <c r="N450" s="223"/>
    </row>
    <row r="451" spans="3:15" ht="15.75" customHeight="1">
      <c r="C451" s="61"/>
      <c r="D451" s="45" t="str">
        <f>IF(Indice_index!$Z$1=1,"outubro","October")</f>
        <v>October</v>
      </c>
      <c r="E451" s="45">
        <v>21093.17873113</v>
      </c>
      <c r="F451" s="45">
        <v>20894.195551000004</v>
      </c>
      <c r="G451" s="45">
        <v>20542.694277540006</v>
      </c>
      <c r="H451" s="45">
        <v>20381.708759709989</v>
      </c>
      <c r="I451" s="45">
        <f t="shared" si="89"/>
        <v>512.48679129001539</v>
      </c>
      <c r="J451" s="221">
        <f t="shared" si="90"/>
        <v>-9.4335321701100126E-3</v>
      </c>
      <c r="K451" s="221">
        <f t="shared" si="91"/>
        <v>-7.8366311475524149E-3</v>
      </c>
      <c r="M451" s="83"/>
      <c r="N451" s="223"/>
    </row>
    <row r="452" spans="3:15" ht="15.75" customHeight="1">
      <c r="C452" s="61"/>
      <c r="D452" s="45" t="str">
        <f>IF(Indice_index!$Z$1=1,"novembro","November")</f>
        <v>November</v>
      </c>
      <c r="E452" s="45">
        <v>22943.488604979997</v>
      </c>
      <c r="F452" s="45">
        <v>22683.467954440006</v>
      </c>
      <c r="G452" s="45">
        <v>22507.486921409993</v>
      </c>
      <c r="H452" s="45">
        <v>22292.152215909999</v>
      </c>
      <c r="I452" s="45">
        <f>IF(F452="","",+F452-H452)</f>
        <v>391.31573853000737</v>
      </c>
      <c r="J452" s="221">
        <f>IF(F452="","",IF(E452=0,"-",(F452-E452)/E452))</f>
        <v>-1.1333091275559214E-2</v>
      </c>
      <c r="K452" s="221">
        <f>IF(H452="","",IF(G452=0,"-",(H452-G452)/G452))</f>
        <v>-9.5672478341044514E-3</v>
      </c>
      <c r="M452" s="83"/>
      <c r="N452" s="223"/>
    </row>
    <row r="453" spans="3:15" ht="15.75" customHeight="1">
      <c r="C453" s="61"/>
      <c r="D453" s="45" t="str">
        <f>IF(Indice_index!$Z$1=1,"dezembro","December")</f>
        <v>December</v>
      </c>
      <c r="E453" s="45">
        <v>25383.389481289996</v>
      </c>
      <c r="F453" s="45">
        <v>24669.50474919</v>
      </c>
      <c r="G453" s="45">
        <v>24894.255083469998</v>
      </c>
      <c r="H453" s="45">
        <v>24250.199606960014</v>
      </c>
      <c r="I453" s="45">
        <f>IF(F453="","",+F453-H453)</f>
        <v>419.30514222998681</v>
      </c>
      <c r="J453" s="221">
        <f>IF(F453="","",IF(E453=0,"-",(F453-E453)/E453))</f>
        <v>-2.8124090071824238E-2</v>
      </c>
      <c r="K453" s="221">
        <f>IF(H453="","",IF(G453=0,"-",(H453-G453)/G453))</f>
        <v>-2.5871650882923692E-2</v>
      </c>
      <c r="M453" s="83"/>
      <c r="N453" s="223"/>
    </row>
    <row r="454" spans="3:15" ht="15.75" customHeight="1">
      <c r="E454" s="40"/>
      <c r="F454" s="40"/>
      <c r="G454" s="40"/>
      <c r="H454" s="40"/>
      <c r="I454" s="24"/>
      <c r="J454" s="63"/>
      <c r="K454" s="64"/>
      <c r="M454" s="82"/>
    </row>
    <row r="455" spans="3:15" ht="15.75" customHeight="1">
      <c r="C455" s="32" t="s">
        <v>23</v>
      </c>
      <c r="D455" s="36" t="str">
        <f>IF(Indice_index!$Z$1=1,"janeiro","January")</f>
        <v>January</v>
      </c>
      <c r="E455" s="36">
        <v>2083.5382497100004</v>
      </c>
      <c r="F455" s="36">
        <v>2182.9860852699999</v>
      </c>
      <c r="G455" s="36">
        <v>1948.3449064199999</v>
      </c>
      <c r="H455" s="36">
        <v>1930.0894372400005</v>
      </c>
      <c r="I455" s="36">
        <f>IF(F455="","",+F455-H455)</f>
        <v>252.89664802999937</v>
      </c>
      <c r="J455" s="220">
        <f t="shared" ref="J455:J464" si="92">IF(F455="","",IF(E455=0,"-",(F455-E455)/E455))</f>
        <v>4.7730266326447925E-2</v>
      </c>
      <c r="K455" s="220">
        <f t="shared" ref="K455:K464" si="93">IF(H455="","",IF(G455=0,"-",(H455-G455)/G455))</f>
        <v>-9.369731775850227E-3</v>
      </c>
      <c r="M455" s="82"/>
      <c r="N455"/>
      <c r="O455"/>
    </row>
    <row r="456" spans="3:15" ht="15.75" customHeight="1">
      <c r="C456" s="35"/>
      <c r="D456" s="19" t="str">
        <f>IF(Indice_index!$Z$1=1,"fevereiro","February")</f>
        <v>February</v>
      </c>
      <c r="E456" s="40">
        <v>3976.1467374900017</v>
      </c>
      <c r="F456" s="40">
        <v>4183.4583745299997</v>
      </c>
      <c r="G456" s="40">
        <v>3881.614080809999</v>
      </c>
      <c r="H456" s="40">
        <v>3801.4849221799996</v>
      </c>
      <c r="I456" s="24">
        <f>IF(F456="","",+F456-H456)</f>
        <v>381.97345235000012</v>
      </c>
      <c r="J456" s="63">
        <f t="shared" si="92"/>
        <v>5.2138829557096873E-2</v>
      </c>
      <c r="K456" s="64">
        <f t="shared" si="93"/>
        <v>-2.0643257408340405E-2</v>
      </c>
      <c r="M456" s="82"/>
      <c r="N456"/>
      <c r="O456"/>
    </row>
    <row r="457" spans="3:15" ht="15.75" customHeight="1">
      <c r="C457" s="32"/>
      <c r="D457" s="36" t="str">
        <f>IF(Indice_index!$Z$1=1,"março","March")</f>
        <v>March</v>
      </c>
      <c r="E457" s="36">
        <v>5998.5379926299975</v>
      </c>
      <c r="F457" s="36">
        <v>6035.9124212299994</v>
      </c>
      <c r="G457" s="36">
        <v>5924.33080909</v>
      </c>
      <c r="H457" s="36">
        <v>5625.0303766100014</v>
      </c>
      <c r="I457" s="36">
        <f t="shared" ref="I457:I464" si="94">IF(F457="","",+F457-H457)</f>
        <v>410.88204461999794</v>
      </c>
      <c r="J457" s="220">
        <f t="shared" si="92"/>
        <v>6.230589627992918E-3</v>
      </c>
      <c r="K457" s="220">
        <f t="shared" si="93"/>
        <v>-5.0520546898017035E-2</v>
      </c>
      <c r="M457" s="83"/>
      <c r="N457"/>
      <c r="O457"/>
    </row>
    <row r="458" spans="3:15" ht="15.75" customHeight="1">
      <c r="C458" s="32"/>
      <c r="D458" s="36" t="str">
        <f>IF(Indice_index!$Z$1=1,"abril","April")</f>
        <v>April</v>
      </c>
      <c r="E458" s="36">
        <v>7945.3164578900005</v>
      </c>
      <c r="F458" s="36">
        <v>8022.2412280299995</v>
      </c>
      <c r="G458" s="36">
        <v>7895.1220031300008</v>
      </c>
      <c r="H458" s="36">
        <v>7455.3851960300008</v>
      </c>
      <c r="I458" s="36">
        <f t="shared" si="94"/>
        <v>566.85603199999878</v>
      </c>
      <c r="J458" s="220">
        <f t="shared" si="92"/>
        <v>9.6817754897112803E-3</v>
      </c>
      <c r="K458" s="220">
        <f t="shared" si="93"/>
        <v>-5.569727825936921E-2</v>
      </c>
      <c r="M458" s="83"/>
    </row>
    <row r="459" spans="3:15" ht="15.75" customHeight="1">
      <c r="C459" s="32"/>
      <c r="D459" s="36" t="str">
        <f>IF(Indice_index!$Z$1=1,"maio","May")</f>
        <v>May</v>
      </c>
      <c r="E459" s="40">
        <v>10158.04730703</v>
      </c>
      <c r="F459" s="40">
        <v>9914.8233579700027</v>
      </c>
      <c r="G459" s="40">
        <v>9819.6660434099995</v>
      </c>
      <c r="H459" s="40">
        <v>9242.1035910999999</v>
      </c>
      <c r="I459" s="40">
        <f t="shared" si="94"/>
        <v>672.71976687000279</v>
      </c>
      <c r="J459" s="241">
        <f t="shared" si="92"/>
        <v>-2.3943966956293927E-2</v>
      </c>
      <c r="K459" s="241">
        <f t="shared" si="93"/>
        <v>-5.8816913910998338E-2</v>
      </c>
      <c r="M459" s="83"/>
      <c r="N459" s="223"/>
    </row>
    <row r="460" spans="3:15" ht="15.75" customHeight="1">
      <c r="C460" s="32"/>
      <c r="D460" s="36" t="str">
        <f>IF(Indice_index!$Z$1=1,"junho","June")</f>
        <v>June</v>
      </c>
      <c r="E460" s="40">
        <v>12198.94653662</v>
      </c>
      <c r="F460" s="40">
        <v>11999.442430489999</v>
      </c>
      <c r="G460" s="40">
        <v>11728.962881749996</v>
      </c>
      <c r="H460" s="40">
        <v>11084.50227055</v>
      </c>
      <c r="I460" s="40">
        <f t="shared" si="94"/>
        <v>914.94015993999892</v>
      </c>
      <c r="J460" s="241">
        <f t="shared" si="92"/>
        <v>-1.6354207761392393E-2</v>
      </c>
      <c r="K460" s="241">
        <f t="shared" si="93"/>
        <v>-5.4946086682801494E-2</v>
      </c>
      <c r="M460" s="83"/>
      <c r="N460" s="223"/>
    </row>
    <row r="461" spans="3:15" ht="15.75" customHeight="1">
      <c r="C461" s="32"/>
      <c r="D461" s="45" t="str">
        <f>IF(Indice_index!$Z$1=1,"julho","July")</f>
        <v>July</v>
      </c>
      <c r="E461" s="45">
        <v>14984.821136209997</v>
      </c>
      <c r="F461" s="45">
        <v>14678.777503579997</v>
      </c>
      <c r="G461" s="45">
        <v>14718.659164629998</v>
      </c>
      <c r="H461" s="45">
        <v>14048.028929359998</v>
      </c>
      <c r="I461" s="45">
        <f t="shared" si="94"/>
        <v>630.74857421999877</v>
      </c>
      <c r="J461" s="221">
        <f t="shared" si="92"/>
        <v>-2.04235759538339E-2</v>
      </c>
      <c r="K461" s="221">
        <f t="shared" si="93"/>
        <v>-4.5563269572922331E-2</v>
      </c>
      <c r="M461" s="83"/>
      <c r="N461" s="223"/>
    </row>
    <row r="462" spans="3:15" ht="15.75" customHeight="1">
      <c r="C462" s="32"/>
      <c r="D462" s="45" t="str">
        <f>IF(Indice_index!$Z$1=1,"agosto","August")</f>
        <v>August</v>
      </c>
      <c r="E462" s="45">
        <v>17035.940982199998</v>
      </c>
      <c r="F462" s="45">
        <v>16688.065277440008</v>
      </c>
      <c r="G462" s="45">
        <v>16625.609001039993</v>
      </c>
      <c r="H462" s="45">
        <v>15881.823384699996</v>
      </c>
      <c r="I462" s="45">
        <f t="shared" si="94"/>
        <v>806.24189274001219</v>
      </c>
      <c r="J462" s="221">
        <f t="shared" si="92"/>
        <v>-2.0420105066310579E-2</v>
      </c>
      <c r="K462" s="221">
        <f t="shared" si="93"/>
        <v>-4.4737345639096343E-2</v>
      </c>
      <c r="M462" s="83"/>
      <c r="N462" s="223"/>
    </row>
    <row r="463" spans="3:15" ht="15.75" customHeight="1">
      <c r="C463" s="61"/>
      <c r="D463" s="45" t="str">
        <f>IF(Indice_index!$Z$1=1,"setembro","September")</f>
        <v>September</v>
      </c>
      <c r="E463" s="45">
        <v>18989.748869110008</v>
      </c>
      <c r="F463" s="45">
        <v>18590.811658840001</v>
      </c>
      <c r="G463" s="45">
        <v>18490.955543699998</v>
      </c>
      <c r="H463" s="45">
        <v>17769.193319200003</v>
      </c>
      <c r="I463" s="45">
        <f t="shared" si="94"/>
        <v>821.61833963999743</v>
      </c>
      <c r="J463" s="221">
        <f t="shared" si="92"/>
        <v>-2.1008029807015778E-2</v>
      </c>
      <c r="K463" s="221">
        <f t="shared" si="93"/>
        <v>-3.9033257248076852E-2</v>
      </c>
      <c r="M463" s="83"/>
      <c r="N463" s="223"/>
    </row>
    <row r="464" spans="3:15" ht="15.75" customHeight="1">
      <c r="C464" s="61"/>
      <c r="D464" s="45" t="str">
        <f>IF(Indice_index!$Z$1=1,"outubro","October")</f>
        <v>October</v>
      </c>
      <c r="E464" s="45">
        <v>20894.195551000004</v>
      </c>
      <c r="F464" s="45">
        <v>20525.553778760001</v>
      </c>
      <c r="G464" s="45">
        <v>20381.708759709993</v>
      </c>
      <c r="H464" s="45">
        <v>19658.902525699999</v>
      </c>
      <c r="I464" s="45">
        <f t="shared" si="94"/>
        <v>866.65125306000118</v>
      </c>
      <c r="J464" s="221">
        <f t="shared" si="92"/>
        <v>-1.7643262280196303E-2</v>
      </c>
      <c r="K464" s="221">
        <f t="shared" si="93"/>
        <v>-3.5463475733635098E-2</v>
      </c>
      <c r="M464" s="83"/>
      <c r="N464" s="223"/>
    </row>
    <row r="465" spans="2:17" ht="15.75" customHeight="1">
      <c r="C465" s="61"/>
      <c r="D465" s="45" t="str">
        <f>IF(Indice_index!$Z$1=1,"novembro","November")</f>
        <v>November</v>
      </c>
      <c r="E465" s="45">
        <v>22683.47357944</v>
      </c>
      <c r="F465" s="45">
        <v>22429.713111549994</v>
      </c>
      <c r="G465" s="45">
        <v>22292.152215909995</v>
      </c>
      <c r="H465" s="45">
        <v>21597.300176730008</v>
      </c>
      <c r="I465" s="45">
        <f>IF(F465="","",+F465-H465)</f>
        <v>832.41293481998582</v>
      </c>
      <c r="J465" s="221">
        <f>IF(F465="","",IF(E465=0,"-",(F465-E465)/E465))</f>
        <v>-1.1187019792242544E-2</v>
      </c>
      <c r="K465" s="221">
        <f>IF(H465="","",IF(G465=0,"-",(H465-G465)/G465))</f>
        <v>-3.117025365922578E-2</v>
      </c>
      <c r="M465" s="83"/>
      <c r="N465" s="223"/>
    </row>
    <row r="466" spans="2:17" ht="15.75" customHeight="1">
      <c r="C466" s="61"/>
      <c r="D466" s="45" t="str">
        <f>IF(Indice_index!$Z$1=1,"dezembro","December")</f>
        <v>December</v>
      </c>
      <c r="E466" s="45">
        <v>24681.03822137</v>
      </c>
      <c r="F466" s="45">
        <v>24591.040737900003</v>
      </c>
      <c r="G466" s="45">
        <v>24251.606755959991</v>
      </c>
      <c r="H466" s="45">
        <v>23562.946176929992</v>
      </c>
      <c r="I466" s="45">
        <f>IF(F466="","",+F466-H466)</f>
        <v>1028.0945609700102</v>
      </c>
      <c r="J466" s="221">
        <f>IF(F466="","",IF(E466=0,"-",(F466-E466)/E466))</f>
        <v>-3.6464221100744828E-3</v>
      </c>
      <c r="K466" s="221">
        <f>IF(H466="","",IF(G466=0,"-",(H466-G466)/G466))</f>
        <v>-2.8396492898795474E-2</v>
      </c>
      <c r="M466" s="83"/>
      <c r="N466" s="223"/>
    </row>
    <row r="467" spans="2:17" ht="15.75" customHeight="1">
      <c r="E467" s="40"/>
      <c r="F467" s="40"/>
      <c r="G467" s="40"/>
      <c r="H467" s="40"/>
      <c r="I467" s="24"/>
      <c r="J467" s="63"/>
      <c r="K467" s="64"/>
      <c r="M467" s="82"/>
    </row>
    <row r="468" spans="2:17" ht="15.75" customHeight="1">
      <c r="C468" s="32" t="s">
        <v>117</v>
      </c>
      <c r="D468" s="36" t="str">
        <f>IF(Indice_index!$Z$1=1,"janeiro","January")</f>
        <v>January</v>
      </c>
      <c r="E468" s="36">
        <v>2183.0068937699998</v>
      </c>
      <c r="F468" s="36">
        <v>2183.3557715899997</v>
      </c>
      <c r="G468" s="36">
        <v>1930.0894372400005</v>
      </c>
      <c r="H468" s="36">
        <v>1858.0971837799998</v>
      </c>
      <c r="I468" s="36">
        <f t="shared" ref="I468:I477" si="95">IF(F468="","",+F468-H468)</f>
        <v>325.25858780999988</v>
      </c>
      <c r="J468" s="220">
        <f t="shared" ref="J468:J477" si="96">IF(F468="","",IF(E468=0,"-",(F468-E468)/E468))</f>
        <v>1.5981526260659996E-4</v>
      </c>
      <c r="K468" s="220">
        <f t="shared" ref="K468:K477" si="97">IF(H468="","",IF(G468=0,"-",(H468-G468)/G468))</f>
        <v>-3.729995723045279E-2</v>
      </c>
      <c r="M468" s="82"/>
      <c r="N468"/>
      <c r="O468"/>
    </row>
    <row r="469" spans="2:17" ht="15.75" customHeight="1">
      <c r="C469" s="35"/>
      <c r="D469" s="19" t="str">
        <f>IF(Indice_index!$Z$1=1,"fevereiro","February")</f>
        <v>February</v>
      </c>
      <c r="E469" s="40">
        <v>4183.4583745299997</v>
      </c>
      <c r="F469" s="40">
        <v>4280.1518303600005</v>
      </c>
      <c r="G469" s="40">
        <v>3801.48492218</v>
      </c>
      <c r="H469" s="40">
        <v>3697.7653413099997</v>
      </c>
      <c r="I469" s="24">
        <f>IF(F469="","",+F469-H469)</f>
        <v>582.38648905000082</v>
      </c>
      <c r="J469" s="63">
        <f t="shared" si="96"/>
        <v>2.3113282641628794E-2</v>
      </c>
      <c r="K469" s="64">
        <f t="shared" si="97"/>
        <v>-2.7283964817232855E-2</v>
      </c>
      <c r="M469" s="82"/>
      <c r="N469"/>
      <c r="O469"/>
    </row>
    <row r="470" spans="2:17" ht="15.75" customHeight="1">
      <c r="C470" s="32"/>
      <c r="D470" s="36" t="str">
        <f>IF(Indice_index!$Z$1=1,"março","March")</f>
        <v>March</v>
      </c>
      <c r="E470" s="36">
        <v>6035.9124212300003</v>
      </c>
      <c r="F470" s="36">
        <v>6308.3873953600014</v>
      </c>
      <c r="G470" s="36">
        <v>5625.0303766100005</v>
      </c>
      <c r="H470" s="36">
        <v>5570.050496580001</v>
      </c>
      <c r="I470" s="36">
        <f t="shared" si="95"/>
        <v>738.33689878000041</v>
      </c>
      <c r="J470" s="220">
        <f t="shared" si="96"/>
        <v>4.5142300801388376E-2</v>
      </c>
      <c r="K470" s="220">
        <f t="shared" si="97"/>
        <v>-9.7741481110247639E-3</v>
      </c>
      <c r="M470" s="83"/>
      <c r="N470"/>
      <c r="O470"/>
    </row>
    <row r="471" spans="2:17" ht="15.75" customHeight="1">
      <c r="C471" s="32"/>
      <c r="D471" s="36" t="str">
        <f>IF(Indice_index!$Z$1=1,"abril","April")</f>
        <v>April</v>
      </c>
      <c r="E471" s="36">
        <v>8022.2412280299986</v>
      </c>
      <c r="F471" s="36">
        <v>8315.3694233699989</v>
      </c>
      <c r="G471" s="36">
        <v>7455.3851960300008</v>
      </c>
      <c r="H471" s="36">
        <v>7481.1584813899981</v>
      </c>
      <c r="I471" s="36">
        <f t="shared" si="95"/>
        <v>834.21094198000083</v>
      </c>
      <c r="J471" s="220">
        <f t="shared" si="96"/>
        <v>3.6539439167672973E-2</v>
      </c>
      <c r="K471" s="220">
        <f t="shared" si="97"/>
        <v>3.4570025132600276E-3</v>
      </c>
      <c r="M471" s="83"/>
    </row>
    <row r="472" spans="2:17" ht="15.75" customHeight="1">
      <c r="C472" s="32"/>
      <c r="D472" s="36" t="str">
        <f>IF(Indice_index!$Z$1=1,"maio","May")</f>
        <v>May</v>
      </c>
      <c r="E472" s="40">
        <v>9914.8233579700027</v>
      </c>
      <c r="F472" s="40">
        <v>10259.36562099</v>
      </c>
      <c r="G472" s="40">
        <v>9242.1035910999999</v>
      </c>
      <c r="H472" s="40">
        <v>9344.7518974100003</v>
      </c>
      <c r="I472" s="40">
        <f t="shared" si="95"/>
        <v>914.61372357999971</v>
      </c>
      <c r="J472" s="241">
        <f t="shared" si="96"/>
        <v>3.4750216981227204E-2</v>
      </c>
      <c r="K472" s="241">
        <f t="shared" si="97"/>
        <v>1.1106595516722958E-2</v>
      </c>
      <c r="M472" s="83"/>
      <c r="N472" s="223"/>
    </row>
    <row r="473" spans="2:17" ht="15.75" customHeight="1">
      <c r="C473" s="32"/>
      <c r="D473" s="36" t="str">
        <f>IF(Indice_index!$Z$1=1,"junho","June")</f>
        <v>June</v>
      </c>
      <c r="E473" s="40">
        <v>11999.442430490002</v>
      </c>
      <c r="F473" s="40">
        <v>12509.625856189999</v>
      </c>
      <c r="G473" s="40">
        <v>11084.502270550001</v>
      </c>
      <c r="H473" s="40">
        <v>11280.868608749999</v>
      </c>
      <c r="I473" s="40">
        <f t="shared" si="95"/>
        <v>1228.7572474400004</v>
      </c>
      <c r="J473" s="241">
        <f t="shared" si="96"/>
        <v>4.2517261002365074E-2</v>
      </c>
      <c r="K473" s="241">
        <f t="shared" si="97"/>
        <v>1.7715395189346124E-2</v>
      </c>
      <c r="M473" s="83"/>
      <c r="N473" s="223"/>
    </row>
    <row r="474" spans="2:17" ht="15.75" customHeight="1">
      <c r="C474" s="32"/>
      <c r="D474" s="45" t="str">
        <f>IF(Indice_index!$Z$1=1,"julho","July")</f>
        <v>July</v>
      </c>
      <c r="E474" s="45">
        <v>14678.777503579997</v>
      </c>
      <c r="F474" s="45">
        <v>15242.364096099998</v>
      </c>
      <c r="G474" s="45">
        <v>14048.02892936</v>
      </c>
      <c r="H474" s="45">
        <v>14350.568511939999</v>
      </c>
      <c r="I474" s="45">
        <f t="shared" si="95"/>
        <v>891.79558415999963</v>
      </c>
      <c r="J474" s="221">
        <f t="shared" si="96"/>
        <v>3.8394654621786366E-2</v>
      </c>
      <c r="K474" s="221">
        <f t="shared" si="97"/>
        <v>2.1536087667622838E-2</v>
      </c>
      <c r="M474" s="83"/>
      <c r="N474" s="223"/>
    </row>
    <row r="475" spans="2:17" ht="15.75" customHeight="1">
      <c r="C475" s="32"/>
      <c r="D475" s="45" t="str">
        <f>IF(Indice_index!$Z$1=1,"agosto","August")</f>
        <v>August</v>
      </c>
      <c r="E475" s="45">
        <v>16688.065277440004</v>
      </c>
      <c r="F475" s="45">
        <v>17310.190164080002</v>
      </c>
      <c r="G475" s="45">
        <v>15881.823384699997</v>
      </c>
      <c r="H475" s="45">
        <v>16281.622609689999</v>
      </c>
      <c r="I475" s="45">
        <f t="shared" si="95"/>
        <v>1028.5675543900034</v>
      </c>
      <c r="J475" s="221">
        <f t="shared" si="96"/>
        <v>3.7279629261819019E-2</v>
      </c>
      <c r="K475" s="221">
        <f t="shared" si="97"/>
        <v>2.5173383137804851E-2</v>
      </c>
      <c r="M475" s="83"/>
      <c r="N475" s="223"/>
    </row>
    <row r="476" spans="2:17" ht="15.75" customHeight="1">
      <c r="C476" s="61"/>
      <c r="D476" s="45" t="str">
        <f>IF(Indice_index!$Z$1=1,"setembro","September")</f>
        <v>September</v>
      </c>
      <c r="E476" s="45">
        <v>18590.811658840001</v>
      </c>
      <c r="F476" s="45">
        <v>19359.501704249997</v>
      </c>
      <c r="G476" s="45">
        <v>17769.193319200003</v>
      </c>
      <c r="H476" s="45">
        <v>18206.63945165</v>
      </c>
      <c r="I476" s="45">
        <f t="shared" si="95"/>
        <v>1152.8622525999963</v>
      </c>
      <c r="J476" s="221">
        <f t="shared" si="96"/>
        <v>4.134784750210091E-2</v>
      </c>
      <c r="K476" s="221">
        <f t="shared" si="97"/>
        <v>2.4618232498901733E-2</v>
      </c>
      <c r="M476" s="83"/>
      <c r="N476" s="223"/>
    </row>
    <row r="477" spans="2:17" ht="15.75" customHeight="1">
      <c r="C477" s="61"/>
      <c r="D477" s="45" t="str">
        <f>IF(Indice_index!$Z$1=1,"outubro","October")</f>
        <v>October</v>
      </c>
      <c r="E477" s="45">
        <v>20525.553778759997</v>
      </c>
      <c r="F477" s="45">
        <v>21310.698314639994</v>
      </c>
      <c r="G477" s="45">
        <v>19658.902525699999</v>
      </c>
      <c r="H477" s="45">
        <v>20102.443920220001</v>
      </c>
      <c r="I477" s="45">
        <f t="shared" si="95"/>
        <v>1208.2543944199933</v>
      </c>
      <c r="J477" s="221">
        <f t="shared" si="96"/>
        <v>3.825205128898744E-2</v>
      </c>
      <c r="K477" s="221">
        <f t="shared" si="97"/>
        <v>2.2561859388649078E-2</v>
      </c>
      <c r="M477" s="83"/>
      <c r="N477" s="223"/>
    </row>
    <row r="478" spans="2:17" ht="15.75" customHeight="1">
      <c r="C478" s="61"/>
      <c r="D478" s="45" t="str">
        <f>IF(Indice_index!$Z$1=1,"novembro","November")</f>
        <v>November</v>
      </c>
      <c r="E478" s="45">
        <v>22429.715799589998</v>
      </c>
      <c r="F478" s="45">
        <v>23373.373369409997</v>
      </c>
      <c r="G478" s="45">
        <v>21597.300176730005</v>
      </c>
      <c r="H478" s="45">
        <v>22071.217707409996</v>
      </c>
      <c r="I478" s="45">
        <f>IF(F478="","",+F478-H478)</f>
        <v>1302.155662000001</v>
      </c>
      <c r="J478" s="221">
        <f>IF(F478="","",IF(E478=0,"-",(F478-E478)/E478))</f>
        <v>4.207175776329939E-2</v>
      </c>
      <c r="K478" s="221">
        <f>IF(H478="","",IF(G478=0,"-",(H478-G478)/G478))</f>
        <v>2.1943369161975798E-2</v>
      </c>
      <c r="M478" s="83"/>
      <c r="N478" s="223"/>
    </row>
    <row r="479" spans="2:17" ht="15.75" customHeight="1">
      <c r="C479" s="61"/>
      <c r="D479" s="45" t="str">
        <f>IF(Indice_index!$Z$1=1,"dezembro","December")</f>
        <v>December</v>
      </c>
      <c r="E479" s="45">
        <v>24602.008120110004</v>
      </c>
      <c r="F479" s="45">
        <v>25711.72746102</v>
      </c>
      <c r="G479" s="45">
        <v>23565.130967140005</v>
      </c>
      <c r="H479" s="45">
        <v>24147.614241729996</v>
      </c>
      <c r="I479" s="45">
        <f>IF(F479="","",+F479-H479)</f>
        <v>1564.1132192900041</v>
      </c>
      <c r="J479" s="221">
        <f>IF(F479="","",IF(E479=0,"-",(F479-E479)/E479))</f>
        <v>4.5106860199875198E-2</v>
      </c>
      <c r="K479" s="221">
        <f>IF(H479="","",IF(G479=0,"-",(H479-G479)/G479))</f>
        <v>2.4718015588465224E-2</v>
      </c>
      <c r="M479" s="83"/>
      <c r="N479" s="223"/>
    </row>
    <row r="480" spans="2:17" ht="15.75" customHeight="1">
      <c r="B480" s="36"/>
      <c r="C480" s="36"/>
      <c r="D480" s="45"/>
      <c r="E480" s="45"/>
      <c r="F480" s="45"/>
      <c r="G480" s="45"/>
      <c r="H480" s="45"/>
      <c r="I480" s="45"/>
      <c r="J480" s="67"/>
      <c r="K480" s="67"/>
      <c r="M480" s="42"/>
      <c r="O480" s="272"/>
      <c r="P480" s="272"/>
      <c r="Q480" s="272"/>
    </row>
    <row r="481" spans="3:28" s="47" customFormat="1" ht="15.75" customHeight="1">
      <c r="C481" s="32" t="s">
        <v>136</v>
      </c>
      <c r="D481" s="85" t="str">
        <f>IF(Indice_index!$Z$1=1,"janeiro","January")</f>
        <v>January</v>
      </c>
      <c r="E481" s="85">
        <v>2183.3566097199996</v>
      </c>
      <c r="F481" s="85">
        <v>2313.3510139299997</v>
      </c>
      <c r="G481" s="85">
        <v>1858.0971837799998</v>
      </c>
      <c r="H481" s="85">
        <v>1917.2079874500002</v>
      </c>
      <c r="I481" s="85">
        <f t="shared" ref="I481:I505" si="98">IF(F481="","",+F481-H481)</f>
        <v>396.14302647999943</v>
      </c>
      <c r="J481" s="219">
        <f t="shared" ref="J481:J505" si="99">IF(F481="","",IF(E481=0,"-",(F481-E481)/E481))</f>
        <v>5.9538787036109035E-2</v>
      </c>
      <c r="K481" s="219">
        <f t="shared" ref="K481:K505" si="100">IF(H481="","",IF(G481=0,"-",(H481-G481)/G481))</f>
        <v>3.1812546828013072E-2</v>
      </c>
      <c r="L481"/>
      <c r="M481" s="218"/>
      <c r="O481" s="273"/>
      <c r="P481" s="273"/>
      <c r="Q481" s="272"/>
      <c r="Z481" s="14"/>
      <c r="AA481" s="14"/>
      <c r="AB481" s="14"/>
    </row>
    <row r="482" spans="3:28" s="47" customFormat="1" ht="15.75" customHeight="1">
      <c r="C482" s="85"/>
      <c r="D482" s="85" t="str">
        <f>IF(Indice_index!$Z$1=1,"fevereiro","February")</f>
        <v>February</v>
      </c>
      <c r="E482" s="85">
        <v>4280.1538169599999</v>
      </c>
      <c r="F482" s="85">
        <v>4431.7821906699992</v>
      </c>
      <c r="G482" s="85">
        <v>3697.7653413100002</v>
      </c>
      <c r="H482" s="85">
        <v>3752.9550989899999</v>
      </c>
      <c r="I482" s="85">
        <f t="shared" si="98"/>
        <v>678.82709167999928</v>
      </c>
      <c r="J482" s="219">
        <f t="shared" si="99"/>
        <v>3.542591696335206E-2</v>
      </c>
      <c r="K482" s="219">
        <f t="shared" si="100"/>
        <v>1.4925164953936141E-2</v>
      </c>
      <c r="L482"/>
      <c r="M482" s="218"/>
      <c r="O482" s="273"/>
      <c r="P482" s="274"/>
      <c r="Q482" s="273"/>
      <c r="Z482" s="14"/>
      <c r="AA482" s="14"/>
      <c r="AB482" s="14"/>
    </row>
    <row r="483" spans="3:28" s="47" customFormat="1" ht="15.75" customHeight="1">
      <c r="C483" s="85"/>
      <c r="D483" s="85" t="str">
        <f>IF(Indice_index!$Z$1=1,"março","March")</f>
        <v>March</v>
      </c>
      <c r="E483" s="85">
        <v>6308.3873953600005</v>
      </c>
      <c r="F483" s="85">
        <v>6470.6130700999993</v>
      </c>
      <c r="G483" s="85">
        <v>5570.0504965800001</v>
      </c>
      <c r="H483" s="85">
        <v>5592.5704339100002</v>
      </c>
      <c r="I483" s="85">
        <f t="shared" si="98"/>
        <v>878.04263618999903</v>
      </c>
      <c r="J483" s="219">
        <f t="shared" si="99"/>
        <v>2.5715870724635652E-2</v>
      </c>
      <c r="K483" s="219">
        <f t="shared" si="100"/>
        <v>4.0430400664818698E-3</v>
      </c>
      <c r="L483"/>
      <c r="M483" s="218"/>
      <c r="O483" s="273"/>
      <c r="P483" s="273"/>
      <c r="Q483" s="273"/>
      <c r="Z483" s="14"/>
      <c r="AA483" s="14"/>
      <c r="AB483" s="14"/>
    </row>
    <row r="484" spans="3:28" s="47" customFormat="1" ht="15.75" customHeight="1">
      <c r="C484" s="85"/>
      <c r="D484" s="85" t="str">
        <f>IF(Indice_index!$Z$1=1,"abril","April")</f>
        <v>April</v>
      </c>
      <c r="E484" s="85">
        <v>8315.3694233700007</v>
      </c>
      <c r="F484" s="85">
        <v>8548.2314705200006</v>
      </c>
      <c r="G484" s="85">
        <v>7481.1584813899981</v>
      </c>
      <c r="H484" s="85">
        <v>7473.4654060299981</v>
      </c>
      <c r="I484" s="85">
        <f t="shared" si="98"/>
        <v>1074.7660644900025</v>
      </c>
      <c r="J484" s="219">
        <f t="shared" si="99"/>
        <v>2.8003812614211792E-2</v>
      </c>
      <c r="K484" s="219">
        <f t="shared" si="100"/>
        <v>-1.0283267463370987E-3</v>
      </c>
      <c r="L484"/>
      <c r="M484" s="218"/>
      <c r="N484"/>
      <c r="O484"/>
      <c r="P484"/>
      <c r="Q484"/>
      <c r="Z484" s="14"/>
      <c r="AA484" s="14"/>
      <c r="AB484" s="14"/>
    </row>
    <row r="485" spans="3:28" s="47" customFormat="1" ht="15.75" customHeight="1">
      <c r="C485" s="85"/>
      <c r="D485" s="85" t="str">
        <f>IF(Indice_index!$Z$1=1,"maio","May")</f>
        <v>May</v>
      </c>
      <c r="E485" s="85">
        <v>10259.365620989998</v>
      </c>
      <c r="F485" s="85">
        <v>10601.41240159</v>
      </c>
      <c r="G485" s="85">
        <v>9344.7518974100003</v>
      </c>
      <c r="H485" s="85">
        <v>9315.4534592499986</v>
      </c>
      <c r="I485" s="85">
        <f t="shared" si="98"/>
        <v>1285.9589423400012</v>
      </c>
      <c r="J485" s="219">
        <f t="shared" si="99"/>
        <v>3.3339954265807228E-2</v>
      </c>
      <c r="K485" s="219">
        <f t="shared" si="100"/>
        <v>-3.1352826144182737E-3</v>
      </c>
      <c r="M485"/>
      <c r="N485"/>
      <c r="O485"/>
      <c r="P485"/>
      <c r="Q485"/>
      <c r="Z485" s="14"/>
      <c r="AA485" s="14"/>
      <c r="AB485" s="14"/>
    </row>
    <row r="486" spans="3:28" s="47" customFormat="1" ht="15.75" customHeight="1">
      <c r="C486" s="85"/>
      <c r="D486" s="40" t="str">
        <f>IF(Indice_index!$Z$1=1,"junho","June")</f>
        <v>June</v>
      </c>
      <c r="E486" s="40">
        <v>12509.625856189999</v>
      </c>
      <c r="F486" s="40">
        <v>12825.147524280001</v>
      </c>
      <c r="G486" s="40">
        <v>11280.868608749999</v>
      </c>
      <c r="H486" s="40">
        <v>11177.444652360002</v>
      </c>
      <c r="I486" s="40">
        <f t="shared" si="98"/>
        <v>1647.7028719199989</v>
      </c>
      <c r="J486" s="241">
        <f t="shared" si="99"/>
        <v>2.5222310540476724E-2</v>
      </c>
      <c r="K486" s="241">
        <f t="shared" si="100"/>
        <v>-9.1680844779786375E-3</v>
      </c>
      <c r="L486"/>
      <c r="M486"/>
      <c r="N486"/>
      <c r="O486"/>
      <c r="P486"/>
      <c r="Q486"/>
      <c r="Z486" s="14"/>
      <c r="AA486" s="14"/>
      <c r="AB486" s="14"/>
    </row>
    <row r="487" spans="3:28" s="47" customFormat="1" ht="15.75" customHeight="1">
      <c r="C487" s="85"/>
      <c r="D487" s="45" t="str">
        <f>IF(Indice_index!$Z$1=1,"julho","July")</f>
        <v>July</v>
      </c>
      <c r="E487" s="45">
        <v>15242.3640961</v>
      </c>
      <c r="F487" s="45">
        <v>15241.810159139999</v>
      </c>
      <c r="G487" s="45">
        <v>14350.568511939999</v>
      </c>
      <c r="H487" s="45">
        <v>14204.682627349997</v>
      </c>
      <c r="I487" s="45">
        <f t="shared" si="98"/>
        <v>1037.1275317900017</v>
      </c>
      <c r="J487" s="221">
        <f t="shared" si="99"/>
        <v>-3.6341932032888784E-5</v>
      </c>
      <c r="K487" s="221">
        <f t="shared" si="100"/>
        <v>-1.0165860987919812E-2</v>
      </c>
      <c r="L487"/>
      <c r="M487"/>
      <c r="N487"/>
      <c r="O487"/>
      <c r="P487"/>
      <c r="Q487"/>
      <c r="Z487" s="14"/>
      <c r="AA487" s="14"/>
      <c r="AB487" s="14"/>
    </row>
    <row r="488" spans="3:28" s="47" customFormat="1" ht="15.75" customHeight="1">
      <c r="C488" s="85"/>
      <c r="D488" s="45" t="str">
        <f>IF(Indice_index!$Z$1=1,"agosto","August")</f>
        <v>August</v>
      </c>
      <c r="E488" s="45">
        <v>17310.190164080002</v>
      </c>
      <c r="F488" s="45">
        <v>17460.405088759999</v>
      </c>
      <c r="G488" s="45">
        <v>16281.693708629997</v>
      </c>
      <c r="H488" s="45">
        <v>16026.595841030001</v>
      </c>
      <c r="I488" s="45">
        <f t="shared" si="98"/>
        <v>1433.8092477299979</v>
      </c>
      <c r="J488" s="221">
        <f t="shared" si="99"/>
        <v>8.6778321471998633E-3</v>
      </c>
      <c r="K488" s="221">
        <f t="shared" si="100"/>
        <v>-1.5667772171932152E-2</v>
      </c>
      <c r="L488"/>
      <c r="M488"/>
      <c r="N488"/>
      <c r="O488"/>
      <c r="P488"/>
      <c r="Q488"/>
      <c r="Z488" s="14"/>
      <c r="AA488" s="14"/>
      <c r="AB488" s="14"/>
    </row>
    <row r="489" spans="3:28" s="47" customFormat="1" ht="15.75" customHeight="1">
      <c r="C489" s="45"/>
      <c r="D489" s="45" t="str">
        <f>IF(Indice_index!$Z$1=1,"setembro","September")</f>
        <v>September</v>
      </c>
      <c r="E489" s="45">
        <v>19359.50170425</v>
      </c>
      <c r="F489" s="45">
        <v>19540.069803499999</v>
      </c>
      <c r="G489" s="45">
        <v>18206.639451649997</v>
      </c>
      <c r="H489" s="45">
        <v>17876.952376339996</v>
      </c>
      <c r="I489" s="45">
        <f t="shared" si="98"/>
        <v>1663.117427160003</v>
      </c>
      <c r="J489" s="221">
        <f t="shared" si="99"/>
        <v>9.3271046955902878E-3</v>
      </c>
      <c r="K489" s="221">
        <f t="shared" si="100"/>
        <v>-1.8108068552987293E-2</v>
      </c>
      <c r="L489"/>
      <c r="M489"/>
      <c r="N489"/>
      <c r="O489"/>
      <c r="P489"/>
      <c r="Q489"/>
      <c r="Z489" s="14"/>
      <c r="AA489" s="14"/>
      <c r="AB489" s="14"/>
    </row>
    <row r="490" spans="3:28" ht="15.75" customHeight="1">
      <c r="C490" s="45"/>
      <c r="D490" s="45" t="str">
        <f>IF(Indice_index!$Z$1=1,"outubro","October")</f>
        <v>October</v>
      </c>
      <c r="E490" s="45">
        <v>21310.698314639998</v>
      </c>
      <c r="F490" s="45">
        <v>21649.065138209997</v>
      </c>
      <c r="G490" s="45">
        <v>20102.443920220001</v>
      </c>
      <c r="H490" s="45">
        <v>19758.369974409994</v>
      </c>
      <c r="I490" s="45">
        <f t="shared" si="98"/>
        <v>1890.6951638000028</v>
      </c>
      <c r="J490" s="221">
        <f t="shared" si="99"/>
        <v>1.587779145357935E-2</v>
      </c>
      <c r="K490" s="221">
        <f t="shared" si="100"/>
        <v>-1.7116025652180577E-2</v>
      </c>
      <c r="L490" s="381"/>
      <c r="M490" s="381"/>
      <c r="N490" s="381"/>
      <c r="O490" s="381"/>
      <c r="P490"/>
      <c r="Q490"/>
    </row>
    <row r="491" spans="3:28" s="36" customFormat="1" ht="15.75" customHeight="1">
      <c r="C491" s="45"/>
      <c r="D491" s="45" t="str">
        <f>IF(Indice_index!$Z$1=1,"novembro","November")</f>
        <v>November</v>
      </c>
      <c r="E491" s="45">
        <v>23373.373369409994</v>
      </c>
      <c r="F491" s="45">
        <v>23799.335718429997</v>
      </c>
      <c r="G491" s="45">
        <v>22071.217707409996</v>
      </c>
      <c r="H491" s="45">
        <v>21766.520118430002</v>
      </c>
      <c r="I491" s="45">
        <f t="shared" si="98"/>
        <v>2032.8155999999944</v>
      </c>
      <c r="J491" s="221">
        <f t="shared" si="99"/>
        <v>1.8224256391569178E-2</v>
      </c>
      <c r="K491" s="221">
        <f t="shared" si="100"/>
        <v>-1.380520064725281E-2</v>
      </c>
      <c r="L491" s="236"/>
      <c r="M491" s="236"/>
      <c r="N491" s="236"/>
      <c r="O491" s="236"/>
      <c r="P491" s="236"/>
      <c r="Q491" s="236"/>
      <c r="Z491" s="54"/>
      <c r="AA491" s="54"/>
      <c r="AB491" s="54"/>
    </row>
    <row r="492" spans="3:28" s="36" customFormat="1" ht="15.75" customHeight="1">
      <c r="C492" s="45"/>
      <c r="D492" s="45" t="str">
        <f>IF(Indice_index!$Z$1=1,"dezembro","December")</f>
        <v>December</v>
      </c>
      <c r="E492" s="45">
        <v>25711.727461019997</v>
      </c>
      <c r="F492" s="45">
        <v>26693.25343488</v>
      </c>
      <c r="G492" s="45">
        <v>24147.614241730003</v>
      </c>
      <c r="H492" s="45">
        <v>24607.379026840004</v>
      </c>
      <c r="I492" s="45">
        <f t="shared" si="98"/>
        <v>2085.8744080399956</v>
      </c>
      <c r="J492" s="221">
        <f t="shared" si="99"/>
        <v>3.8174252404784392E-2</v>
      </c>
      <c r="K492" s="221">
        <f t="shared" si="100"/>
        <v>1.9039760222584294E-2</v>
      </c>
      <c r="L492" s="236"/>
      <c r="M492" s="236"/>
      <c r="N492" s="236"/>
      <c r="O492" s="236"/>
      <c r="P492" s="236"/>
      <c r="Q492" s="236"/>
      <c r="Z492" s="54"/>
      <c r="AA492" s="54"/>
      <c r="AB492" s="54"/>
    </row>
    <row r="493" spans="3:28" s="36" customFormat="1" ht="15.75" customHeight="1">
      <c r="C493" s="45"/>
      <c r="D493" s="45"/>
      <c r="E493" s="45"/>
      <c r="F493" s="45"/>
      <c r="G493" s="45"/>
      <c r="H493" s="45"/>
      <c r="I493" s="45"/>
      <c r="J493" s="221"/>
      <c r="K493" s="221"/>
      <c r="L493" s="236"/>
      <c r="M493" s="236"/>
      <c r="N493" s="236"/>
      <c r="O493" s="236"/>
      <c r="P493" s="236"/>
      <c r="Q493" s="236"/>
      <c r="Z493" s="54"/>
      <c r="AA493" s="54"/>
      <c r="AB493" s="54"/>
    </row>
    <row r="494" spans="3:28" s="47" customFormat="1" ht="15.75" customHeight="1">
      <c r="C494" s="32" t="s">
        <v>149</v>
      </c>
      <c r="D494" s="85" t="str">
        <f>IF(Indice_index!$Z$1=1,"janeiro","January")</f>
        <v>January</v>
      </c>
      <c r="E494" s="85">
        <v>2313.3510139299997</v>
      </c>
      <c r="F494" s="85">
        <v>2447.3053318699999</v>
      </c>
      <c r="G494" s="85">
        <v>1917.2079874500002</v>
      </c>
      <c r="H494" s="85">
        <v>1943.8820266399998</v>
      </c>
      <c r="I494" s="85">
        <f t="shared" si="98"/>
        <v>503.4233052300001</v>
      </c>
      <c r="J494" s="219">
        <f t="shared" si="99"/>
        <v>5.7904882196167053E-2</v>
      </c>
      <c r="K494" s="219">
        <f t="shared" si="100"/>
        <v>1.3912960599271038E-2</v>
      </c>
      <c r="L494"/>
      <c r="M494" s="218"/>
      <c r="O494" s="273"/>
      <c r="P494" s="273"/>
      <c r="Q494" s="272"/>
      <c r="Z494" s="14"/>
      <c r="AA494" s="14"/>
      <c r="AB494" s="14"/>
    </row>
    <row r="495" spans="3:28" s="47" customFormat="1" ht="15.75" customHeight="1">
      <c r="C495" s="85"/>
      <c r="D495" s="85" t="str">
        <f>IF(Indice_index!$Z$1=1,"fevereiro","February")</f>
        <v>February</v>
      </c>
      <c r="E495" s="85">
        <v>4431.7821906700001</v>
      </c>
      <c r="F495" s="85">
        <v>4607.96110813</v>
      </c>
      <c r="G495" s="85">
        <v>3752.9550989900013</v>
      </c>
      <c r="H495" s="85">
        <v>3828.7127221000005</v>
      </c>
      <c r="I495" s="85">
        <f t="shared" si="98"/>
        <v>779.24838602999944</v>
      </c>
      <c r="J495" s="219">
        <f t="shared" si="99"/>
        <v>3.975351447345498E-2</v>
      </c>
      <c r="K495" s="219">
        <f t="shared" si="100"/>
        <v>2.0186125629477213E-2</v>
      </c>
      <c r="L495"/>
      <c r="M495" s="218"/>
      <c r="O495" s="273"/>
      <c r="P495" s="274"/>
      <c r="Q495" s="273"/>
      <c r="Z495" s="14"/>
      <c r="AA495" s="14"/>
      <c r="AB495" s="14"/>
    </row>
    <row r="496" spans="3:28" s="47" customFormat="1" ht="15.75" customHeight="1">
      <c r="C496" s="85"/>
      <c r="D496" s="85" t="str">
        <f>IF(Indice_index!$Z$1=1,"março","March")</f>
        <v>March</v>
      </c>
      <c r="E496" s="85">
        <v>6470.6130700999993</v>
      </c>
      <c r="F496" s="85">
        <v>6667.9246202599998</v>
      </c>
      <c r="G496" s="85">
        <v>5592.5704339100002</v>
      </c>
      <c r="H496" s="85">
        <v>5688.9209185000009</v>
      </c>
      <c r="I496" s="85">
        <f t="shared" si="98"/>
        <v>979.00370175999888</v>
      </c>
      <c r="J496" s="219">
        <f t="shared" si="99"/>
        <v>3.0493486169302215E-2</v>
      </c>
      <c r="K496" s="219">
        <f t="shared" si="100"/>
        <v>1.722830060499354E-2</v>
      </c>
      <c r="L496"/>
      <c r="M496" s="218"/>
      <c r="O496" s="273"/>
      <c r="P496" s="273"/>
      <c r="Q496" s="273"/>
      <c r="Z496" s="14"/>
      <c r="AA496" s="14"/>
      <c r="AB496" s="14"/>
    </row>
    <row r="497" spans="3:28" s="47" customFormat="1" ht="15.75" customHeight="1">
      <c r="C497" s="85"/>
      <c r="D497" s="85" t="str">
        <f>IF(Indice_index!$Z$1=1,"abril","April")</f>
        <v>April</v>
      </c>
      <c r="E497" s="85">
        <v>8548.2314706100005</v>
      </c>
      <c r="F497" s="85">
        <v>8807.6124948199995</v>
      </c>
      <c r="G497" s="85">
        <v>7473.4654060299981</v>
      </c>
      <c r="H497" s="85">
        <v>7558.82327885</v>
      </c>
      <c r="I497" s="85">
        <f t="shared" si="98"/>
        <v>1248.7892159699995</v>
      </c>
      <c r="J497" s="219">
        <f t="shared" si="99"/>
        <v>3.0343238259491066E-2</v>
      </c>
      <c r="K497" s="219">
        <f t="shared" si="100"/>
        <v>1.1421458210153813E-2</v>
      </c>
      <c r="L497"/>
      <c r="M497" s="218"/>
      <c r="N497"/>
      <c r="O497"/>
      <c r="P497"/>
      <c r="Q497"/>
      <c r="Z497" s="14"/>
      <c r="AA497" s="14"/>
      <c r="AB497" s="14"/>
    </row>
    <row r="498" spans="3:28" s="47" customFormat="1" ht="15.75" customHeight="1">
      <c r="C498" s="85"/>
      <c r="D498" s="85" t="str">
        <f>IF(Indice_index!$Z$1=1,"maio","May")</f>
        <v>May</v>
      </c>
      <c r="E498" s="85">
        <v>10601.41240159</v>
      </c>
      <c r="F498" s="85">
        <v>10950.0746607</v>
      </c>
      <c r="G498" s="85">
        <v>9315.4534592499967</v>
      </c>
      <c r="H498" s="85">
        <v>9462.0273254900003</v>
      </c>
      <c r="I498" s="85">
        <f t="shared" si="98"/>
        <v>1488.0473352099998</v>
      </c>
      <c r="J498" s="219">
        <f t="shared" si="99"/>
        <v>3.2888283740165412E-2</v>
      </c>
      <c r="K498" s="219">
        <f t="shared" si="100"/>
        <v>1.5734485377570065E-2</v>
      </c>
      <c r="M498"/>
      <c r="N498"/>
      <c r="O498"/>
      <c r="P498"/>
      <c r="Q498"/>
      <c r="Z498" s="14"/>
      <c r="AA498" s="14"/>
      <c r="AB498" s="14"/>
    </row>
    <row r="499" spans="3:28" s="47" customFormat="1" ht="15.75" customHeight="1">
      <c r="C499" s="85"/>
      <c r="D499" s="40" t="str">
        <f>IF(Indice_index!$Z$1=1,"junho","June")</f>
        <v>June</v>
      </c>
      <c r="E499" s="40">
        <v>12825.147524280002</v>
      </c>
      <c r="F499" s="40">
        <v>13224.632572750003</v>
      </c>
      <c r="G499" s="40">
        <v>11177.44465236</v>
      </c>
      <c r="H499" s="40">
        <v>11378.723160969997</v>
      </c>
      <c r="I499" s="40">
        <f t="shared" si="98"/>
        <v>1845.909411780005</v>
      </c>
      <c r="J499" s="241">
        <f t="shared" si="99"/>
        <v>3.1148573356658285E-2</v>
      </c>
      <c r="K499" s="241">
        <f t="shared" si="100"/>
        <v>1.8007560302926634E-2</v>
      </c>
      <c r="L499"/>
      <c r="M499"/>
      <c r="N499"/>
      <c r="O499"/>
      <c r="P499"/>
      <c r="Q499"/>
      <c r="Z499" s="14"/>
      <c r="AA499" s="14"/>
      <c r="AB499" s="14"/>
    </row>
    <row r="500" spans="3:28" s="47" customFormat="1" ht="15.75" customHeight="1">
      <c r="C500" s="85"/>
      <c r="D500" s="45" t="str">
        <f>IF(Indice_index!$Z$1=1,"julho","July")</f>
        <v>July</v>
      </c>
      <c r="E500" s="45">
        <v>15241.810159139999</v>
      </c>
      <c r="F500" s="45">
        <v>15652.07026432</v>
      </c>
      <c r="G500" s="45">
        <v>14204.682627349997</v>
      </c>
      <c r="H500" s="45">
        <v>14466.985404930003</v>
      </c>
      <c r="I500" s="45">
        <f t="shared" si="98"/>
        <v>1185.0848593899973</v>
      </c>
      <c r="J500" s="221">
        <f t="shared" si="99"/>
        <v>2.6916757320585179E-2</v>
      </c>
      <c r="K500" s="221">
        <f t="shared" si="100"/>
        <v>1.8465937216714877E-2</v>
      </c>
      <c r="L500"/>
      <c r="M500"/>
      <c r="N500"/>
      <c r="O500"/>
      <c r="P500"/>
      <c r="Q500"/>
      <c r="Z500" s="14"/>
      <c r="AA500" s="14"/>
      <c r="AB500" s="14"/>
    </row>
    <row r="501" spans="3:28" s="47" customFormat="1" ht="15.75" customHeight="1">
      <c r="C501" s="85"/>
      <c r="D501" s="45" t="str">
        <f>IF(Indice_index!$Z$1=1,"agosto","August")</f>
        <v>August</v>
      </c>
      <c r="E501" s="45">
        <v>17460.405088760002</v>
      </c>
      <c r="F501" s="45">
        <v>17909.787941980001</v>
      </c>
      <c r="G501" s="45">
        <v>16026.595841030003</v>
      </c>
      <c r="H501" s="45">
        <v>16360.179399499995</v>
      </c>
      <c r="I501" s="45">
        <f t="shared" si="98"/>
        <v>1549.6085424800058</v>
      </c>
      <c r="J501" s="221">
        <f t="shared" si="99"/>
        <v>2.5737252425448325E-2</v>
      </c>
      <c r="K501" s="221">
        <f t="shared" si="100"/>
        <v>2.0814373918132928E-2</v>
      </c>
      <c r="L501"/>
      <c r="M501"/>
      <c r="N501"/>
      <c r="O501"/>
      <c r="P501"/>
      <c r="Q501"/>
      <c r="Z501" s="14"/>
      <c r="AA501" s="14"/>
      <c r="AB501" s="14"/>
    </row>
    <row r="502" spans="3:28" s="47" customFormat="1" ht="15.75" customHeight="1">
      <c r="C502" s="45"/>
      <c r="D502" s="45" t="str">
        <f>IF(Indice_index!$Z$1=1,"setembro","September")</f>
        <v>September</v>
      </c>
      <c r="E502" s="45">
        <v>19540.069803500002</v>
      </c>
      <c r="F502" s="45">
        <v>20092.304399020002</v>
      </c>
      <c r="G502" s="45">
        <v>17876.952376339999</v>
      </c>
      <c r="H502" s="45">
        <v>18247.684313230009</v>
      </c>
      <c r="I502" s="45">
        <f t="shared" si="98"/>
        <v>1844.620085789993</v>
      </c>
      <c r="J502" s="221">
        <f t="shared" si="99"/>
        <v>2.8261649066426774E-2</v>
      </c>
      <c r="K502" s="221">
        <f t="shared" si="100"/>
        <v>2.0737983135239009E-2</v>
      </c>
      <c r="L502"/>
      <c r="M502"/>
      <c r="N502"/>
      <c r="O502"/>
      <c r="P502"/>
      <c r="Q502"/>
      <c r="Z502" s="14"/>
      <c r="AA502" s="14"/>
      <c r="AB502" s="14"/>
    </row>
    <row r="503" spans="3:28" ht="15.75" customHeight="1">
      <c r="C503" s="45"/>
      <c r="D503" s="45" t="str">
        <f>IF(Indice_index!$Z$1=1,"outubro","October")</f>
        <v>October</v>
      </c>
      <c r="E503" s="45"/>
      <c r="F503" s="45"/>
      <c r="G503" s="45"/>
      <c r="H503" s="45"/>
      <c r="I503" s="45" t="str">
        <f t="shared" si="98"/>
        <v/>
      </c>
      <c r="J503" s="221" t="str">
        <f t="shared" si="99"/>
        <v/>
      </c>
      <c r="K503" s="221" t="str">
        <f t="shared" si="100"/>
        <v/>
      </c>
      <c r="L503" s="381"/>
      <c r="M503" s="381"/>
      <c r="N503" s="381"/>
      <c r="O503" s="381"/>
      <c r="P503"/>
      <c r="Q503"/>
    </row>
    <row r="504" spans="3:28" s="36" customFormat="1" ht="15.75" customHeight="1">
      <c r="C504" s="45"/>
      <c r="D504" s="45" t="str">
        <f>IF(Indice_index!$Z$1=1,"novembro","November")</f>
        <v>November</v>
      </c>
      <c r="E504" s="45"/>
      <c r="F504" s="45"/>
      <c r="G504" s="45"/>
      <c r="H504" s="45"/>
      <c r="I504" s="45" t="str">
        <f t="shared" si="98"/>
        <v/>
      </c>
      <c r="J504" s="221" t="str">
        <f t="shared" si="99"/>
        <v/>
      </c>
      <c r="K504" s="221" t="str">
        <f t="shared" si="100"/>
        <v/>
      </c>
      <c r="L504" s="236"/>
      <c r="M504" s="236"/>
      <c r="N504" s="236"/>
      <c r="O504" s="236"/>
      <c r="P504" s="236"/>
      <c r="Q504" s="236"/>
      <c r="Z504" s="54"/>
      <c r="AA504" s="54"/>
      <c r="AB504" s="54"/>
    </row>
    <row r="505" spans="3:28" s="36" customFormat="1" ht="15.75" customHeight="1">
      <c r="C505" s="99"/>
      <c r="D505" s="99" t="str">
        <f>IF(Indice_index!$Z$1=1,"dezembro","December")</f>
        <v>December</v>
      </c>
      <c r="E505" s="99"/>
      <c r="F505" s="99"/>
      <c r="G505" s="99"/>
      <c r="H505" s="99"/>
      <c r="I505" s="99" t="str">
        <f t="shared" si="98"/>
        <v/>
      </c>
      <c r="J505" s="268" t="str">
        <f t="shared" si="99"/>
        <v/>
      </c>
      <c r="K505" s="268" t="str">
        <f t="shared" si="100"/>
        <v/>
      </c>
      <c r="L505" s="236"/>
      <c r="M505" s="236"/>
      <c r="N505" s="236"/>
      <c r="O505" s="236"/>
      <c r="P505" s="236"/>
      <c r="Q505" s="236"/>
      <c r="Z505" s="54"/>
      <c r="AA505" s="54"/>
      <c r="AB505" s="54"/>
    </row>
    <row r="506" spans="3:28" ht="21.75" customHeight="1">
      <c r="C506" s="392"/>
      <c r="D506" s="392"/>
      <c r="E506" s="392"/>
      <c r="F506" s="392"/>
      <c r="G506" s="392"/>
      <c r="H506" s="392"/>
      <c r="I506" s="392"/>
      <c r="J506" s="392"/>
      <c r="K506" s="392"/>
      <c r="M506" s="249"/>
    </row>
    <row r="507" spans="3:28">
      <c r="C507" s="65"/>
      <c r="D507" s="65"/>
      <c r="E507" s="65"/>
      <c r="F507" s="65"/>
      <c r="G507" s="65"/>
      <c r="H507" s="65"/>
      <c r="I507" s="65"/>
      <c r="J507" s="65"/>
      <c r="K507" s="65"/>
    </row>
    <row r="509" spans="3:28" ht="11.25" customHeight="1">
      <c r="C509" s="96" t="str">
        <f>IF(Indice_index!$Z$1=1,"1.5 Evolução da Receita, Despesa e Saldo da Administração Local (valores acumulados)","1.5 Local Government Revenue, Expenditure and Balance Evolution (cumulative values)")</f>
        <v>1.5 Local Government Revenue, Expenditure and Balance Evolution (cumulative values)</v>
      </c>
      <c r="H509" s="19"/>
      <c r="J509" s="26"/>
      <c r="K509" s="94" t="str">
        <f>IF(Indice_index!$Z$1=1,"€ Milhões","€ Millions")</f>
        <v>€ Millions</v>
      </c>
    </row>
    <row r="510" spans="3:28">
      <c r="C510" s="86"/>
      <c r="D510" s="86"/>
      <c r="E510" s="3" t="str">
        <f>IF(Indice_index!$Z$1=1,"Receita efetiva","Effective revenue")</f>
        <v>Effective revenue</v>
      </c>
      <c r="F510" s="3"/>
      <c r="G510" s="3" t="str">
        <f>IF(Indice_index!$Z$1=1,"Despesa  efetiva","Effective expenditure")</f>
        <v>Effective expenditure</v>
      </c>
      <c r="H510" s="3"/>
      <c r="I510" s="3" t="str">
        <f>IF(Indice_index!$Z$1=1,"Saldo global","Overall
balance")</f>
        <v>Overall
balance</v>
      </c>
      <c r="J510" s="1" t="str">
        <f>IF(Indice_index!$Z$1=1,"VH (%)","YOY Change Rate (%)")</f>
        <v>YOY Change Rate (%)</v>
      </c>
      <c r="K510" s="1"/>
    </row>
    <row r="511" spans="3:28">
      <c r="C511" s="87"/>
      <c r="D511" s="89"/>
      <c r="E511" s="2"/>
      <c r="F511" s="2"/>
      <c r="G511" s="2"/>
      <c r="H511" s="2"/>
      <c r="I511" s="2"/>
      <c r="J511" s="205" t="str">
        <f>IF(Indice_index!$Z$1=1,"Receita","Revenue")</f>
        <v>Revenue</v>
      </c>
      <c r="K511" s="88" t="str">
        <f>IF(Indice_index!$Z$1=1,"Despesa","Expenditure")</f>
        <v>Expenditure</v>
      </c>
    </row>
    <row r="512" spans="3:28">
      <c r="C512" s="35"/>
      <c r="D512" s="36"/>
      <c r="E512" s="30" t="str">
        <f>IF(Indice_index!$Z$1=1,"Ano n-1","Year n-1")</f>
        <v>Year n-1</v>
      </c>
      <c r="F512" s="30" t="str">
        <f>IF(Indice_index!$Z$1=1,"Ano n","Year n")</f>
        <v>Year n</v>
      </c>
      <c r="G512" s="30" t="str">
        <f>IF(Indice_index!$Z$1=1,"Ano n-1","Year n-1")</f>
        <v>Year n-1</v>
      </c>
      <c r="H512" s="30" t="str">
        <f>IF(Indice_index!$Z$1=1,"Ano n","Year n")</f>
        <v>Year n</v>
      </c>
      <c r="I512" s="30" t="str">
        <f>IF(Indice_index!$Z$1=1,"Ano n","Year n")</f>
        <v>Year n</v>
      </c>
      <c r="J512" s="31" t="str">
        <f>IF(Indice_index!$Z$1=1,"Ano n","Year n")</f>
        <v>Year n</v>
      </c>
      <c r="K512" s="31" t="str">
        <f>IF(Indice_index!$Z$1=1,"Ano n","Year n")</f>
        <v>Year n</v>
      </c>
      <c r="M512" s="66"/>
    </row>
    <row r="513" spans="3:26">
      <c r="C513" s="32">
        <v>2009</v>
      </c>
      <c r="D513" s="19" t="str">
        <f>IF(Indice_index!$Z$1=1,"I TR","Q1")</f>
        <v>Q1</v>
      </c>
      <c r="E513" s="44">
        <v>1257.0238103600002</v>
      </c>
      <c r="F513" s="44">
        <v>1484.6470252500001</v>
      </c>
      <c r="G513" s="44">
        <v>1184.0232639099997</v>
      </c>
      <c r="H513" s="44">
        <v>1462.2824598300001</v>
      </c>
      <c r="I513" s="44">
        <f>+F513-H513</f>
        <v>22.364565419999963</v>
      </c>
      <c r="J513" s="46">
        <f>IF(E513=0,"-",(F513-E513)/E513)</f>
        <v>0.1810810686432508</v>
      </c>
      <c r="K513" s="46">
        <f>IF(G513=0,"-",(H513-G513)/G513)</f>
        <v>0.23501159512787367</v>
      </c>
      <c r="M513" s="66"/>
      <c r="Z513" s="19"/>
    </row>
    <row r="514" spans="3:26">
      <c r="C514" s="32"/>
      <c r="D514" s="19" t="str">
        <f>IF(Indice_index!$Z$1=1,"II TR","Q2")</f>
        <v>Q2</v>
      </c>
      <c r="E514" s="44">
        <v>2908.8410760299994</v>
      </c>
      <c r="F514" s="44">
        <v>3518.6473903900001</v>
      </c>
      <c r="G514" s="44">
        <v>2794.0170378799994</v>
      </c>
      <c r="H514" s="44">
        <v>3503.0013819299998</v>
      </c>
      <c r="I514" s="44">
        <f>+F514-H514</f>
        <v>15.646008460000303</v>
      </c>
      <c r="J514" s="46">
        <f>IF(E514=0,"-",(F514-E514)/E514)</f>
        <v>0.20963892437611867</v>
      </c>
      <c r="K514" s="46">
        <f>IF(G514=0,"-",(H514-G514)/G514)</f>
        <v>0.25375090217343571</v>
      </c>
      <c r="M514" s="66"/>
      <c r="Z514" s="19"/>
    </row>
    <row r="515" spans="3:26">
      <c r="C515" s="32"/>
      <c r="D515" s="19" t="str">
        <f>IF(Indice_index!$Z$1=1,"III TR","Q3")</f>
        <v>Q3</v>
      </c>
      <c r="E515" s="44">
        <v>4349.5115983699989</v>
      </c>
      <c r="F515" s="44">
        <v>5207.3203691499984</v>
      </c>
      <c r="G515" s="44">
        <v>4250.2427883899991</v>
      </c>
      <c r="H515" s="44">
        <v>5538.2064723299991</v>
      </c>
      <c r="I515" s="44">
        <f>+F515-H515</f>
        <v>-330.88610318000065</v>
      </c>
      <c r="J515" s="46">
        <f>IF(E515=0,"-",(F515-E515)/E515)</f>
        <v>0.19721956164031559</v>
      </c>
      <c r="K515" s="46">
        <f>IF(G515=0,"-",(H515-G515)/G515)</f>
        <v>0.30303296730676493</v>
      </c>
      <c r="M515" s="66"/>
      <c r="Z515" s="19"/>
    </row>
    <row r="516" spans="3:26">
      <c r="C516" s="32"/>
      <c r="D516" s="19" t="str">
        <f>IF(Indice_index!$Z$1=1,"IV TR","Q4")</f>
        <v>Q4</v>
      </c>
      <c r="E516" s="44">
        <v>6183.91695162</v>
      </c>
      <c r="F516" s="44">
        <v>7200.9968363899989</v>
      </c>
      <c r="G516" s="44">
        <v>6438.0109478299992</v>
      </c>
      <c r="H516" s="44">
        <v>7851.6687581000015</v>
      </c>
      <c r="I516" s="44">
        <f>+F516-H516</f>
        <v>-650.67192171000261</v>
      </c>
      <c r="J516" s="46">
        <f>IF(E516=0,"-",(F516-E516)/E516)</f>
        <v>0.1644717891147543</v>
      </c>
      <c r="K516" s="46">
        <f>IF(G516=0,"-",(H516-G516)/G516)</f>
        <v>0.2195799015760436</v>
      </c>
      <c r="M516" s="66"/>
      <c r="Z516" s="19"/>
    </row>
    <row r="517" spans="3:26">
      <c r="C517" s="32"/>
      <c r="E517" s="44"/>
      <c r="F517" s="44"/>
      <c r="G517" s="44"/>
      <c r="H517" s="44"/>
      <c r="I517" s="44"/>
      <c r="J517" s="46"/>
      <c r="K517" s="46"/>
      <c r="M517" s="66"/>
      <c r="Z517" s="19"/>
    </row>
    <row r="518" spans="3:26">
      <c r="C518" s="32" t="s">
        <v>3</v>
      </c>
      <c r="D518" s="19" t="str">
        <f>IF(Indice_index!$Z$1=1,"I TR","Q1")</f>
        <v>Q1</v>
      </c>
      <c r="E518" s="44">
        <f>F513</f>
        <v>1484.6470252500001</v>
      </c>
      <c r="F518" s="44">
        <v>1394.3627610800002</v>
      </c>
      <c r="G518" s="44">
        <f>H513</f>
        <v>1462.2824598300001</v>
      </c>
      <c r="H518" s="44">
        <v>1401.1115975600001</v>
      </c>
      <c r="I518" s="44">
        <f>+F518-H518</f>
        <v>-6.748836479999909</v>
      </c>
      <c r="J518" s="46">
        <f>IF(E518=0,"-",(F518-E518)/E518)</f>
        <v>-6.0811938888165641E-2</v>
      </c>
      <c r="K518" s="46">
        <f>IF(G518=0,"-",(H518-G518)/G518)</f>
        <v>-4.1832452997563517E-2</v>
      </c>
      <c r="M518" s="66"/>
      <c r="Z518" s="19"/>
    </row>
    <row r="519" spans="3:26">
      <c r="C519" s="32"/>
      <c r="D519" s="19" t="str">
        <f>IF(Indice_index!$Z$1=1,"II TR","Q2")</f>
        <v>Q2</v>
      </c>
      <c r="E519" s="44">
        <f>F514</f>
        <v>3518.6473903900001</v>
      </c>
      <c r="F519" s="44">
        <v>3438.4795355699994</v>
      </c>
      <c r="G519" s="44">
        <f>H514</f>
        <v>3503.0013819299998</v>
      </c>
      <c r="H519" s="44">
        <v>3277.82523051</v>
      </c>
      <c r="I519" s="44">
        <f>+F519-H519</f>
        <v>160.65430505999939</v>
      </c>
      <c r="J519" s="46">
        <f>IF(E519=0,"-",(F519-E519)/E519)</f>
        <v>-2.278371371878642E-2</v>
      </c>
      <c r="K519" s="46">
        <f>IF(G519=0,"-",(H519-G519)/G519)</f>
        <v>-6.4280919950975762E-2</v>
      </c>
      <c r="M519" s="66"/>
      <c r="Z519" s="19"/>
    </row>
    <row r="520" spans="3:26">
      <c r="C520" s="32"/>
      <c r="D520" s="19" t="str">
        <f>IF(Indice_index!$Z$1=1,"III TR","Q3")</f>
        <v>Q3</v>
      </c>
      <c r="E520" s="44">
        <f>F515</f>
        <v>5207.3203691499984</v>
      </c>
      <c r="F520" s="45">
        <v>5137.2553316799986</v>
      </c>
      <c r="G520" s="44">
        <f>H515</f>
        <v>5538.2064723299991</v>
      </c>
      <c r="H520" s="45">
        <v>4991.6846362999995</v>
      </c>
      <c r="I520" s="44">
        <f>+F520-H520</f>
        <v>145.57069537999905</v>
      </c>
      <c r="J520" s="46">
        <f>IF(E520=0,"-",(F520-E520)/E520)</f>
        <v>-1.3455104065632271E-2</v>
      </c>
      <c r="K520" s="46">
        <f>IF(G520=0,"-",(H520-G520)/G520)</f>
        <v>-9.8682098394224441E-2</v>
      </c>
      <c r="M520" s="66"/>
      <c r="Z520" s="19"/>
    </row>
    <row r="521" spans="3:26">
      <c r="C521" s="32"/>
      <c r="D521" s="36" t="str">
        <f>IF(Indice_index!$Z$1=1,"IV TR","Q4")</f>
        <v>Q4</v>
      </c>
      <c r="E521" s="44">
        <f>F516</f>
        <v>7200.9968363899989</v>
      </c>
      <c r="F521" s="45">
        <v>7246.2406186200024</v>
      </c>
      <c r="G521" s="44">
        <f>H516</f>
        <v>7851.6687581000015</v>
      </c>
      <c r="H521" s="45">
        <v>7181.606403830001</v>
      </c>
      <c r="I521" s="45">
        <f>+F521-H521</f>
        <v>64.634214790001352</v>
      </c>
      <c r="J521" s="67">
        <f>IF(E521=0,"-",(F521-E521)/E521)</f>
        <v>6.282988766411552E-3</v>
      </c>
      <c r="K521" s="67">
        <f>IF(G521=0,"-",(H521-G521)/G521)</f>
        <v>-8.5340120032285541E-2</v>
      </c>
      <c r="M521" s="66"/>
      <c r="Z521" s="19"/>
    </row>
    <row r="522" spans="3:26">
      <c r="C522" s="32"/>
      <c r="E522" s="44"/>
      <c r="F522" s="44"/>
      <c r="G522" s="44"/>
      <c r="H522" s="44"/>
      <c r="I522" s="44"/>
      <c r="J522" s="46"/>
      <c r="K522" s="46"/>
      <c r="M522" s="66"/>
      <c r="Z522" s="19"/>
    </row>
    <row r="523" spans="3:26">
      <c r="C523" s="32" t="s">
        <v>4</v>
      </c>
      <c r="D523" s="19" t="str">
        <f>IF(Indice_index!$Z$1=1,"I TR","Q1")</f>
        <v>Q1</v>
      </c>
      <c r="E523" s="44">
        <f>F518</f>
        <v>1394.3627610800002</v>
      </c>
      <c r="F523" s="44">
        <v>1457.4838076600001</v>
      </c>
      <c r="G523" s="44">
        <f>H518</f>
        <v>1401.1115975600001</v>
      </c>
      <c r="H523" s="44">
        <v>1433.3910903299998</v>
      </c>
      <c r="I523" s="44">
        <f>+F523-H523</f>
        <v>24.092717330000369</v>
      </c>
      <c r="J523" s="46">
        <f>IF(E523=0,"-",(F523-E523)/E523)</f>
        <v>4.5268740920124499E-2</v>
      </c>
      <c r="K523" s="46">
        <f>IF(G523=0,"-",(H523-G523)/G523)</f>
        <v>2.3038488030656241E-2</v>
      </c>
      <c r="M523" s="68"/>
      <c r="Z523" s="19"/>
    </row>
    <row r="524" spans="3:26">
      <c r="C524" s="32"/>
      <c r="D524" s="19" t="str">
        <f>IF(Indice_index!$Z$1=1,"II TR","Q2")</f>
        <v>Q2</v>
      </c>
      <c r="E524" s="44">
        <f>F519</f>
        <v>3438.4795355699994</v>
      </c>
      <c r="F524" s="44">
        <v>3525.0165164199998</v>
      </c>
      <c r="G524" s="44">
        <f>H519</f>
        <v>3277.82523051</v>
      </c>
      <c r="H524" s="44">
        <v>3307.8199487600004</v>
      </c>
      <c r="I524" s="44">
        <f>+F524-H524</f>
        <v>217.19656765999935</v>
      </c>
      <c r="J524" s="46">
        <f>IF(E524=0,"-",(F524-E524)/E524)</f>
        <v>2.5167222882905748E-2</v>
      </c>
      <c r="K524" s="46">
        <f>IF(G524=0,"-",(H524-G524)/G524)</f>
        <v>9.1507985144569631E-3</v>
      </c>
      <c r="M524" s="68"/>
      <c r="Z524" s="19"/>
    </row>
    <row r="525" spans="3:26">
      <c r="C525" s="32"/>
      <c r="D525" s="19" t="str">
        <f>IF(Indice_index!$Z$1=1,"III TR","Q3")</f>
        <v>Q3</v>
      </c>
      <c r="E525" s="44">
        <f>F520</f>
        <v>5137.2553316799986</v>
      </c>
      <c r="F525" s="44">
        <v>5136.9868850500006</v>
      </c>
      <c r="G525" s="44">
        <f>H520</f>
        <v>4991.6846362999995</v>
      </c>
      <c r="H525" s="44">
        <v>4941.5581633500005</v>
      </c>
      <c r="I525" s="44">
        <f>+F525-H525</f>
        <v>195.4287217000001</v>
      </c>
      <c r="J525" s="46">
        <f>IF(E525=0,"-",(F525-E525)/E525)</f>
        <v>-5.2254873987378154E-5</v>
      </c>
      <c r="K525" s="46">
        <f>IF(G525=0,"-",(H525-G525)/G525)</f>
        <v>-1.0041995158402947E-2</v>
      </c>
      <c r="M525" s="68"/>
      <c r="Z525" s="19"/>
    </row>
    <row r="526" spans="3:26">
      <c r="C526" s="32"/>
      <c r="D526" s="19" t="str">
        <f>IF(Indice_index!$Z$1=1,"IV TR","Q4")</f>
        <v>Q4</v>
      </c>
      <c r="E526" s="44">
        <f>F521</f>
        <v>7246.2406186200024</v>
      </c>
      <c r="F526" s="44">
        <v>7281.6785700600003</v>
      </c>
      <c r="G526" s="44">
        <f>H521</f>
        <v>7181.606403830001</v>
      </c>
      <c r="H526" s="44">
        <v>7072.3262380999995</v>
      </c>
      <c r="I526" s="44">
        <f>+F526-H526</f>
        <v>209.35233196000081</v>
      </c>
      <c r="J526" s="46">
        <f>IF(E526=0,"-",(F526-E526)/E526)</f>
        <v>4.8905292144089578E-3</v>
      </c>
      <c r="K526" s="46">
        <f>IF(G526=0,"-",(H526-G526)/G526)</f>
        <v>-1.5216674318397847E-2</v>
      </c>
      <c r="M526" s="68"/>
      <c r="Z526" s="19"/>
    </row>
    <row r="527" spans="3:26">
      <c r="C527" s="32"/>
      <c r="E527" s="44"/>
      <c r="F527" s="44"/>
      <c r="G527" s="44"/>
      <c r="H527" s="44"/>
      <c r="I527" s="44"/>
      <c r="J527" s="46"/>
      <c r="K527" s="46"/>
      <c r="M527" s="68"/>
      <c r="Z527" s="19"/>
    </row>
    <row r="528" spans="3:26">
      <c r="C528" s="32" t="s">
        <v>5</v>
      </c>
      <c r="D528" s="19" t="str">
        <f>IF(Indice_index!$Z$1=1,"janeiro","January")</f>
        <v>January</v>
      </c>
      <c r="E528" s="44"/>
      <c r="F528" s="44">
        <v>456.06216802999984</v>
      </c>
      <c r="G528" s="44"/>
      <c r="H528" s="44">
        <v>406.15377233000004</v>
      </c>
      <c r="I528" s="44">
        <f>+F528-H528</f>
        <v>49.908395699999801</v>
      </c>
      <c r="J528" s="46" t="str">
        <f>IF(E528=0,"-",(F528-E528)/E528)</f>
        <v>-</v>
      </c>
      <c r="K528" s="46" t="str">
        <f>IF(G528=0,"-",(H528-G528)/G528)</f>
        <v>-</v>
      </c>
      <c r="L528" s="218"/>
      <c r="M528" s="68"/>
      <c r="Z528" s="19"/>
    </row>
    <row r="529" spans="3:28">
      <c r="C529" s="32"/>
      <c r="D529" s="19" t="str">
        <f>IF(Indice_index!$Z$1=1,"fevereiro","February")</f>
        <v>February</v>
      </c>
      <c r="E529" s="44"/>
      <c r="F529" s="44">
        <v>901.96308377000025</v>
      </c>
      <c r="G529" s="44"/>
      <c r="H529" s="44">
        <v>857.46172853999997</v>
      </c>
      <c r="I529" s="44">
        <f>+F529-H529</f>
        <v>44.501355230000286</v>
      </c>
      <c r="J529" s="46" t="str">
        <f>IF(E529=0,"-",(F529-E529)/E529)</f>
        <v>-</v>
      </c>
      <c r="K529" s="46" t="str">
        <f>IF(G529=0,"-",(H529-G529)/G529)</f>
        <v>-</v>
      </c>
      <c r="L529" s="218"/>
      <c r="M529" s="68"/>
      <c r="Z529" s="19"/>
    </row>
    <row r="530" spans="3:28">
      <c r="C530" s="32"/>
      <c r="D530" s="19" t="str">
        <f>IF(Indice_index!$Z$1=1,"março","March")</f>
        <v>March</v>
      </c>
      <c r="E530" s="44">
        <f>F523</f>
        <v>1457.4838076600001</v>
      </c>
      <c r="F530" s="44">
        <v>1377.9024422299999</v>
      </c>
      <c r="G530" s="44">
        <f>H523</f>
        <v>1433.3910903299998</v>
      </c>
      <c r="H530" s="44">
        <v>1352.8408184799998</v>
      </c>
      <c r="I530" s="44">
        <f t="shared" ref="I530:I537" si="101">+F530-H530</f>
        <v>25.061623750000081</v>
      </c>
      <c r="J530" s="46">
        <f>IF(E530=0,"-",(F530-E530)/E530)</f>
        <v>-5.4601886492151593E-2</v>
      </c>
      <c r="K530" s="46">
        <f>IF(G530=0,"-",(H530-G530)/G530)</f>
        <v>-5.6195599647166361E-2</v>
      </c>
      <c r="L530" s="218"/>
      <c r="M530" s="68"/>
      <c r="Z530" s="19"/>
    </row>
    <row r="531" spans="3:28">
      <c r="C531" s="32"/>
      <c r="D531" s="19" t="str">
        <f>IF(Indice_index!$Z$1=1,"abril","April")</f>
        <v>April</v>
      </c>
      <c r="E531" s="44"/>
      <c r="F531" s="44">
        <v>1862.9528817500004</v>
      </c>
      <c r="G531" s="44"/>
      <c r="H531" s="44">
        <v>1820.1826939499999</v>
      </c>
      <c r="I531" s="44">
        <f t="shared" si="101"/>
        <v>42.770187800000485</v>
      </c>
      <c r="J531" s="46" t="s">
        <v>6</v>
      </c>
      <c r="K531" s="46" t="s">
        <v>6</v>
      </c>
      <c r="L531" s="218"/>
      <c r="M531" s="68"/>
      <c r="Z531" s="19"/>
    </row>
    <row r="532" spans="3:28" s="44" customFormat="1">
      <c r="C532" s="32"/>
      <c r="D532" s="19" t="str">
        <f>IF(Indice_index!$Z$1=1,"maio","May")</f>
        <v>May</v>
      </c>
      <c r="F532" s="44">
        <v>2916.9858971799999</v>
      </c>
      <c r="H532" s="44">
        <v>2513.0321834299998</v>
      </c>
      <c r="I532" s="44">
        <f t="shared" si="101"/>
        <v>403.95371375000013</v>
      </c>
      <c r="J532" s="46" t="s">
        <v>6</v>
      </c>
      <c r="K532" s="46" t="s">
        <v>6</v>
      </c>
      <c r="L532" s="218"/>
      <c r="M532" s="68"/>
      <c r="N532" s="19"/>
      <c r="T532" s="19"/>
      <c r="U532" s="19"/>
      <c r="V532" s="19"/>
      <c r="W532" s="19"/>
      <c r="X532" s="19"/>
      <c r="Y532" s="19"/>
      <c r="Z532" s="19"/>
      <c r="AA532" s="53"/>
      <c r="AB532" s="53"/>
    </row>
    <row r="533" spans="3:28" s="44" customFormat="1">
      <c r="C533" s="61"/>
      <c r="D533" s="44" t="str">
        <f>IF(Indice_index!$Z$1=1,"junho","June")</f>
        <v>June</v>
      </c>
      <c r="E533" s="44">
        <f>+F524</f>
        <v>3525.0165164199998</v>
      </c>
      <c r="F533" s="44">
        <v>3407.8036578499996</v>
      </c>
      <c r="G533" s="44">
        <f>+H524</f>
        <v>3307.8199487600004</v>
      </c>
      <c r="H533" s="44">
        <v>3118.6312764400004</v>
      </c>
      <c r="I533" s="44">
        <f t="shared" si="101"/>
        <v>289.17238140999916</v>
      </c>
      <c r="J533" s="46">
        <f>IF(E533=0,"-",(F533-E533)/E533)</f>
        <v>-3.3251718970395458E-2</v>
      </c>
      <c r="K533" s="46">
        <f>IF(G533=0,"-",(H533-G533)/G533)</f>
        <v>-5.7194368269929872E-2</v>
      </c>
      <c r="L533" s="218"/>
      <c r="M533" s="68"/>
      <c r="N533" s="19"/>
      <c r="T533" s="19"/>
      <c r="U533" s="19"/>
      <c r="V533" s="19"/>
      <c r="W533" s="19"/>
      <c r="X533" s="19"/>
      <c r="Y533" s="19"/>
      <c r="Z533" s="19"/>
      <c r="AA533" s="53"/>
      <c r="AB533" s="53"/>
    </row>
    <row r="534" spans="3:28" s="44" customFormat="1">
      <c r="C534" s="61"/>
      <c r="D534" s="44" t="str">
        <f>IF(Indice_index!$Z$1=1,"julho","July")</f>
        <v>July</v>
      </c>
      <c r="F534" s="44">
        <v>3943.2928699000004</v>
      </c>
      <c r="H534" s="44">
        <v>3675.6128404800002</v>
      </c>
      <c r="I534" s="44">
        <f t="shared" si="101"/>
        <v>267.68002942000021</v>
      </c>
      <c r="J534" s="46" t="s">
        <v>6</v>
      </c>
      <c r="K534" s="46" t="s">
        <v>6</v>
      </c>
      <c r="L534" s="218"/>
      <c r="M534" s="68"/>
      <c r="N534" s="19"/>
      <c r="T534" s="19"/>
      <c r="U534" s="19"/>
      <c r="V534" s="19"/>
      <c r="W534" s="19"/>
      <c r="X534" s="19"/>
      <c r="Y534" s="19"/>
      <c r="Z534" s="19"/>
      <c r="AA534" s="53"/>
      <c r="AB534" s="53"/>
    </row>
    <row r="535" spans="3:28" s="44" customFormat="1">
      <c r="C535" s="61"/>
      <c r="D535" s="44" t="str">
        <f>IF(Indice_index!$Z$1=1,"agosto","August")</f>
        <v>August</v>
      </c>
      <c r="F535" s="44">
        <v>4474.0733853699985</v>
      </c>
      <c r="H535" s="44">
        <v>4172.1177948599998</v>
      </c>
      <c r="I535" s="44">
        <f t="shared" si="101"/>
        <v>301.95559050999873</v>
      </c>
      <c r="J535" s="46"/>
      <c r="K535" s="46"/>
      <c r="L535" s="218"/>
      <c r="M535" s="68"/>
      <c r="N535" s="19"/>
      <c r="T535" s="19"/>
      <c r="U535" s="19"/>
      <c r="V535" s="19"/>
      <c r="W535" s="19"/>
      <c r="X535" s="19"/>
      <c r="Y535" s="19"/>
      <c r="Z535" s="19"/>
      <c r="AA535" s="53"/>
      <c r="AB535" s="53"/>
    </row>
    <row r="536" spans="3:28" s="44" customFormat="1">
      <c r="C536" s="61"/>
      <c r="D536" s="24" t="str">
        <f>IF(Indice_index!$Z$1=1,"setembro","September")</f>
        <v>September</v>
      </c>
      <c r="E536" s="44">
        <f>+F525</f>
        <v>5136.9868850500006</v>
      </c>
      <c r="F536" s="44">
        <v>5068.1389399599993</v>
      </c>
      <c r="G536" s="44">
        <f>+H525</f>
        <v>4941.5581633500005</v>
      </c>
      <c r="H536" s="44">
        <v>4674.3000965800002</v>
      </c>
      <c r="I536" s="44">
        <f t="shared" si="101"/>
        <v>393.83884337999916</v>
      </c>
      <c r="J536" s="46">
        <f>IF(E536=0,"-",(F536-E536)/E536)</f>
        <v>-1.3402398454698639E-2</v>
      </c>
      <c r="K536" s="46">
        <f>IF(G536=0,"-",(H536-G536)/G536)</f>
        <v>-5.4083764257227669E-2</v>
      </c>
      <c r="L536" s="218"/>
      <c r="M536" s="68"/>
      <c r="N536" s="19"/>
      <c r="T536" s="19"/>
      <c r="U536" s="19"/>
      <c r="V536" s="19"/>
      <c r="W536" s="19"/>
      <c r="X536" s="19"/>
      <c r="Y536" s="19"/>
      <c r="Z536" s="19"/>
      <c r="AA536" s="53"/>
      <c r="AB536" s="53"/>
    </row>
    <row r="537" spans="3:28" s="44" customFormat="1">
      <c r="C537" s="61"/>
      <c r="D537" s="24" t="str">
        <f>IF(Indice_index!$Z$1=1,"outubro","October")</f>
        <v>October</v>
      </c>
      <c r="F537" s="44">
        <v>6022.5144740999995</v>
      </c>
      <c r="H537" s="44">
        <v>5298.5796146699986</v>
      </c>
      <c r="I537" s="44">
        <f t="shared" si="101"/>
        <v>723.93485943000087</v>
      </c>
      <c r="J537" s="46" t="str">
        <f>IF(E537=0,"-",(F537-E537)/E537)</f>
        <v>-</v>
      </c>
      <c r="K537" s="46" t="str">
        <f>IF(G537=0,"-",(H537-G537)/G537)</f>
        <v>-</v>
      </c>
      <c r="L537" s="218"/>
      <c r="M537" s="68"/>
      <c r="N537" s="19"/>
      <c r="T537" s="19"/>
      <c r="U537" s="19"/>
      <c r="V537" s="19"/>
      <c r="W537" s="19"/>
      <c r="X537" s="19"/>
      <c r="Y537" s="19"/>
      <c r="Z537" s="19"/>
      <c r="AA537" s="53"/>
      <c r="AB537" s="53"/>
    </row>
    <row r="538" spans="3:28" s="44" customFormat="1">
      <c r="C538" s="61"/>
      <c r="D538" s="24" t="str">
        <f>IF(Indice_index!$Z$1=1,"novembro","November")</f>
        <v>November</v>
      </c>
      <c r="F538" s="44">
        <v>6537.5033739699984</v>
      </c>
      <c r="H538" s="44">
        <v>5883.0787494200013</v>
      </c>
      <c r="I538" s="44">
        <f>+F538-H538</f>
        <v>654.42462454999713</v>
      </c>
      <c r="J538" s="46" t="s">
        <v>6</v>
      </c>
      <c r="K538" s="46" t="s">
        <v>6</v>
      </c>
      <c r="L538" s="218"/>
      <c r="M538" s="68"/>
      <c r="N538" s="19"/>
      <c r="T538" s="19"/>
      <c r="U538" s="19"/>
      <c r="V538" s="19"/>
      <c r="W538" s="19"/>
      <c r="X538" s="19"/>
      <c r="Y538" s="19"/>
      <c r="Z538" s="19"/>
      <c r="AA538" s="53"/>
      <c r="AB538" s="53"/>
    </row>
    <row r="539" spans="3:28" s="44" customFormat="1">
      <c r="C539" s="61"/>
      <c r="D539" s="44" t="str">
        <f>IF(Indice_index!$Z$1=1,"dezembro","December")</f>
        <v>December</v>
      </c>
      <c r="E539" s="44">
        <f>+F526</f>
        <v>7281.6785700600003</v>
      </c>
      <c r="F539" s="44">
        <v>7444.8634266199979</v>
      </c>
      <c r="G539" s="44">
        <f>+H526</f>
        <v>7072.3262380999995</v>
      </c>
      <c r="H539" s="44">
        <v>6696.1643984200018</v>
      </c>
      <c r="I539" s="44">
        <f>+F539-H539</f>
        <v>748.69902819999606</v>
      </c>
      <c r="J539" s="46">
        <f>IF(E539=0,"-",(F539-E539)/E539)</f>
        <v>2.2410335060787084E-2</v>
      </c>
      <c r="K539" s="46">
        <f>IF(G539=0,"-",(H539-G539)/G539)</f>
        <v>-5.3187851778321617E-2</v>
      </c>
      <c r="L539" s="218"/>
      <c r="M539" s="68"/>
      <c r="N539" s="19"/>
      <c r="T539" s="19"/>
      <c r="U539" s="19"/>
      <c r="V539" s="19"/>
      <c r="W539" s="19"/>
      <c r="X539" s="19"/>
      <c r="Y539" s="19"/>
      <c r="Z539" s="19"/>
      <c r="AA539" s="53"/>
      <c r="AB539" s="53"/>
    </row>
    <row r="540" spans="3:28" s="44" customFormat="1">
      <c r="L540"/>
      <c r="M540" s="69"/>
      <c r="N540" s="19"/>
      <c r="T540" s="19"/>
      <c r="U540" s="19"/>
      <c r="V540" s="19"/>
      <c r="W540" s="19"/>
      <c r="X540" s="19"/>
      <c r="Y540" s="19"/>
      <c r="Z540" s="19"/>
      <c r="AA540" s="53"/>
      <c r="AB540" s="53"/>
    </row>
    <row r="541" spans="3:28" s="44" customFormat="1" ht="12">
      <c r="C541" s="32" t="s">
        <v>7</v>
      </c>
      <c r="D541" s="45" t="str">
        <f>IF(Indice_index!$Z$1=1,"janeiro","January")</f>
        <v>January</v>
      </c>
      <c r="E541" s="45">
        <f t="shared" ref="E541:E552" si="102">+F528</f>
        <v>456.06216802999984</v>
      </c>
      <c r="F541" s="45">
        <v>429.1127745</v>
      </c>
      <c r="G541" s="45">
        <f>+H528</f>
        <v>406.15377233000004</v>
      </c>
      <c r="H541" s="45">
        <v>376.52587731999995</v>
      </c>
      <c r="I541" s="45">
        <f t="shared" ref="I541:I546" si="103">+F541-H541</f>
        <v>52.586897180000051</v>
      </c>
      <c r="J541" s="221">
        <f t="shared" ref="J541:J546" si="104">IF(E541=0,"-",(F541-E541)/E541)</f>
        <v>-5.9091491071074989E-2</v>
      </c>
      <c r="K541" s="221">
        <f t="shared" ref="K541:K550" si="105">IF(G541=0,"-",(H541-G541)/G541)</f>
        <v>-7.2947482033793393E-2</v>
      </c>
      <c r="L541" s="277"/>
      <c r="M541" s="69"/>
      <c r="N541" s="19"/>
      <c r="T541" s="19"/>
      <c r="U541" s="19"/>
      <c r="V541" s="19"/>
      <c r="W541" s="19"/>
      <c r="X541" s="19"/>
      <c r="Y541" s="19"/>
      <c r="Z541" s="19"/>
      <c r="AA541" s="53"/>
      <c r="AB541" s="53"/>
    </row>
    <row r="542" spans="3:28" s="44" customFormat="1" ht="12">
      <c r="C542" s="61"/>
      <c r="D542" s="44" t="str">
        <f>IF(Indice_index!$Z$1=1,"fevereiro","February")</f>
        <v>February</v>
      </c>
      <c r="E542" s="44">
        <f t="shared" si="102"/>
        <v>901.96308377000025</v>
      </c>
      <c r="F542" s="44">
        <v>844.29934040000012</v>
      </c>
      <c r="G542" s="44">
        <f>+H529</f>
        <v>857.46172853999997</v>
      </c>
      <c r="H542" s="44">
        <v>890.73727569999971</v>
      </c>
      <c r="I542" s="44">
        <f t="shared" si="103"/>
        <v>-46.437935299999594</v>
      </c>
      <c r="J542" s="46">
        <f t="shared" si="104"/>
        <v>-6.3931378575915562E-2</v>
      </c>
      <c r="K542" s="46">
        <f t="shared" si="105"/>
        <v>3.8807034824350724E-2</v>
      </c>
      <c r="L542" s="277"/>
      <c r="M542" s="69"/>
      <c r="N542" s="19"/>
      <c r="T542" s="19"/>
      <c r="U542" s="19"/>
      <c r="V542" s="19"/>
      <c r="W542" s="19"/>
      <c r="X542" s="19"/>
      <c r="Y542" s="19"/>
      <c r="Z542" s="19"/>
      <c r="AA542" s="53"/>
      <c r="AB542" s="53"/>
    </row>
    <row r="543" spans="3:28" s="70" customFormat="1" ht="12" customHeight="1">
      <c r="C543" s="61"/>
      <c r="D543" s="45" t="str">
        <f>IF(Indice_index!$Z$1=1,"março","March")</f>
        <v>March</v>
      </c>
      <c r="E543" s="40">
        <f t="shared" si="102"/>
        <v>1377.9024422299999</v>
      </c>
      <c r="F543" s="40">
        <v>1281.0643142899999</v>
      </c>
      <c r="G543" s="40">
        <f t="shared" ref="G543:G551" si="106">+H530</f>
        <v>1352.8408184799998</v>
      </c>
      <c r="H543" s="40">
        <v>1385.1388549499998</v>
      </c>
      <c r="I543" s="45">
        <f t="shared" si="103"/>
        <v>-104.07454065999991</v>
      </c>
      <c r="J543" s="238">
        <f t="shared" si="104"/>
        <v>-7.0279378983665236E-2</v>
      </c>
      <c r="K543" s="238">
        <f t="shared" si="105"/>
        <v>2.3874232673056672E-2</v>
      </c>
      <c r="L543" s="277"/>
      <c r="M543" s="69"/>
      <c r="N543" s="19"/>
      <c r="P543" s="44"/>
      <c r="Q543" s="44"/>
      <c r="R543" s="44"/>
      <c r="S543" s="44"/>
      <c r="T543" s="19"/>
      <c r="U543" s="19"/>
      <c r="V543" s="19"/>
      <c r="W543" s="19"/>
      <c r="X543" s="19"/>
      <c r="Y543" s="19"/>
      <c r="Z543" s="19"/>
      <c r="AA543" s="71"/>
      <c r="AB543" s="71"/>
    </row>
    <row r="544" spans="3:28" s="70" customFormat="1" ht="12" customHeight="1">
      <c r="C544" s="61"/>
      <c r="D544" s="45" t="str">
        <f>IF(Indice_index!$Z$1=1,"abril","April")</f>
        <v>April</v>
      </c>
      <c r="E544" s="40">
        <f t="shared" si="102"/>
        <v>1862.9528817500004</v>
      </c>
      <c r="F544" s="40">
        <v>1786.4029229399998</v>
      </c>
      <c r="G544" s="40">
        <f t="shared" si="106"/>
        <v>1820.1826939499999</v>
      </c>
      <c r="H544" s="40">
        <v>1943.6959593399997</v>
      </c>
      <c r="I544" s="45">
        <f t="shared" si="103"/>
        <v>-157.29303639999989</v>
      </c>
      <c r="J544" s="238">
        <f t="shared" si="104"/>
        <v>-4.1090657503957871E-2</v>
      </c>
      <c r="K544" s="238">
        <f t="shared" si="105"/>
        <v>6.7857619897463251E-2</v>
      </c>
      <c r="L544" s="277"/>
      <c r="M544" s="69"/>
      <c r="N544" s="19"/>
      <c r="P544" s="44"/>
      <c r="Q544" s="44"/>
      <c r="R544" s="44"/>
      <c r="S544" s="44"/>
      <c r="T544" s="19"/>
      <c r="U544" s="19"/>
      <c r="V544" s="19"/>
      <c r="W544" s="19"/>
      <c r="X544" s="19"/>
      <c r="Y544" s="19"/>
      <c r="Z544" s="19"/>
      <c r="AA544" s="71"/>
      <c r="AB544" s="71"/>
    </row>
    <row r="545" spans="3:28" s="70" customFormat="1" ht="12" customHeight="1">
      <c r="C545" s="61"/>
      <c r="D545" s="45" t="str">
        <f>IF(Indice_index!$Z$1=1,"maio","May")</f>
        <v>May</v>
      </c>
      <c r="E545" s="40">
        <f t="shared" si="102"/>
        <v>2916.9858971799999</v>
      </c>
      <c r="F545" s="40">
        <v>2799.6999487500002</v>
      </c>
      <c r="G545" s="40">
        <f t="shared" si="106"/>
        <v>2513.0321834299998</v>
      </c>
      <c r="H545" s="40">
        <v>2660.1045034800004</v>
      </c>
      <c r="I545" s="45">
        <f t="shared" si="103"/>
        <v>139.5954452699998</v>
      </c>
      <c r="J545" s="238">
        <f t="shared" si="104"/>
        <v>-4.0207924400109743E-2</v>
      </c>
      <c r="K545" s="238">
        <f t="shared" si="105"/>
        <v>5.8523850597593144E-2</v>
      </c>
      <c r="L545" s="277"/>
      <c r="M545" s="69"/>
      <c r="N545" s="19"/>
      <c r="P545" s="44"/>
      <c r="Q545" s="44"/>
      <c r="R545" s="44"/>
      <c r="S545" s="44"/>
      <c r="T545" s="19"/>
      <c r="U545" s="19"/>
      <c r="V545" s="19"/>
      <c r="W545" s="19"/>
      <c r="X545" s="19"/>
      <c r="Y545" s="19"/>
      <c r="Z545" s="19"/>
      <c r="AA545" s="71"/>
      <c r="AB545" s="71"/>
    </row>
    <row r="546" spans="3:28" s="70" customFormat="1" ht="12" customHeight="1">
      <c r="C546" s="61"/>
      <c r="D546" s="45" t="str">
        <f>IF(Indice_index!$Z$1=1,"junho","June")</f>
        <v>June</v>
      </c>
      <c r="E546" s="45">
        <f t="shared" si="102"/>
        <v>3407.8036578499996</v>
      </c>
      <c r="F546" s="45">
        <v>3275.48762154</v>
      </c>
      <c r="G546" s="45">
        <f t="shared" si="106"/>
        <v>3118.6312764400004</v>
      </c>
      <c r="H546" s="45">
        <v>3325.3554102400003</v>
      </c>
      <c r="I546" s="45">
        <f t="shared" si="103"/>
        <v>-49.867788700000347</v>
      </c>
      <c r="J546" s="238">
        <f t="shared" si="104"/>
        <v>-3.8827364952556703E-2</v>
      </c>
      <c r="K546" s="238">
        <f t="shared" si="105"/>
        <v>6.6286814783689627E-2</v>
      </c>
      <c r="L546" s="277"/>
      <c r="M546" s="69"/>
      <c r="N546" s="19"/>
      <c r="P546" s="44"/>
      <c r="Q546" s="44"/>
      <c r="R546" s="44"/>
      <c r="S546" s="44"/>
      <c r="T546" s="19"/>
      <c r="U546" s="19"/>
      <c r="V546" s="19"/>
      <c r="W546" s="19"/>
      <c r="X546" s="19"/>
      <c r="Y546" s="19"/>
      <c r="Z546" s="19"/>
      <c r="AA546" s="71"/>
      <c r="AB546" s="71"/>
    </row>
    <row r="547" spans="3:28" s="70" customFormat="1" ht="12" customHeight="1">
      <c r="C547" s="61"/>
      <c r="D547" s="45" t="str">
        <f>IF(Indice_index!$Z$1=1,"julho","July")</f>
        <v>July</v>
      </c>
      <c r="E547" s="45">
        <f t="shared" si="102"/>
        <v>3943.2928699000004</v>
      </c>
      <c r="F547" s="45">
        <v>3851.6121569300008</v>
      </c>
      <c r="G547" s="45">
        <f t="shared" si="106"/>
        <v>3675.6128404800002</v>
      </c>
      <c r="H547" s="45">
        <v>3993.0549583500015</v>
      </c>
      <c r="I547" s="45">
        <f t="shared" ref="I547:I552" si="107">+F547-H547</f>
        <v>-141.44280142000071</v>
      </c>
      <c r="J547" s="238">
        <f t="shared" ref="J547:J552" si="108">IF(E547=0,"-",(F547-E547)/E547)</f>
        <v>-2.3249785393780444E-2</v>
      </c>
      <c r="K547" s="238">
        <f t="shared" si="105"/>
        <v>8.6364405514631509E-2</v>
      </c>
      <c r="L547" s="277"/>
      <c r="M547" s="69"/>
      <c r="N547" s="19"/>
      <c r="P547" s="44"/>
      <c r="Q547" s="44"/>
      <c r="R547" s="44"/>
      <c r="S547" s="44"/>
      <c r="T547" s="19"/>
      <c r="U547" s="19"/>
      <c r="V547" s="19"/>
      <c r="W547" s="19"/>
      <c r="X547" s="19"/>
      <c r="Y547" s="19"/>
      <c r="Z547" s="19"/>
      <c r="AA547" s="71"/>
      <c r="AB547" s="71"/>
    </row>
    <row r="548" spans="3:28" s="70" customFormat="1" ht="12" customHeight="1">
      <c r="C548" s="61"/>
      <c r="D548" s="45" t="str">
        <f>IF(Indice_index!$Z$1=1,"agosto","August")</f>
        <v>August</v>
      </c>
      <c r="E548" s="45">
        <f t="shared" si="102"/>
        <v>4474.0733853699985</v>
      </c>
      <c r="F548" s="45">
        <v>4594.9104128999998</v>
      </c>
      <c r="G548" s="45">
        <f t="shared" si="106"/>
        <v>4172.1177948599998</v>
      </c>
      <c r="H548" s="45">
        <v>4606.2369042700002</v>
      </c>
      <c r="I548" s="45">
        <f t="shared" si="107"/>
        <v>-11.32649137000044</v>
      </c>
      <c r="J548" s="238">
        <f t="shared" si="108"/>
        <v>2.7008280178222474E-2</v>
      </c>
      <c r="K548" s="238">
        <f t="shared" si="105"/>
        <v>0.10405245747011987</v>
      </c>
      <c r="L548" s="277"/>
      <c r="M548" s="69"/>
      <c r="N548" s="19"/>
      <c r="P548" s="44"/>
      <c r="Q548" s="44"/>
      <c r="R548" s="44"/>
      <c r="S548" s="44"/>
      <c r="T548" s="19"/>
      <c r="U548" s="19"/>
      <c r="V548" s="19"/>
      <c r="W548" s="19"/>
      <c r="X548" s="19"/>
      <c r="Y548" s="19"/>
      <c r="Z548" s="19"/>
      <c r="AA548" s="71"/>
      <c r="AB548" s="71"/>
    </row>
    <row r="549" spans="3:28" s="70" customFormat="1" ht="12" customHeight="1">
      <c r="C549" s="61"/>
      <c r="D549" s="45" t="str">
        <f>IF(Indice_index!$Z$1=1,"setembro","September")</f>
        <v>September</v>
      </c>
      <c r="E549" s="45">
        <f t="shared" si="102"/>
        <v>5068.1389399599993</v>
      </c>
      <c r="F549" s="45">
        <v>5128.9837318200007</v>
      </c>
      <c r="G549" s="45">
        <f t="shared" si="106"/>
        <v>4674.3000965800002</v>
      </c>
      <c r="H549" s="45">
        <v>5237.1589197800004</v>
      </c>
      <c r="I549" s="45">
        <f t="shared" si="107"/>
        <v>-108.17518795999968</v>
      </c>
      <c r="J549" s="238">
        <f t="shared" si="108"/>
        <v>1.2005351980441477E-2</v>
      </c>
      <c r="K549" s="238">
        <f t="shared" si="105"/>
        <v>0.12041563690183726</v>
      </c>
      <c r="L549" s="277"/>
      <c r="M549" s="69"/>
      <c r="N549" s="19"/>
      <c r="P549" s="44"/>
      <c r="Q549" s="44"/>
      <c r="R549" s="44"/>
      <c r="S549" s="44"/>
      <c r="T549" s="19"/>
      <c r="U549" s="19"/>
      <c r="V549" s="19"/>
      <c r="W549" s="19"/>
      <c r="X549" s="19"/>
      <c r="Y549" s="19"/>
      <c r="Z549" s="19"/>
      <c r="AA549" s="71"/>
      <c r="AB549" s="71"/>
    </row>
    <row r="550" spans="3:28" s="70" customFormat="1" ht="12" customHeight="1">
      <c r="C550" s="61"/>
      <c r="D550" s="45" t="str">
        <f>IF(Indice_index!$Z$1=1,"outubro","October")</f>
        <v>October</v>
      </c>
      <c r="E550" s="45">
        <f t="shared" si="102"/>
        <v>6022.5144740999995</v>
      </c>
      <c r="F550" s="45">
        <v>5618.1945781399991</v>
      </c>
      <c r="G550" s="45">
        <f t="shared" si="106"/>
        <v>5298.5796146699986</v>
      </c>
      <c r="H550" s="45">
        <v>5778.0028582799996</v>
      </c>
      <c r="I550" s="45">
        <f t="shared" si="107"/>
        <v>-159.80828014000053</v>
      </c>
      <c r="J550" s="238">
        <f t="shared" si="108"/>
        <v>-6.7134732128713015E-2</v>
      </c>
      <c r="K550" s="238">
        <f t="shared" si="105"/>
        <v>9.0481464557527466E-2</v>
      </c>
      <c r="L550" s="277"/>
      <c r="M550" s="69"/>
      <c r="N550" s="19"/>
      <c r="P550" s="44"/>
      <c r="Q550" s="44"/>
      <c r="R550" s="44"/>
      <c r="S550" s="44"/>
      <c r="T550" s="19"/>
      <c r="U550" s="19"/>
      <c r="V550" s="19"/>
      <c r="W550" s="19"/>
      <c r="X550" s="19"/>
      <c r="Y550" s="19"/>
      <c r="Z550" s="19"/>
      <c r="AA550" s="71"/>
      <c r="AB550" s="71"/>
    </row>
    <row r="551" spans="3:28" s="264" customFormat="1" ht="12" customHeight="1">
      <c r="C551" s="61"/>
      <c r="D551" s="45" t="str">
        <f>IF(Indice_index!$Z$1=1,"novembro","November")</f>
        <v>November</v>
      </c>
      <c r="E551" s="45">
        <f t="shared" si="102"/>
        <v>6537.5033739699984</v>
      </c>
      <c r="F551" s="45">
        <v>6100.5174417400003</v>
      </c>
      <c r="G551" s="45">
        <f t="shared" si="106"/>
        <v>5883.0787494200013</v>
      </c>
      <c r="H551" s="45">
        <v>6280.0272733199999</v>
      </c>
      <c r="I551" s="45">
        <f t="shared" si="107"/>
        <v>-179.50983157999963</v>
      </c>
      <c r="J551" s="238">
        <f t="shared" si="108"/>
        <v>-6.6842937927943546E-2</v>
      </c>
      <c r="K551" s="238">
        <f>IF(G551=0,"-",(H551-G551)/G551)</f>
        <v>6.7472923754272857E-2</v>
      </c>
      <c r="L551" s="277"/>
      <c r="M551" s="69"/>
      <c r="N551" s="19"/>
      <c r="P551" s="44"/>
      <c r="Q551" s="44"/>
      <c r="R551" s="44"/>
      <c r="S551" s="44"/>
      <c r="T551" s="19"/>
      <c r="U551" s="19"/>
      <c r="V551" s="19"/>
      <c r="W551" s="19"/>
      <c r="X551" s="19"/>
      <c r="Y551" s="19"/>
      <c r="Z551" s="19"/>
      <c r="AA551" s="265"/>
      <c r="AB551" s="265"/>
    </row>
    <row r="552" spans="3:28" s="264" customFormat="1" ht="12" customHeight="1">
      <c r="C552" s="61"/>
      <c r="D552" s="45" t="str">
        <f>IF(Indice_index!$Z$1=1,"dezembro","December")</f>
        <v>December</v>
      </c>
      <c r="E552" s="45">
        <f t="shared" si="102"/>
        <v>7444.8634266199979</v>
      </c>
      <c r="F552" s="45">
        <v>7010.9966759499985</v>
      </c>
      <c r="G552" s="45">
        <f>+H539</f>
        <v>6696.1643984200018</v>
      </c>
      <c r="H552" s="45">
        <v>7074.3951497300013</v>
      </c>
      <c r="I552" s="45">
        <f t="shared" si="107"/>
        <v>-63.39847378000286</v>
      </c>
      <c r="J552" s="238">
        <f t="shared" si="108"/>
        <v>-5.8277328381694291E-2</v>
      </c>
      <c r="K552" s="238">
        <f>IF(G552=0,"-",(H552-G552)/G552)</f>
        <v>5.6484687173935753E-2</v>
      </c>
      <c r="L552" s="278"/>
      <c r="M552" s="69"/>
      <c r="N552" s="19"/>
      <c r="P552" s="44"/>
      <c r="Q552" s="44"/>
      <c r="R552" s="44"/>
      <c r="S552" s="44"/>
      <c r="T552" s="19"/>
      <c r="U552" s="19"/>
      <c r="V552" s="19"/>
      <c r="W552" s="19"/>
      <c r="X552" s="19"/>
      <c r="Y552" s="19"/>
      <c r="Z552" s="19"/>
      <c r="AA552" s="265"/>
      <c r="AB552" s="265"/>
    </row>
    <row r="553" spans="3:28">
      <c r="C553" s="45"/>
      <c r="D553" s="45"/>
      <c r="E553" s="45"/>
      <c r="F553" s="45"/>
      <c r="G553" s="45"/>
      <c r="H553" s="45"/>
      <c r="I553" s="45"/>
      <c r="J553" s="45"/>
      <c r="K553" s="45"/>
      <c r="Z553" s="19"/>
    </row>
    <row r="554" spans="3:28" ht="12">
      <c r="C554" s="32" t="s">
        <v>16</v>
      </c>
      <c r="D554" s="45" t="str">
        <f>IF(Indice_index!$Z$1=1,"janeiro","January")</f>
        <v>January</v>
      </c>
      <c r="E554" s="45">
        <f>+F541</f>
        <v>429.1127745</v>
      </c>
      <c r="F554" s="45">
        <v>523.24179620999996</v>
      </c>
      <c r="G554" s="45">
        <f>+H541</f>
        <v>376.52587731999995</v>
      </c>
      <c r="H554" s="45">
        <v>420.20526809000012</v>
      </c>
      <c r="I554" s="45">
        <f t="shared" ref="I554:I565" si="109">+F554-H554</f>
        <v>103.03652811999984</v>
      </c>
      <c r="J554" s="221">
        <f t="shared" ref="J554:J562" si="110">IF(E554=0,"-",(F554-E554)/E554)</f>
        <v>0.21935730489421718</v>
      </c>
      <c r="K554" s="221">
        <f t="shared" ref="K554:K562" si="111">IF(G554=0,"-",(H554-G554)/G554)</f>
        <v>0.11600634485177268</v>
      </c>
      <c r="L554" s="279"/>
      <c r="Z554" s="19"/>
    </row>
    <row r="555" spans="3:28" ht="12">
      <c r="C555" s="32"/>
      <c r="D555" s="45" t="str">
        <f>IF(Indice_index!$Z$1=1,"fevereiro","February")</f>
        <v>February</v>
      </c>
      <c r="E555" s="45">
        <f t="shared" ref="E555:E565" si="112">+F542</f>
        <v>844.29934040000012</v>
      </c>
      <c r="F555" s="45">
        <v>938.0262341099999</v>
      </c>
      <c r="G555" s="45">
        <f t="shared" ref="G555:G565" si="113">+H542</f>
        <v>890.73727569999971</v>
      </c>
      <c r="H555" s="45">
        <v>840.1274414799999</v>
      </c>
      <c r="I555" s="45">
        <f t="shared" si="109"/>
        <v>97.898792630000003</v>
      </c>
      <c r="J555" s="221">
        <f t="shared" si="110"/>
        <v>0.11101144964248721</v>
      </c>
      <c r="K555" s="221">
        <f t="shared" si="111"/>
        <v>-5.6817914328585031E-2</v>
      </c>
      <c r="L555" s="279"/>
      <c r="Z555" s="19"/>
    </row>
    <row r="556" spans="3:28" ht="12">
      <c r="C556" s="32"/>
      <c r="D556" s="45" t="str">
        <f>IF(Indice_index!$Z$1=1,"março","March")</f>
        <v>March</v>
      </c>
      <c r="E556" s="45">
        <f t="shared" si="112"/>
        <v>1281.0643142899999</v>
      </c>
      <c r="F556" s="45">
        <v>1392.0294302599998</v>
      </c>
      <c r="G556" s="45">
        <f t="shared" si="113"/>
        <v>1385.1388549499998</v>
      </c>
      <c r="H556" s="45">
        <v>1316.6371175499999</v>
      </c>
      <c r="I556" s="45">
        <f t="shared" si="109"/>
        <v>75.392312709999942</v>
      </c>
      <c r="J556" s="221">
        <f t="shared" si="110"/>
        <v>8.6619473146045581E-2</v>
      </c>
      <c r="K556" s="221">
        <f t="shared" si="111"/>
        <v>-4.9454780042591948E-2</v>
      </c>
      <c r="L556" s="279"/>
      <c r="Z556" s="19"/>
    </row>
    <row r="557" spans="3:28">
      <c r="C557" s="32"/>
      <c r="D557" s="45" t="str">
        <f>IF(Indice_index!$Z$1=1,"abril","April")</f>
        <v>April</v>
      </c>
      <c r="E557" s="45">
        <f t="shared" si="112"/>
        <v>1786.4029229399998</v>
      </c>
      <c r="F557" s="45">
        <v>1814.5579233100002</v>
      </c>
      <c r="G557" s="45">
        <f t="shared" si="113"/>
        <v>1943.6959593399997</v>
      </c>
      <c r="H557" s="45">
        <v>1792.1996616199997</v>
      </c>
      <c r="I557" s="45">
        <f t="shared" si="109"/>
        <v>22.358261690000518</v>
      </c>
      <c r="J557" s="221">
        <f t="shared" si="110"/>
        <v>1.5760722291958556E-2</v>
      </c>
      <c r="K557" s="221">
        <f t="shared" si="111"/>
        <v>-7.7942384451651595E-2</v>
      </c>
      <c r="Z557" s="19"/>
    </row>
    <row r="558" spans="3:28">
      <c r="C558" s="32"/>
      <c r="D558" s="45" t="str">
        <f>IF(Indice_index!$Z$1=1,"maio","May")</f>
        <v>May</v>
      </c>
      <c r="E558" s="45">
        <f t="shared" si="112"/>
        <v>2799.6999487500002</v>
      </c>
      <c r="F558" s="45">
        <v>2842.1780403799989</v>
      </c>
      <c r="G558" s="45">
        <f t="shared" si="113"/>
        <v>2660.1045034800004</v>
      </c>
      <c r="H558" s="45">
        <v>2418.3660116199994</v>
      </c>
      <c r="I558" s="45">
        <f t="shared" si="109"/>
        <v>423.81202875999952</v>
      </c>
      <c r="J558" s="221">
        <f t="shared" si="110"/>
        <v>1.5172372899804569E-2</v>
      </c>
      <c r="K558" s="221">
        <f t="shared" si="111"/>
        <v>-9.087556204793984E-2</v>
      </c>
      <c r="Z558" s="19"/>
    </row>
    <row r="559" spans="3:28">
      <c r="C559" s="32"/>
      <c r="D559" s="45" t="str">
        <f>IF(Indice_index!$Z$1=1,"junho","June")</f>
        <v>June</v>
      </c>
      <c r="E559" s="45">
        <f t="shared" si="112"/>
        <v>3275.48762154</v>
      </c>
      <c r="F559" s="45">
        <v>3341.9003628900005</v>
      </c>
      <c r="G559" s="45">
        <f t="shared" si="113"/>
        <v>3325.3554102400003</v>
      </c>
      <c r="H559" s="45">
        <v>3085.0155655399999</v>
      </c>
      <c r="I559" s="45">
        <f t="shared" si="109"/>
        <v>256.88479735000055</v>
      </c>
      <c r="J559" s="221">
        <f t="shared" si="110"/>
        <v>2.0275680760709437E-2</v>
      </c>
      <c r="K559" s="221">
        <f t="shared" si="111"/>
        <v>-7.2274934570874763E-2</v>
      </c>
      <c r="Z559" s="19"/>
    </row>
    <row r="560" spans="3:28">
      <c r="C560" s="32"/>
      <c r="D560" s="45" t="str">
        <f>IF(Indice_index!$Z$1=1,"julho","July")</f>
        <v>July</v>
      </c>
      <c r="E560" s="45">
        <f t="shared" si="112"/>
        <v>3851.6121569300008</v>
      </c>
      <c r="F560" s="45">
        <v>3820.1407073400005</v>
      </c>
      <c r="G560" s="45">
        <f t="shared" si="113"/>
        <v>3993.0549583500015</v>
      </c>
      <c r="H560" s="45">
        <v>3626.0906879499994</v>
      </c>
      <c r="I560" s="45">
        <f t="shared" si="109"/>
        <v>194.05001939000113</v>
      </c>
      <c r="J560" s="221">
        <f t="shared" si="110"/>
        <v>-8.1709809575129053E-3</v>
      </c>
      <c r="K560" s="221">
        <f t="shared" si="111"/>
        <v>-9.1900631027537372E-2</v>
      </c>
      <c r="Z560" s="19"/>
    </row>
    <row r="561" spans="3:26">
      <c r="C561" s="32"/>
      <c r="D561" s="45" t="str">
        <f>IF(Indice_index!$Z$1=1,"agosto","August")</f>
        <v>August</v>
      </c>
      <c r="E561" s="45">
        <f t="shared" si="112"/>
        <v>4594.9104128999998</v>
      </c>
      <c r="F561" s="45">
        <v>4541.4150967899977</v>
      </c>
      <c r="G561" s="45">
        <f t="shared" si="113"/>
        <v>4606.2369042700002</v>
      </c>
      <c r="H561" s="45">
        <v>4106.3626419900002</v>
      </c>
      <c r="I561" s="45">
        <f t="shared" si="109"/>
        <v>435.05245479999758</v>
      </c>
      <c r="J561" s="221">
        <f t="shared" si="110"/>
        <v>-1.1642297956412029E-2</v>
      </c>
      <c r="K561" s="221">
        <f t="shared" si="111"/>
        <v>-0.10852117958080154</v>
      </c>
      <c r="Z561" s="19"/>
    </row>
    <row r="562" spans="3:26">
      <c r="C562" s="32"/>
      <c r="D562" s="45" t="str">
        <f>IF(Indice_index!$Z$1=1,"setembro","September")</f>
        <v>September</v>
      </c>
      <c r="E562" s="45">
        <f t="shared" si="112"/>
        <v>5128.9837318200007</v>
      </c>
      <c r="F562" s="45">
        <v>5045.9168335600016</v>
      </c>
      <c r="G562" s="45">
        <f t="shared" si="113"/>
        <v>5237.1589197800004</v>
      </c>
      <c r="H562" s="45">
        <v>4631.418747839999</v>
      </c>
      <c r="I562" s="45">
        <f t="shared" si="109"/>
        <v>414.49808572000256</v>
      </c>
      <c r="J562" s="221">
        <f t="shared" si="110"/>
        <v>-1.6195586222014224E-2</v>
      </c>
      <c r="K562" s="221">
        <f t="shared" si="111"/>
        <v>-0.11566198032528807</v>
      </c>
      <c r="Z562" s="19"/>
    </row>
    <row r="563" spans="3:26" ht="12">
      <c r="C563" s="32"/>
      <c r="D563" s="45" t="str">
        <f>IF(Indice_index!$Z$1=1,"outubro","October")</f>
        <v>October</v>
      </c>
      <c r="E563" s="45">
        <f t="shared" si="112"/>
        <v>5618.1945781399991</v>
      </c>
      <c r="F563" s="45">
        <v>5506.4797368100008</v>
      </c>
      <c r="G563" s="45">
        <f t="shared" si="113"/>
        <v>5778.0028582799996</v>
      </c>
      <c r="H563" s="45">
        <v>5140.0474689400007</v>
      </c>
      <c r="I563" s="45">
        <f t="shared" si="109"/>
        <v>366.43226787000003</v>
      </c>
      <c r="J563" s="221">
        <f>IF(E563=0,"-",(F563-E563)/E563)</f>
        <v>-1.988447352191626E-2</v>
      </c>
      <c r="K563" s="221">
        <f>IF(G563=0,"-",(H563-G563)/G563)</f>
        <v>-0.11041105464767907</v>
      </c>
      <c r="L563" s="44"/>
      <c r="Z563" s="19"/>
    </row>
    <row r="564" spans="3:26" ht="12">
      <c r="C564" s="32"/>
      <c r="D564" s="45" t="str">
        <f>IF(Indice_index!$Z$1=1,"novembro","November")</f>
        <v>November</v>
      </c>
      <c r="E564" s="45">
        <f t="shared" si="112"/>
        <v>6100.5174417400003</v>
      </c>
      <c r="F564" s="45">
        <v>5945.9634437799996</v>
      </c>
      <c r="G564" s="45">
        <f t="shared" si="113"/>
        <v>6280.0272733199999</v>
      </c>
      <c r="H564" s="45">
        <v>5600.1204128800009</v>
      </c>
      <c r="I564" s="45">
        <f t="shared" si="109"/>
        <v>345.84303089999867</v>
      </c>
      <c r="J564" s="221">
        <f>IF(E564=0,"-",(F564-E564)/E564)</f>
        <v>-2.5334571933609384E-2</v>
      </c>
      <c r="K564" s="221">
        <f>IF(G564=0,"-",(H564-G564)/G564)</f>
        <v>-0.10826495345466221</v>
      </c>
      <c r="L564" s="24"/>
      <c r="Z564" s="19"/>
    </row>
    <row r="565" spans="3:26" ht="12">
      <c r="C565" s="32"/>
      <c r="D565" s="45" t="str">
        <f>IF(Indice_index!$Z$1=1,"dezembro","December")</f>
        <v>December</v>
      </c>
      <c r="E565" s="45">
        <f t="shared" si="112"/>
        <v>7010.9966759499985</v>
      </c>
      <c r="F565" s="45">
        <v>6937.9009402300017</v>
      </c>
      <c r="G565" s="45">
        <f t="shared" si="113"/>
        <v>7074.3951497300013</v>
      </c>
      <c r="H565" s="45">
        <v>6520.7762294499998</v>
      </c>
      <c r="I565" s="45">
        <f t="shared" si="109"/>
        <v>417.12471078000181</v>
      </c>
      <c r="J565" s="221">
        <f>IF(E565=0,"-",(F565-E565)/E565)</f>
        <v>-1.0425869401812582E-2</v>
      </c>
      <c r="K565" s="221">
        <f>IF(G565=0,"-",(H565-G565)/G565)</f>
        <v>-7.8256714328592561E-2</v>
      </c>
      <c r="L565" s="24"/>
      <c r="Z565" s="19"/>
    </row>
    <row r="566" spans="3:26">
      <c r="C566" s="45"/>
      <c r="D566" s="45"/>
      <c r="E566" s="45"/>
      <c r="F566" s="45"/>
      <c r="G566" s="45"/>
      <c r="H566" s="45"/>
      <c r="I566" s="45"/>
      <c r="J566" s="45"/>
      <c r="K566" s="45"/>
      <c r="Z566" s="19"/>
    </row>
    <row r="567" spans="3:26" ht="12">
      <c r="C567" s="32" t="s">
        <v>23</v>
      </c>
      <c r="D567" s="45" t="str">
        <f>IF(Indice_index!$Z$1=1,"janeiro","January")</f>
        <v>January</v>
      </c>
      <c r="E567" s="45">
        <f t="shared" ref="E567:E578" si="114">F541</f>
        <v>429.1127745</v>
      </c>
      <c r="F567" s="45">
        <v>465.96077472000007</v>
      </c>
      <c r="G567" s="45">
        <f t="shared" ref="G567:G578" si="115">H541</f>
        <v>376.52587731999995</v>
      </c>
      <c r="H567" s="45">
        <v>370.46125808000011</v>
      </c>
      <c r="I567" s="45">
        <f>IF(F567=0,"",+F567-H567)</f>
        <v>95.499516639999968</v>
      </c>
      <c r="J567" s="221">
        <f>IF(E567=0,"",(F567-E567)/E567)</f>
        <v>8.5870201051309117E-2</v>
      </c>
      <c r="K567" s="221">
        <f>IF(G567=0,"",(H567-G567)/G567)</f>
        <v>-1.6106779388354427E-2</v>
      </c>
      <c r="L567" s="279"/>
      <c r="Z567" s="19"/>
    </row>
    <row r="568" spans="3:26" ht="12">
      <c r="C568" s="32"/>
      <c r="D568" s="45" t="str">
        <f>IF(Indice_index!$Z$1=1,"fevereiro","February")</f>
        <v>February</v>
      </c>
      <c r="E568" s="45">
        <f t="shared" si="114"/>
        <v>844.29934040000012</v>
      </c>
      <c r="F568" s="45">
        <v>888.81695567999964</v>
      </c>
      <c r="G568" s="45">
        <f t="shared" si="115"/>
        <v>890.73727569999971</v>
      </c>
      <c r="H568" s="45">
        <v>805.67756277000001</v>
      </c>
      <c r="I568" s="45">
        <f t="shared" ref="I568:I577" si="116">IF(F568=0,"",+F568-H568)</f>
        <v>83.139392909999629</v>
      </c>
      <c r="J568" s="221">
        <f t="shared" ref="J568:J578" si="117">IF(E568=0,"",(F568-E568)/E568)</f>
        <v>5.2727288948145566E-2</v>
      </c>
      <c r="K568" s="221">
        <f t="shared" ref="K568:K578" si="118">IF(G568=0,"",(H568-G568)/G568)</f>
        <v>-9.5493604287699999E-2</v>
      </c>
      <c r="L568" s="279"/>
      <c r="Z568" s="19"/>
    </row>
    <row r="569" spans="3:26" ht="12">
      <c r="C569" s="32"/>
      <c r="D569" s="45" t="str">
        <f>IF(Indice_index!$Z$1=1,"março","March")</f>
        <v>March</v>
      </c>
      <c r="E569" s="45">
        <f t="shared" si="114"/>
        <v>1281.0643142899999</v>
      </c>
      <c r="F569" s="45">
        <v>1361.1703275900002</v>
      </c>
      <c r="G569" s="45">
        <f t="shared" si="115"/>
        <v>1385.1388549499998</v>
      </c>
      <c r="H569" s="45">
        <v>1308.7001086999999</v>
      </c>
      <c r="I569" s="45">
        <f t="shared" si="116"/>
        <v>52.470218890000297</v>
      </c>
      <c r="J569" s="221">
        <f t="shared" si="117"/>
        <v>6.2530828785436282E-2</v>
      </c>
      <c r="K569" s="221">
        <f t="shared" si="118"/>
        <v>-5.5184897872754532E-2</v>
      </c>
      <c r="L569" s="279"/>
      <c r="Z569" s="19"/>
    </row>
    <row r="570" spans="3:26">
      <c r="C570" s="32"/>
      <c r="D570" s="45" t="str">
        <f>IF(Indice_index!$Z$1=1,"abril","April")</f>
        <v>April</v>
      </c>
      <c r="E570" s="45">
        <f t="shared" si="114"/>
        <v>1786.4029229399998</v>
      </c>
      <c r="F570" s="45">
        <v>1853.1998869699999</v>
      </c>
      <c r="G570" s="45">
        <f t="shared" si="115"/>
        <v>1943.6959593399997</v>
      </c>
      <c r="H570" s="45">
        <v>1798.55724637</v>
      </c>
      <c r="I570" s="45">
        <f t="shared" si="116"/>
        <v>54.642640599999822</v>
      </c>
      <c r="J570" s="221">
        <f t="shared" si="117"/>
        <v>3.7391880170050275E-2</v>
      </c>
      <c r="K570" s="221">
        <f t="shared" si="118"/>
        <v>-7.4671510362805352E-2</v>
      </c>
      <c r="Z570" s="19"/>
    </row>
    <row r="571" spans="3:26">
      <c r="C571" s="32"/>
      <c r="D571" s="45" t="str">
        <f>IF(Indice_index!$Z$1=1,"maio","May")</f>
        <v>May</v>
      </c>
      <c r="E571" s="45">
        <f t="shared" si="114"/>
        <v>2799.6999487500002</v>
      </c>
      <c r="F571" s="45">
        <v>2946.6156486499995</v>
      </c>
      <c r="G571" s="45">
        <f t="shared" si="115"/>
        <v>2660.1045034800004</v>
      </c>
      <c r="H571" s="45">
        <v>2391.6655987200002</v>
      </c>
      <c r="I571" s="45">
        <f t="shared" si="116"/>
        <v>554.9500499299993</v>
      </c>
      <c r="J571" s="221">
        <f t="shared" si="117"/>
        <v>5.2475516158648941E-2</v>
      </c>
      <c r="K571" s="221">
        <f t="shared" si="118"/>
        <v>-0.10091291692067858</v>
      </c>
      <c r="Z571" s="19"/>
    </row>
    <row r="572" spans="3:26">
      <c r="C572" s="32"/>
      <c r="D572" s="45" t="str">
        <f>IF(Indice_index!$Z$1=1,"junho","June")</f>
        <v>June</v>
      </c>
      <c r="E572" s="45">
        <f t="shared" si="114"/>
        <v>3275.48762154</v>
      </c>
      <c r="F572" s="45">
        <v>3446.0317080899999</v>
      </c>
      <c r="G572" s="45">
        <f t="shared" si="115"/>
        <v>3325.3554102400003</v>
      </c>
      <c r="H572" s="45">
        <v>3076.9426286799994</v>
      </c>
      <c r="I572" s="45">
        <f t="shared" si="116"/>
        <v>369.08907941000052</v>
      </c>
      <c r="J572" s="221">
        <f t="shared" si="117"/>
        <v>5.2066777913762088E-2</v>
      </c>
      <c r="K572" s="221">
        <f t="shared" si="118"/>
        <v>-7.4702626009552534E-2</v>
      </c>
      <c r="Z572" s="19"/>
    </row>
    <row r="573" spans="3:26">
      <c r="C573" s="32"/>
      <c r="D573" s="45" t="str">
        <f>IF(Indice_index!$Z$1=1,"julho","July")</f>
        <v>July</v>
      </c>
      <c r="E573" s="45">
        <f t="shared" si="114"/>
        <v>3851.6121569300008</v>
      </c>
      <c r="F573" s="45">
        <v>3988.8097642800012</v>
      </c>
      <c r="G573" s="45">
        <f t="shared" si="115"/>
        <v>3993.0549583500015</v>
      </c>
      <c r="H573" s="45">
        <v>3649.2236784499996</v>
      </c>
      <c r="I573" s="45">
        <f t="shared" si="116"/>
        <v>339.58608583000159</v>
      </c>
      <c r="J573" s="221">
        <f t="shared" si="117"/>
        <v>3.5620826230685791E-2</v>
      </c>
      <c r="K573" s="221">
        <f t="shared" si="118"/>
        <v>-8.6107324714127853E-2</v>
      </c>
      <c r="Z573" s="19"/>
    </row>
    <row r="574" spans="3:26">
      <c r="C574" s="32"/>
      <c r="D574" s="45" t="str">
        <f>IF(Indice_index!$Z$1=1,"agosto","August")</f>
        <v>August</v>
      </c>
      <c r="E574" s="45">
        <f t="shared" si="114"/>
        <v>4594.9104128999998</v>
      </c>
      <c r="F574" s="45">
        <v>4754.2327091600027</v>
      </c>
      <c r="G574" s="45">
        <f t="shared" si="115"/>
        <v>4606.2369042700002</v>
      </c>
      <c r="H574" s="45">
        <v>4132.8707992600002</v>
      </c>
      <c r="I574" s="45">
        <f t="shared" si="116"/>
        <v>621.3619099000025</v>
      </c>
      <c r="J574" s="221">
        <f t="shared" si="117"/>
        <v>3.4673645826197821E-2</v>
      </c>
      <c r="K574" s="221">
        <f t="shared" si="118"/>
        <v>-0.10276633938892454</v>
      </c>
      <c r="Z574" s="19"/>
    </row>
    <row r="575" spans="3:26">
      <c r="C575" s="32"/>
      <c r="D575" s="45" t="str">
        <f>IF(Indice_index!$Z$1=1,"setembro","September")</f>
        <v>September</v>
      </c>
      <c r="E575" s="45">
        <f t="shared" si="114"/>
        <v>5128.9837318200007</v>
      </c>
      <c r="F575" s="45">
        <v>5199.9696763000011</v>
      </c>
      <c r="G575" s="45">
        <f t="shared" si="115"/>
        <v>5237.1589197800004</v>
      </c>
      <c r="H575" s="45">
        <v>4645.2727130399999</v>
      </c>
      <c r="I575" s="45">
        <f t="shared" si="116"/>
        <v>554.69696326000121</v>
      </c>
      <c r="J575" s="221">
        <f t="shared" si="117"/>
        <v>1.3840157854197619E-2</v>
      </c>
      <c r="K575" s="221">
        <f t="shared" si="118"/>
        <v>-0.11301665956794454</v>
      </c>
      <c r="Z575" s="19"/>
    </row>
    <row r="576" spans="3:26">
      <c r="C576" s="32"/>
      <c r="D576" s="45" t="str">
        <f>IF(Indice_index!$Z$1=1,"outubro","October")</f>
        <v>October</v>
      </c>
      <c r="E576" s="45">
        <f t="shared" si="114"/>
        <v>5618.1945781399991</v>
      </c>
      <c r="F576" s="45">
        <v>5761.5188833400007</v>
      </c>
      <c r="G576" s="45">
        <f t="shared" si="115"/>
        <v>5778.0028582799996</v>
      </c>
      <c r="H576" s="45">
        <v>5142.0070710500004</v>
      </c>
      <c r="I576" s="45">
        <f t="shared" si="116"/>
        <v>619.51181229000031</v>
      </c>
      <c r="J576" s="221">
        <f t="shared" si="117"/>
        <v>2.5510740720456077E-2</v>
      </c>
      <c r="K576" s="221">
        <f t="shared" si="118"/>
        <v>-0.11007190595598337</v>
      </c>
      <c r="Z576" s="19"/>
    </row>
    <row r="577" spans="3:26">
      <c r="C577" s="32"/>
      <c r="D577" s="45" t="str">
        <f>IF(Indice_index!$Z$1=1,"novembro","November")</f>
        <v>November</v>
      </c>
      <c r="E577" s="45">
        <f t="shared" si="114"/>
        <v>6100.5174417400003</v>
      </c>
      <c r="F577" s="45">
        <v>6158.2498250200006</v>
      </c>
      <c r="G577" s="45">
        <f t="shared" si="115"/>
        <v>6280.0272733199999</v>
      </c>
      <c r="H577" s="45">
        <v>5567.0987799999984</v>
      </c>
      <c r="I577" s="45">
        <f t="shared" si="116"/>
        <v>591.15104502000213</v>
      </c>
      <c r="J577" s="221">
        <f t="shared" si="117"/>
        <v>9.4635223702489273E-3</v>
      </c>
      <c r="K577" s="221">
        <f t="shared" si="118"/>
        <v>-0.11352315241508572</v>
      </c>
      <c r="Z577" s="19"/>
    </row>
    <row r="578" spans="3:26">
      <c r="C578" s="32"/>
      <c r="D578" s="45" t="str">
        <f>IF(Indice_index!$Z$1=1,"dezembro","December")</f>
        <v>December</v>
      </c>
      <c r="E578" s="45">
        <f t="shared" si="114"/>
        <v>7010.9966759499985</v>
      </c>
      <c r="F578" s="45">
        <v>7245.4587148099999</v>
      </c>
      <c r="G578" s="45">
        <f t="shared" si="115"/>
        <v>7074.3951497300013</v>
      </c>
      <c r="H578" s="45">
        <v>6504.1663187000004</v>
      </c>
      <c r="I578" s="45">
        <v>741.29239610999957</v>
      </c>
      <c r="J578" s="221">
        <f t="shared" si="117"/>
        <v>3.3442041081588672E-2</v>
      </c>
      <c r="K578" s="221">
        <f t="shared" si="118"/>
        <v>-8.0604605618017258E-2</v>
      </c>
      <c r="Z578" s="19"/>
    </row>
    <row r="579" spans="3:26">
      <c r="C579" s="45"/>
      <c r="D579" s="45"/>
      <c r="E579" s="45"/>
      <c r="F579" s="45"/>
      <c r="G579" s="45"/>
      <c r="H579" s="45"/>
      <c r="I579" s="45"/>
      <c r="J579" s="45"/>
      <c r="K579" s="45"/>
      <c r="N579" s="24"/>
      <c r="Z579" s="19"/>
    </row>
    <row r="580" spans="3:26" ht="12">
      <c r="C580" s="32" t="s">
        <v>117</v>
      </c>
      <c r="D580" s="45" t="str">
        <f>IF(Indice_index!$Z$1=1,"janeiro","January")</f>
        <v>January</v>
      </c>
      <c r="E580" s="45">
        <v>465.96077471999979</v>
      </c>
      <c r="F580" s="45">
        <v>489.38182208909831</v>
      </c>
      <c r="G580" s="45">
        <v>370.46125807999999</v>
      </c>
      <c r="H580" s="45">
        <v>347.4502446868039</v>
      </c>
      <c r="I580" s="45">
        <f>IF(F580=0,"",+F580-H580)</f>
        <v>141.93157740229441</v>
      </c>
      <c r="J580" s="221">
        <f>IF(E580=0,"",(F580-E580)/E580)</f>
        <v>5.0263989244958319E-2</v>
      </c>
      <c r="K580" s="221">
        <f>IF(G580=0,"",(H580-G580)/G580)</f>
        <v>-6.2114493462706255E-2</v>
      </c>
      <c r="L580" s="279"/>
      <c r="Z580" s="19"/>
    </row>
    <row r="581" spans="3:26" ht="12">
      <c r="C581" s="32"/>
      <c r="D581" s="45" t="str">
        <f>IF(Indice_index!$Z$1=1,"fevereiro","February")</f>
        <v>February</v>
      </c>
      <c r="E581" s="45">
        <v>888.81695568000021</v>
      </c>
      <c r="F581" s="45">
        <v>898.56950718682765</v>
      </c>
      <c r="G581" s="45">
        <v>805.67756277000001</v>
      </c>
      <c r="H581" s="45">
        <v>762.88340543779282</v>
      </c>
      <c r="I581" s="45">
        <f t="shared" ref="I581:I588" si="119">IF(F581=0,"",+F581-H581)</f>
        <v>135.68610174903483</v>
      </c>
      <c r="J581" s="221">
        <f t="shared" ref="J581:J588" si="120">IF(E581=0,"",(F581-E581)/E581)</f>
        <v>1.0972508393886497E-2</v>
      </c>
      <c r="K581" s="221">
        <f t="shared" ref="K581:K588" si="121">IF(G581=0,"",(H581-G581)/G581)</f>
        <v>-5.3115736753393754E-2</v>
      </c>
      <c r="L581" s="279"/>
      <c r="Z581" s="19"/>
    </row>
    <row r="582" spans="3:26" ht="12">
      <c r="C582" s="32"/>
      <c r="D582" s="45" t="str">
        <f>IF(Indice_index!$Z$1=1,"março","March")</f>
        <v>March</v>
      </c>
      <c r="E582" s="45">
        <v>1361.1703275899997</v>
      </c>
      <c r="F582" s="45">
        <v>1383.1926541466964</v>
      </c>
      <c r="G582" s="45">
        <v>1308.7001086999996</v>
      </c>
      <c r="H582" s="45">
        <v>1253.2000576141318</v>
      </c>
      <c r="I582" s="45">
        <f t="shared" si="119"/>
        <v>129.99259653256468</v>
      </c>
      <c r="J582" s="221">
        <f t="shared" si="120"/>
        <v>1.6178964608850998E-2</v>
      </c>
      <c r="K582" s="221">
        <f t="shared" si="121"/>
        <v>-4.2408532494888372E-2</v>
      </c>
      <c r="L582" s="279"/>
      <c r="M582" s="359"/>
      <c r="N582" s="359"/>
      <c r="Z582" s="19"/>
    </row>
    <row r="583" spans="3:26">
      <c r="C583" s="32"/>
      <c r="D583" s="45" t="str">
        <f>IF(Indice_index!$Z$1=1,"abril","April")</f>
        <v>April</v>
      </c>
      <c r="E583" s="45">
        <v>1853.1998869699999</v>
      </c>
      <c r="F583" s="45">
        <v>1873.4634446021378</v>
      </c>
      <c r="G583" s="45">
        <v>1798.55724637</v>
      </c>
      <c r="H583" s="45">
        <v>1712.2001354149365</v>
      </c>
      <c r="I583" s="45">
        <f t="shared" si="119"/>
        <v>161.26330918720123</v>
      </c>
      <c r="J583" s="221">
        <f t="shared" si="120"/>
        <v>1.0934361573520833E-2</v>
      </c>
      <c r="K583" s="221">
        <f t="shared" si="121"/>
        <v>-4.8014657931715381E-2</v>
      </c>
      <c r="M583" s="359"/>
      <c r="N583" s="359"/>
      <c r="Z583" s="19"/>
    </row>
    <row r="584" spans="3:26">
      <c r="C584" s="32"/>
      <c r="D584" s="45" t="str">
        <f>IF(Indice_index!$Z$1=1,"maio","May")</f>
        <v>May</v>
      </c>
      <c r="E584" s="45">
        <v>2946.6156486499995</v>
      </c>
      <c r="F584" s="45">
        <v>2928.6038047256602</v>
      </c>
      <c r="G584" s="45">
        <v>2391.6655987200002</v>
      </c>
      <c r="H584" s="45">
        <v>2304.20546559286</v>
      </c>
      <c r="I584" s="45">
        <f t="shared" si="119"/>
        <v>624.39833913280017</v>
      </c>
      <c r="J584" s="221">
        <f t="shared" si="120"/>
        <v>-6.1127225509005302E-3</v>
      </c>
      <c r="K584" s="221">
        <f t="shared" si="121"/>
        <v>-3.6568713106860787E-2</v>
      </c>
      <c r="M584" s="359"/>
      <c r="N584" s="359"/>
      <c r="Z584" s="19"/>
    </row>
    <row r="585" spans="3:26">
      <c r="C585" s="32"/>
      <c r="D585" s="45" t="str">
        <f>IF(Indice_index!$Z$1=1,"junho","June")</f>
        <v>June</v>
      </c>
      <c r="E585" s="45">
        <v>3446.0317080899999</v>
      </c>
      <c r="F585" s="45">
        <v>3451.1699104347094</v>
      </c>
      <c r="G585" s="45">
        <v>3076.9426286799994</v>
      </c>
      <c r="H585" s="45">
        <v>2979.4146296607109</v>
      </c>
      <c r="I585" s="45">
        <f t="shared" si="119"/>
        <v>471.75528077399849</v>
      </c>
      <c r="J585" s="221">
        <f t="shared" si="120"/>
        <v>1.4910490616342593E-3</v>
      </c>
      <c r="K585" s="221">
        <f t="shared" si="121"/>
        <v>-3.1696398272179592E-2</v>
      </c>
      <c r="M585" s="359"/>
      <c r="N585" s="359"/>
      <c r="Z585" s="19"/>
    </row>
    <row r="586" spans="3:26">
      <c r="C586" s="32"/>
      <c r="D586" s="45" t="str">
        <f>IF(Indice_index!$Z$1=1,"julho","July")</f>
        <v>July</v>
      </c>
      <c r="E586" s="45">
        <v>3989.1600522100011</v>
      </c>
      <c r="F586" s="45">
        <v>4000.5551880862281</v>
      </c>
      <c r="G586" s="45">
        <v>3649.2236784499996</v>
      </c>
      <c r="H586" s="45">
        <v>3526.7101704861334</v>
      </c>
      <c r="I586" s="45">
        <v>473.84501760009471</v>
      </c>
      <c r="J586" s="221">
        <v>2.8565251148331399E-3</v>
      </c>
      <c r="K586" s="221">
        <v>-3.357248520756706E-2</v>
      </c>
      <c r="Z586" s="19"/>
    </row>
    <row r="587" spans="3:26">
      <c r="C587" s="32"/>
      <c r="D587" s="45" t="str">
        <f>IF(Indice_index!$Z$1=1,"agosto","August")</f>
        <v>August</v>
      </c>
      <c r="E587" s="45">
        <v>4754.2327091600027</v>
      </c>
      <c r="F587" s="45">
        <v>4798.5427991583574</v>
      </c>
      <c r="G587" s="45">
        <v>4132.8707992600002</v>
      </c>
      <c r="H587" s="45">
        <v>4069.2587719847747</v>
      </c>
      <c r="I587" s="45">
        <v>729.28402717358267</v>
      </c>
      <c r="J587" s="221">
        <v>9.3201348585614241E-3</v>
      </c>
      <c r="K587" s="221">
        <v>-1.5391728985724717E-2</v>
      </c>
      <c r="Z587" s="19"/>
    </row>
    <row r="588" spans="3:26">
      <c r="C588" s="32"/>
      <c r="D588" s="45" t="str">
        <f>IF(Indice_index!$Z$1=1,"setembro","September")</f>
        <v>September</v>
      </c>
      <c r="E588" s="45">
        <v>5199.9696763000011</v>
      </c>
      <c r="F588" s="45">
        <v>5311.8793071154987</v>
      </c>
      <c r="G588" s="45">
        <v>4645.2727130399999</v>
      </c>
      <c r="H588" s="45">
        <v>4618.0442167070851</v>
      </c>
      <c r="I588" s="45">
        <f t="shared" si="119"/>
        <v>693.83509040841363</v>
      </c>
      <c r="J588" s="221">
        <f t="shared" si="120"/>
        <v>2.1521208349646773E-2</v>
      </c>
      <c r="K588" s="221">
        <f t="shared" si="121"/>
        <v>-5.8615495827575841E-3</v>
      </c>
      <c r="Z588" s="19"/>
    </row>
    <row r="589" spans="3:26">
      <c r="C589" s="32"/>
      <c r="D589" s="45" t="str">
        <f>IF(Indice_index!$Z$1=1,"outubro","October")</f>
        <v>October</v>
      </c>
      <c r="E589" s="45">
        <v>5770.4243189899998</v>
      </c>
      <c r="F589" s="45">
        <v>5801.8480643905041</v>
      </c>
      <c r="G589" s="45">
        <v>5149.5470982399993</v>
      </c>
      <c r="H589" s="45">
        <v>5160.58244767015</v>
      </c>
      <c r="I589" s="45">
        <v>641.26561672035405</v>
      </c>
      <c r="J589" s="221">
        <v>5.4456559281248484E-3</v>
      </c>
      <c r="K589" s="221">
        <v>2.1429747547938582E-3</v>
      </c>
      <c r="Z589" s="19"/>
    </row>
    <row r="590" spans="3:26">
      <c r="C590" s="32"/>
      <c r="D590" s="45" t="str">
        <f>IF(Indice_index!$Z$1=1,"novembro","November")</f>
        <v>November</v>
      </c>
      <c r="E590" s="45">
        <v>6248.940102059998</v>
      </c>
      <c r="F590" s="45">
        <v>6300.4051901884095</v>
      </c>
      <c r="G590" s="45">
        <v>5648.2702974499998</v>
      </c>
      <c r="H590" s="45">
        <v>5695.6137099588759</v>
      </c>
      <c r="I590" s="45">
        <v>604.79148022953359</v>
      </c>
      <c r="J590" s="221">
        <v>8.2358107595632557E-3</v>
      </c>
      <c r="K590" s="221">
        <v>8.3819311073427549E-3</v>
      </c>
      <c r="Z590" s="19"/>
    </row>
    <row r="591" spans="3:26">
      <c r="C591" s="32"/>
      <c r="D591" s="45" t="str">
        <f>IF(Indice_index!$Z$1=1,"dezembro","December")</f>
        <v>December</v>
      </c>
      <c r="E591" s="45">
        <v>6938.42132176</v>
      </c>
      <c r="F591" s="45">
        <v>7322.5617257399999</v>
      </c>
      <c r="G591" s="45">
        <v>6521.2552617699994</v>
      </c>
      <c r="H591" s="45">
        <v>6662.1763318399999</v>
      </c>
      <c r="I591" s="45">
        <v>660.38539390000005</v>
      </c>
      <c r="J591" s="221">
        <v>5.5364237218526124E-2</v>
      </c>
      <c r="K591" s="221">
        <v>2.1609500688637651E-2</v>
      </c>
      <c r="Z591" s="19"/>
    </row>
    <row r="592" spans="3:26" ht="12" customHeight="1">
      <c r="C592" s="32"/>
      <c r="D592" s="45"/>
      <c r="E592" s="45"/>
      <c r="F592" s="45"/>
      <c r="G592" s="45"/>
      <c r="H592" s="45"/>
      <c r="I592" s="45"/>
      <c r="J592" s="221"/>
      <c r="K592" s="221"/>
    </row>
    <row r="593" spans="3:28" ht="12.75" customHeight="1">
      <c r="C593" s="32" t="s">
        <v>136</v>
      </c>
      <c r="D593" s="45" t="s">
        <v>135</v>
      </c>
      <c r="E593" s="45">
        <v>503.25906035999986</v>
      </c>
      <c r="F593" s="45">
        <v>580.33064508526309</v>
      </c>
      <c r="G593" s="45">
        <v>349.4381528400001</v>
      </c>
      <c r="H593" s="45">
        <v>360.32773307093868</v>
      </c>
      <c r="I593" s="45">
        <v>220.00291201432441</v>
      </c>
      <c r="J593" s="221">
        <v>0.18584430171091726</v>
      </c>
      <c r="K593" s="221">
        <v>3.7062827213556249E-2</v>
      </c>
      <c r="L593" s="236"/>
    </row>
    <row r="594" spans="3:28" s="47" customFormat="1" ht="15.75" customHeight="1">
      <c r="C594" s="85"/>
      <c r="D594" s="85" t="str">
        <f>IF(Indice_index!$Z$1=1,"fevereiro","February")</f>
        <v>February</v>
      </c>
      <c r="E594" s="45">
        <v>899.72722049999982</v>
      </c>
      <c r="F594" s="85">
        <v>1038.7820208336393</v>
      </c>
      <c r="G594" s="45">
        <v>765.3103240800001</v>
      </c>
      <c r="H594" s="85">
        <v>815.32883369556237</v>
      </c>
      <c r="I594" s="85">
        <v>223.45318713807694</v>
      </c>
      <c r="J594" s="219">
        <v>0.15603969701328735</v>
      </c>
      <c r="K594" s="219">
        <v>6.8746322025018847E-2</v>
      </c>
      <c r="L594" s="236"/>
      <c r="M594" s="218"/>
      <c r="O594" s="273"/>
      <c r="P594" s="274"/>
      <c r="Q594" s="273"/>
      <c r="Z594" s="14"/>
      <c r="AA594" s="14"/>
      <c r="AB594" s="14"/>
    </row>
    <row r="595" spans="3:28" s="47" customFormat="1" ht="15.75" customHeight="1">
      <c r="C595" s="85"/>
      <c r="D595" s="85" t="str">
        <f>IF(Indice_index!$Z$1=1,"março","March")</f>
        <v>March</v>
      </c>
      <c r="E595" s="85">
        <v>1374.3300261299996</v>
      </c>
      <c r="F595" s="85">
        <v>1580.8466014915971</v>
      </c>
      <c r="G595" s="85">
        <v>1241.66289495</v>
      </c>
      <c r="H595" s="85">
        <v>1382.8333710823895</v>
      </c>
      <c r="I595" s="85">
        <v>198.01323040920761</v>
      </c>
      <c r="J595" s="219">
        <v>0.14289690358920781</v>
      </c>
      <c r="K595" s="219">
        <v>0.10344183490946857</v>
      </c>
      <c r="L595"/>
      <c r="M595" s="218"/>
      <c r="O595" s="273"/>
      <c r="P595" s="273"/>
      <c r="Q595" s="273"/>
      <c r="Z595" s="14"/>
      <c r="AA595" s="14"/>
      <c r="AB595" s="14"/>
    </row>
    <row r="596" spans="3:28" s="47" customFormat="1" ht="15.75" customHeight="1">
      <c r="C596" s="85"/>
      <c r="D596" s="85" t="str">
        <f>IF(Indice_index!$Z$1=1,"abril","April")</f>
        <v>April</v>
      </c>
      <c r="E596" s="45">
        <v>1871.5648765599997</v>
      </c>
      <c r="F596" s="85">
        <v>2018.7104631349134</v>
      </c>
      <c r="G596" s="85">
        <v>1709.9</v>
      </c>
      <c r="H596" s="85">
        <v>1855.5785572425989</v>
      </c>
      <c r="I596" s="85">
        <v>163.13190589231453</v>
      </c>
      <c r="J596" s="219">
        <v>7.7528610953826904E-2</v>
      </c>
      <c r="K596" s="219">
        <v>8.3739288919584043E-2</v>
      </c>
      <c r="L596"/>
      <c r="M596" s="218"/>
      <c r="N596"/>
      <c r="O596"/>
      <c r="P596"/>
      <c r="Q596"/>
      <c r="Z596" s="14"/>
      <c r="AA596" s="14"/>
      <c r="AB596" s="14"/>
    </row>
    <row r="597" spans="3:28" s="47" customFormat="1" ht="15.75" customHeight="1">
      <c r="C597" s="85"/>
      <c r="D597" s="85" t="str">
        <f>IF(Indice_index!$Z$1=1,"maio","May")</f>
        <v>May</v>
      </c>
      <c r="E597" s="85">
        <v>2912.8020228100004</v>
      </c>
      <c r="F597" s="85">
        <v>3108.1637153180855</v>
      </c>
      <c r="G597" s="85">
        <v>2299.58975865</v>
      </c>
      <c r="H597" s="85">
        <v>2504.9688048313392</v>
      </c>
      <c r="I597" s="85">
        <v>603.19491048674627</v>
      </c>
      <c r="J597" s="219">
        <v>6.7070020886492721E-2</v>
      </c>
      <c r="K597" s="219">
        <v>8.9311167528380864E-2</v>
      </c>
      <c r="M597"/>
      <c r="N597"/>
      <c r="O597"/>
      <c r="P597"/>
      <c r="Q597"/>
      <c r="Z597" s="14"/>
      <c r="AA597" s="14"/>
      <c r="AB597" s="14"/>
    </row>
    <row r="598" spans="3:28" s="47" customFormat="1" ht="15.75" customHeight="1">
      <c r="C598" s="85"/>
      <c r="D598" s="40" t="str">
        <f>IF(Indice_index!$Z$1=1,"junho","June")</f>
        <v>June</v>
      </c>
      <c r="E598" s="40">
        <v>3446.5293829400002</v>
      </c>
      <c r="F598" s="40">
        <v>3685.680152261285</v>
      </c>
      <c r="G598" s="40">
        <v>2973.0649563200009</v>
      </c>
      <c r="H598" s="40">
        <v>3243.9949739845019</v>
      </c>
      <c r="I598" s="40">
        <v>441.68517827678306</v>
      </c>
      <c r="J598" s="241">
        <v>6.9388867103544527E-2</v>
      </c>
      <c r="K598" s="241">
        <v>9.1128186448994564E-2</v>
      </c>
      <c r="L598"/>
      <c r="M598"/>
      <c r="N598"/>
      <c r="O598"/>
      <c r="P598"/>
      <c r="Q598"/>
      <c r="Z598" s="14"/>
      <c r="AA598" s="14"/>
      <c r="AB598" s="14"/>
    </row>
    <row r="599" spans="3:28" s="47" customFormat="1" ht="15.75" customHeight="1">
      <c r="C599" s="85"/>
      <c r="D599" s="45" t="str">
        <f>IF(Indice_index!$Z$1=1,"julho","July")</f>
        <v>July</v>
      </c>
      <c r="E599" s="45">
        <v>3999.4222513299992</v>
      </c>
      <c r="F599" s="45">
        <v>4213.8306444736772</v>
      </c>
      <c r="G599" s="45">
        <v>3528.34151131</v>
      </c>
      <c r="H599" s="45">
        <v>3865.984719596941</v>
      </c>
      <c r="I599" s="45">
        <v>347.84592487673626</v>
      </c>
      <c r="J599" s="221">
        <v>5.3609841539581593E-2</v>
      </c>
      <c r="K599" s="221">
        <v>9.5694593962810881E-2</v>
      </c>
      <c r="L599"/>
      <c r="M599"/>
      <c r="N599"/>
      <c r="O599"/>
      <c r="P599"/>
      <c r="Q599"/>
      <c r="Z599" s="14"/>
      <c r="AA599" s="14"/>
      <c r="AB599" s="14"/>
    </row>
    <row r="600" spans="3:28" s="47" customFormat="1" ht="15.75" customHeight="1">
      <c r="C600" s="85"/>
      <c r="D600" s="45" t="str">
        <f>IF(Indice_index!$Z$1=1,"agosto","August")</f>
        <v>August</v>
      </c>
      <c r="E600" s="45">
        <v>4795.1568870300007</v>
      </c>
      <c r="F600" s="45">
        <v>5091.8866587619941</v>
      </c>
      <c r="G600" s="45">
        <v>4068.9845600499989</v>
      </c>
      <c r="H600" s="45">
        <v>4489.6513658856065</v>
      </c>
      <c r="I600" s="45">
        <v>602.23529287638758</v>
      </c>
      <c r="J600" s="221">
        <v>6.1881139391829265E-2</v>
      </c>
      <c r="K600" s="221">
        <v>0.10338373115636457</v>
      </c>
      <c r="L600"/>
      <c r="M600"/>
      <c r="N600"/>
      <c r="O600"/>
      <c r="P600"/>
      <c r="Q600"/>
      <c r="Z600" s="14"/>
      <c r="AA600" s="14"/>
      <c r="AB600" s="14"/>
    </row>
    <row r="601" spans="3:28" s="47" customFormat="1" ht="15.75" customHeight="1">
      <c r="C601" s="45"/>
      <c r="D601" s="45" t="str">
        <f>IF(Indice_index!$Z$1=1,"setembro","September")</f>
        <v>September</v>
      </c>
      <c r="E601" s="45">
        <v>5315.7191907600009</v>
      </c>
      <c r="F601" s="45">
        <v>5674.8388767090764</v>
      </c>
      <c r="G601" s="45">
        <v>4615.8949634999981</v>
      </c>
      <c r="H601" s="45">
        <v>5123.6262585568011</v>
      </c>
      <c r="I601" s="45">
        <v>551.21261815227535</v>
      </c>
      <c r="J601" s="221">
        <v>6.755806186551605E-2</v>
      </c>
      <c r="K601" s="221">
        <v>0.10999628437641396</v>
      </c>
      <c r="L601"/>
      <c r="M601"/>
      <c r="N601"/>
      <c r="O601"/>
      <c r="P601"/>
      <c r="Q601"/>
      <c r="Z601" s="14"/>
      <c r="AA601" s="14"/>
      <c r="AB601" s="14"/>
    </row>
    <row r="602" spans="3:28" ht="15.75" customHeight="1">
      <c r="C602" s="45"/>
      <c r="D602" s="45" t="str">
        <f>IF(Indice_index!$Z$1=1,"outubro","October")</f>
        <v>October</v>
      </c>
      <c r="E602" s="45">
        <v>5802.4802445900004</v>
      </c>
      <c r="F602" s="45">
        <v>6185.496027491231</v>
      </c>
      <c r="G602" s="45">
        <v>5159.6904058799983</v>
      </c>
      <c r="H602" s="45">
        <v>5662.4031824570229</v>
      </c>
      <c r="I602" s="45">
        <v>523.09284503420804</v>
      </c>
      <c r="J602" s="221">
        <v>6.600897663690275E-2</v>
      </c>
      <c r="K602" s="221">
        <v>9.7430802438094322E-2</v>
      </c>
      <c r="M602"/>
      <c r="N602"/>
      <c r="O602"/>
      <c r="P602"/>
      <c r="Q602"/>
    </row>
    <row r="603" spans="3:28" s="36" customFormat="1" ht="15.75" customHeight="1">
      <c r="C603" s="45"/>
      <c r="D603" s="45" t="str">
        <f>IF(Indice_index!$Z$1=1,"novembro","November")</f>
        <v>November</v>
      </c>
      <c r="E603" s="45">
        <v>6301.2748997399985</v>
      </c>
      <c r="F603" s="45">
        <v>6702.4443189644307</v>
      </c>
      <c r="G603" s="45">
        <v>5700.2503323500005</v>
      </c>
      <c r="H603" s="45">
        <v>6297.8286226644304</v>
      </c>
      <c r="I603" s="45">
        <v>404.61569630000031</v>
      </c>
      <c r="J603" s="221">
        <v>6.3664802061085268E-2</v>
      </c>
      <c r="K603" s="221">
        <v>0.10483369246488361</v>
      </c>
      <c r="L603" s="236"/>
      <c r="M603" s="236"/>
      <c r="N603" s="236"/>
      <c r="O603" s="236"/>
      <c r="P603" s="236"/>
      <c r="Q603" s="236"/>
      <c r="Z603" s="54"/>
      <c r="AA603" s="54"/>
      <c r="AB603" s="54"/>
    </row>
    <row r="604" spans="3:28" s="36" customFormat="1" ht="15.75" customHeight="1">
      <c r="C604" s="45"/>
      <c r="D604" s="45" t="str">
        <f>IF(Indice_index!$Z$1=1,"dezembro","December")</f>
        <v>December</v>
      </c>
      <c r="E604" s="45">
        <v>7318.2332930599996</v>
      </c>
      <c r="F604" s="45">
        <v>7746.5160861200011</v>
      </c>
      <c r="G604" s="45">
        <v>6660.1033618800002</v>
      </c>
      <c r="H604" s="45">
        <v>7272.5431958200006</v>
      </c>
      <c r="I604" s="45">
        <v>473.97289030000047</v>
      </c>
      <c r="J604" s="221">
        <v>5.6937737766474372E-2</v>
      </c>
      <c r="K604" s="221">
        <v>9.1452498756432687E-2</v>
      </c>
      <c r="L604" s="236"/>
      <c r="M604" s="236"/>
      <c r="N604" s="236"/>
      <c r="O604" s="236"/>
      <c r="P604" s="236"/>
      <c r="Q604" s="236"/>
      <c r="Z604" s="54"/>
      <c r="AA604" s="54"/>
      <c r="AB604" s="54"/>
    </row>
    <row r="605" spans="3:28" s="36" customFormat="1" ht="15.75" customHeight="1">
      <c r="C605" s="45"/>
      <c r="D605" s="45"/>
      <c r="E605" s="45"/>
      <c r="F605" s="45"/>
      <c r="G605" s="45"/>
      <c r="H605" s="45"/>
      <c r="I605" s="45"/>
      <c r="J605" s="221"/>
      <c r="K605" s="221"/>
      <c r="L605" s="236"/>
      <c r="M605" s="236"/>
      <c r="N605" s="236"/>
      <c r="O605" s="236"/>
      <c r="P605" s="236"/>
      <c r="Q605" s="236"/>
      <c r="Z605" s="54"/>
      <c r="AA605" s="54"/>
      <c r="AB605" s="54"/>
    </row>
    <row r="606" spans="3:28" s="47" customFormat="1" ht="15.75" customHeight="1">
      <c r="C606" s="32" t="s">
        <v>149</v>
      </c>
      <c r="D606" s="85" t="str">
        <f>IF(Indice_index!$Z$1=1,"janeiro","January")</f>
        <v>January</v>
      </c>
      <c r="E606" s="85">
        <v>569.06567455999971</v>
      </c>
      <c r="F606" s="85">
        <v>542.13826695000012</v>
      </c>
      <c r="G606" s="85">
        <v>360.87765394999991</v>
      </c>
      <c r="H606" s="85">
        <v>373.18968058999997</v>
      </c>
      <c r="I606" s="85">
        <v>168.94858636000015</v>
      </c>
      <c r="J606" s="219">
        <v>-4.7318629138578427E-2</v>
      </c>
      <c r="K606" s="219">
        <v>3.411689946783425E-2</v>
      </c>
      <c r="L606"/>
      <c r="M606" s="218"/>
      <c r="O606" s="273"/>
      <c r="P606" s="273"/>
      <c r="Q606" s="272"/>
      <c r="Z606" s="14"/>
      <c r="AA606" s="14"/>
      <c r="AB606" s="14"/>
    </row>
    <row r="607" spans="3:28" s="47" customFormat="1" ht="15.75" customHeight="1">
      <c r="C607" s="85"/>
      <c r="D607" s="85" t="str">
        <f>IF(Indice_index!$Z$1=1,"fevereiro","February")</f>
        <v>February</v>
      </c>
      <c r="E607" s="85">
        <v>1028.4922588900004</v>
      </c>
      <c r="F607" s="85">
        <v>969.77510730000063</v>
      </c>
      <c r="G607" s="85">
        <v>813.57100869000033</v>
      </c>
      <c r="H607" s="85">
        <v>858.4813475899997</v>
      </c>
      <c r="I607" s="85">
        <v>111.29375971000093</v>
      </c>
      <c r="J607" s="219">
        <v>-5.7090513888135797E-2</v>
      </c>
      <c r="K607" s="219">
        <v>5.5201498603438814E-2</v>
      </c>
      <c r="L607"/>
      <c r="M607" s="218"/>
      <c r="O607" s="273"/>
      <c r="P607" s="274"/>
      <c r="Q607" s="273"/>
      <c r="Z607" s="14"/>
      <c r="AA607" s="14"/>
      <c r="AB607" s="14"/>
    </row>
    <row r="608" spans="3:28" s="47" customFormat="1" ht="15.75" customHeight="1">
      <c r="C608" s="85"/>
      <c r="D608" s="85" t="str">
        <f>IF(Indice_index!$Z$1=1,"março","March")</f>
        <v>March</v>
      </c>
      <c r="E608" s="85">
        <v>1548.8658681500003</v>
      </c>
      <c r="F608" s="85">
        <v>1505.6944855599995</v>
      </c>
      <c r="G608" s="85">
        <v>1381.6008200900008</v>
      </c>
      <c r="H608" s="85">
        <v>1410.2340011500003</v>
      </c>
      <c r="I608" s="85">
        <v>95.460484409999253</v>
      </c>
      <c r="J608" s="219">
        <v>-2.7872899440650523E-2</v>
      </c>
      <c r="K608" s="219">
        <v>2.0724641042218162E-2</v>
      </c>
      <c r="L608"/>
      <c r="M608" s="218"/>
      <c r="O608" s="273"/>
      <c r="P608" s="273"/>
      <c r="Q608" s="273"/>
      <c r="Z608" s="14"/>
      <c r="AA608" s="14"/>
      <c r="AB608" s="14"/>
    </row>
    <row r="609" spans="3:28" s="47" customFormat="1" ht="15.75" customHeight="1">
      <c r="C609" s="85"/>
      <c r="D609" s="85" t="str">
        <f>IF(Indice_index!$Z$1=1,"abril","April")</f>
        <v>April</v>
      </c>
      <c r="E609" s="85">
        <v>2040.1632972700002</v>
      </c>
      <c r="F609" s="85">
        <v>2022.7653328800002</v>
      </c>
      <c r="G609" s="85">
        <v>1858.7228414699998</v>
      </c>
      <c r="H609" s="85">
        <v>1926.5204412000001</v>
      </c>
      <c r="I609" s="85">
        <v>96.244891680000137</v>
      </c>
      <c r="J609" s="219">
        <v>-8.5277312915493786E-3</v>
      </c>
      <c r="K609" s="219">
        <v>3.6475368041628764E-2</v>
      </c>
      <c r="L609"/>
      <c r="M609" s="218"/>
      <c r="N609"/>
      <c r="O609"/>
      <c r="P609"/>
      <c r="Q609"/>
      <c r="Z609" s="14"/>
      <c r="AA609" s="14"/>
      <c r="AB609" s="14"/>
    </row>
    <row r="610" spans="3:28" s="47" customFormat="1" ht="15.75" customHeight="1">
      <c r="C610" s="85"/>
      <c r="D610" s="85" t="str">
        <f>IF(Indice_index!$Z$1=1,"maio","May")</f>
        <v>May</v>
      </c>
      <c r="E610" s="85">
        <v>3126.4275175900011</v>
      </c>
      <c r="F610" s="85">
        <v>3144.8932819499992</v>
      </c>
      <c r="G610" s="85">
        <v>2523.3644386899996</v>
      </c>
      <c r="H610" s="85">
        <v>2562.3604609200002</v>
      </c>
      <c r="I610" s="85">
        <v>582.53282102999901</v>
      </c>
      <c r="J610" s="219">
        <v>5.9063465428530471E-3</v>
      </c>
      <c r="K610" s="219">
        <v>1.5453979469665979E-2</v>
      </c>
      <c r="M610"/>
      <c r="N610"/>
      <c r="O610"/>
      <c r="P610"/>
      <c r="Q610"/>
      <c r="Z610" s="14"/>
      <c r="AA610" s="14"/>
      <c r="AB610" s="14"/>
    </row>
    <row r="611" spans="3:28" s="47" customFormat="1" ht="15.75" customHeight="1">
      <c r="C611" s="85"/>
      <c r="D611" s="40" t="str">
        <f>IF(Indice_index!$Z$1=1,"junho","June")</f>
        <v>June</v>
      </c>
      <c r="E611" s="40">
        <v>3691.3534305899993</v>
      </c>
      <c r="F611" s="40">
        <v>3698.5837118225804</v>
      </c>
      <c r="G611" s="40">
        <v>3250.4708858200006</v>
      </c>
      <c r="H611" s="40">
        <v>3319.9536590000002</v>
      </c>
      <c r="I611" s="40">
        <v>378.63005282258018</v>
      </c>
      <c r="J611" s="241">
        <v>1.9587073870153127E-3</v>
      </c>
      <c r="K611" s="241">
        <v>2.1376217668373609E-2</v>
      </c>
      <c r="L611"/>
      <c r="M611"/>
      <c r="N611"/>
      <c r="O611"/>
      <c r="P611"/>
      <c r="Q611"/>
      <c r="Z611" s="14"/>
      <c r="AA611" s="14"/>
      <c r="AB611" s="14"/>
    </row>
    <row r="612" spans="3:28" s="47" customFormat="1" ht="15.75" customHeight="1">
      <c r="C612" s="85"/>
      <c r="D612" s="45" t="str">
        <f>IF(Indice_index!$Z$1=1,"julho","July")</f>
        <v>July</v>
      </c>
      <c r="E612" s="45">
        <v>4216.0147934099996</v>
      </c>
      <c r="F612" s="45">
        <v>4274.8068148574539</v>
      </c>
      <c r="G612" s="45">
        <v>3864.2655467499999</v>
      </c>
      <c r="H612" s="45">
        <v>3991.0827513525237</v>
      </c>
      <c r="I612" s="45">
        <v>283.7240635049302</v>
      </c>
      <c r="J612" s="221">
        <v>1.3944927693174014E-2</v>
      </c>
      <c r="K612" s="221">
        <v>3.2817932170624786E-2</v>
      </c>
      <c r="L612"/>
      <c r="M612"/>
      <c r="N612"/>
      <c r="O612"/>
      <c r="P612"/>
      <c r="Q612"/>
      <c r="Z612" s="14"/>
      <c r="AA612" s="14"/>
      <c r="AB612" s="14"/>
    </row>
    <row r="613" spans="3:28" s="47" customFormat="1" ht="15.75" customHeight="1">
      <c r="C613" s="85"/>
      <c r="D613" s="45" t="str">
        <f>IF(Indice_index!$Z$1=1,"agosto","August")</f>
        <v>August</v>
      </c>
      <c r="E613" s="45">
        <v>5111.0333264800001</v>
      </c>
      <c r="F613" s="45">
        <v>5186.784174209999</v>
      </c>
      <c r="G613" s="45">
        <v>4489.1212380000024</v>
      </c>
      <c r="H613" s="45">
        <v>4570.3385303799996</v>
      </c>
      <c r="I613" s="45">
        <v>616.44564382999943</v>
      </c>
      <c r="J613" s="221">
        <v>1.4821043591623173E-2</v>
      </c>
      <c r="K613" s="221">
        <v>1.8092024713545207E-2</v>
      </c>
      <c r="L613"/>
      <c r="M613"/>
      <c r="N613"/>
      <c r="O613"/>
      <c r="P613"/>
      <c r="Q613"/>
      <c r="Z613" s="14"/>
      <c r="AA613" s="14"/>
      <c r="AB613" s="14"/>
    </row>
    <row r="614" spans="3:28" s="47" customFormat="1" ht="15.75" customHeight="1">
      <c r="C614" s="45"/>
      <c r="D614" s="45" t="str">
        <f>IF(Indice_index!$Z$1=1,"setembro","September")</f>
        <v>September</v>
      </c>
      <c r="E614" s="45">
        <v>5675.4646331600024</v>
      </c>
      <c r="F614" s="45">
        <v>5868.0027378400018</v>
      </c>
      <c r="G614" s="45">
        <v>5123.5982105900002</v>
      </c>
      <c r="H614" s="45">
        <v>5228.0645878100013</v>
      </c>
      <c r="I614" s="45">
        <v>639.93815003000054</v>
      </c>
      <c r="J614" s="221">
        <v>3.3924641791450494E-2</v>
      </c>
      <c r="K614" s="221">
        <v>2.0389260228110606E-2</v>
      </c>
      <c r="L614"/>
      <c r="M614"/>
      <c r="N614"/>
      <c r="O614"/>
      <c r="P614"/>
      <c r="Q614"/>
      <c r="Z614" s="14"/>
      <c r="AA614" s="14"/>
      <c r="AB614" s="14"/>
    </row>
    <row r="615" spans="3:28" ht="15.75" customHeight="1">
      <c r="C615" s="45"/>
      <c r="D615" s="45" t="str">
        <f>IF(Indice_index!$Z$1=1,"outubro","October")</f>
        <v>October</v>
      </c>
      <c r="E615" s="45"/>
      <c r="F615" s="45"/>
      <c r="G615" s="45"/>
      <c r="H615" s="45"/>
      <c r="I615" s="45" t="str">
        <f>IF(F615="","",+F615-H615)</f>
        <v/>
      </c>
      <c r="J615" s="221" t="str">
        <f>IF(F615="","",IF(E615=0,"-",(F615-E615)/E615))</f>
        <v/>
      </c>
      <c r="K615" s="221" t="str">
        <f>IF(H615="","",IF(G615=0,"-",(H615-G615)/G615))</f>
        <v/>
      </c>
      <c r="L615" s="381"/>
      <c r="M615" s="381"/>
      <c r="N615" s="381"/>
      <c r="O615" s="381"/>
      <c r="P615"/>
      <c r="Q615"/>
    </row>
    <row r="616" spans="3:28" s="36" customFormat="1" ht="15.75" customHeight="1">
      <c r="C616" s="45"/>
      <c r="D616" s="45" t="str">
        <f>IF(Indice_index!$Z$1=1,"novembro","November")</f>
        <v>November</v>
      </c>
      <c r="E616" s="45"/>
      <c r="F616" s="45"/>
      <c r="G616" s="45"/>
      <c r="H616" s="45"/>
      <c r="I616" s="45" t="str">
        <f>IF(F616="","",+F616-H616)</f>
        <v/>
      </c>
      <c r="J616" s="221" t="str">
        <f>IF(F616="","",IF(E616=0,"-",(F616-E616)/E616))</f>
        <v/>
      </c>
      <c r="K616" s="221" t="str">
        <f>IF(H616="","",IF(G616=0,"-",(H616-G616)/G616))</f>
        <v/>
      </c>
      <c r="L616" s="236"/>
      <c r="M616" s="236"/>
      <c r="N616" s="236"/>
      <c r="O616" s="236"/>
      <c r="P616" s="236"/>
      <c r="Q616" s="236"/>
      <c r="Z616" s="54"/>
      <c r="AA616" s="54"/>
      <c r="AB616" s="54"/>
    </row>
    <row r="617" spans="3:28" s="36" customFormat="1" ht="15.75" customHeight="1">
      <c r="C617" s="99"/>
      <c r="D617" s="99" t="str">
        <f>IF(Indice_index!$Z$1=1,"dezembro","December")</f>
        <v>December</v>
      </c>
      <c r="E617" s="99"/>
      <c r="F617" s="99"/>
      <c r="G617" s="99"/>
      <c r="H617" s="99"/>
      <c r="I617" s="99" t="str">
        <f>IF(F617="","",+F617-H617)</f>
        <v/>
      </c>
      <c r="J617" s="268" t="str">
        <f>IF(F617="","",IF(E617=0,"-",(F617-E617)/E617))</f>
        <v/>
      </c>
      <c r="K617" s="268" t="str">
        <f>IF(H617="","",IF(G617=0,"-",(H617-G617)/G617))</f>
        <v/>
      </c>
      <c r="L617" s="236"/>
      <c r="M617" s="236"/>
      <c r="N617" s="236"/>
      <c r="O617" s="236"/>
      <c r="P617" s="236"/>
      <c r="Q617" s="236"/>
      <c r="Z617" s="54"/>
      <c r="AA617" s="54"/>
      <c r="AB617" s="54"/>
    </row>
    <row r="618" spans="3:28" ht="12.75" customHeight="1">
      <c r="C618" s="362"/>
      <c r="D618" s="361"/>
      <c r="E618" s="361"/>
      <c r="F618" s="361"/>
      <c r="G618" s="361"/>
      <c r="H618" s="361"/>
      <c r="I618" s="361"/>
      <c r="J618" s="361"/>
      <c r="K618" s="361"/>
    </row>
    <row r="619" spans="3:28" ht="12.75" customHeight="1">
      <c r="C619" s="275"/>
      <c r="D619" s="275"/>
      <c r="E619" s="275"/>
      <c r="F619" s="275"/>
      <c r="G619" s="275"/>
      <c r="H619" s="275"/>
      <c r="I619" s="275"/>
      <c r="J619" s="275"/>
      <c r="K619" s="275"/>
    </row>
    <row r="620" spans="3:28" ht="12.75" customHeight="1">
      <c r="C620" s="275"/>
      <c r="D620" s="275"/>
      <c r="E620" s="275"/>
      <c r="F620" s="275"/>
      <c r="G620" s="275"/>
      <c r="H620" s="275"/>
      <c r="I620" s="275"/>
      <c r="J620" s="275"/>
      <c r="K620" s="275"/>
    </row>
    <row r="621" spans="3:28" ht="12.75" customHeight="1">
      <c r="C621" s="96" t="str">
        <f>IF(Indice_index!$Z$1=1,"1.6 Evolução da Receita, Despesa e Saldo da Administração Regional (valores acumulados)","1.6 Regional Government Revenue, Expenditure and Balance Evolution (cumulative values)")</f>
        <v>1.6 Regional Government Revenue, Expenditure and Balance Evolution (cumulative values)</v>
      </c>
      <c r="D621" s="97"/>
      <c r="E621" s="97"/>
      <c r="F621" s="97"/>
      <c r="G621" s="97"/>
      <c r="H621" s="97"/>
      <c r="I621" s="97"/>
      <c r="J621" s="98"/>
      <c r="K621" s="94" t="str">
        <f>IF(Indice_index!$Z$1=1,"€ Milhões","€ Millions")</f>
        <v>€ Millions</v>
      </c>
    </row>
    <row r="622" spans="3:28" ht="12.75" customHeight="1">
      <c r="C622" s="86"/>
      <c r="D622" s="86"/>
      <c r="E622" s="7" t="str">
        <f>IF(Indice_index!$Z$1=1,"Receita efetiva","Effective revenue")</f>
        <v>Effective revenue</v>
      </c>
      <c r="F622" s="388"/>
      <c r="G622" s="7" t="str">
        <f>IF(Indice_index!$Z$1=1,"Despesa  efetiva","Effective expenditure")</f>
        <v>Effective expenditure</v>
      </c>
      <c r="H622" s="388"/>
      <c r="I622" s="3" t="str">
        <f>IF(Indice_index!$Z$1=1,"Saldo global","Overall
balance")</f>
        <v>Overall
balance</v>
      </c>
      <c r="J622" s="8" t="str">
        <f>IF(Indice_index!$Z$1=1,"VH (%)","YOY Change Rate (%)")</f>
        <v>YOY Change Rate (%)</v>
      </c>
      <c r="K622" s="391"/>
    </row>
    <row r="623" spans="3:28" ht="12.75" customHeight="1">
      <c r="C623" s="87"/>
      <c r="D623" s="89"/>
      <c r="E623" s="389"/>
      <c r="F623" s="390"/>
      <c r="G623" s="389"/>
      <c r="H623" s="390"/>
      <c r="I623" s="2"/>
      <c r="J623" s="276" t="str">
        <f>IF(Indice_index!$Z$1=1,"Receita","Revenue")</f>
        <v>Revenue</v>
      </c>
      <c r="K623" s="88" t="str">
        <f>IF(Indice_index!$Z$1=1,"Despesa","Expenditure")</f>
        <v>Expenditure</v>
      </c>
    </row>
    <row r="624" spans="3:28" ht="12.75" customHeight="1">
      <c r="C624" s="35"/>
      <c r="D624" s="36"/>
      <c r="E624" s="30" t="str">
        <f>IF(Indice_index!$Z$1=1,"Ano n-1","Year n-1")</f>
        <v>Year n-1</v>
      </c>
      <c r="F624" s="30" t="str">
        <f>IF(Indice_index!$Z$1=1,"Ano n","Year n")</f>
        <v>Year n</v>
      </c>
      <c r="G624" s="30" t="str">
        <f>IF(Indice_index!$Z$1=1,"Ano n-1","Year n-1")</f>
        <v>Year n-1</v>
      </c>
      <c r="H624" s="30" t="str">
        <f>IF(Indice_index!$Z$1=1,"Ano n","Year n")</f>
        <v>Year n</v>
      </c>
      <c r="I624" s="30" t="str">
        <f>IF(Indice_index!$Z$1=1,"Ano n","Year n")</f>
        <v>Year n</v>
      </c>
      <c r="J624" s="31" t="str">
        <f>IF(Indice_index!$Z$1=1,"Ano n","Year n")</f>
        <v>Year n</v>
      </c>
      <c r="K624" s="31" t="str">
        <f>IF(Indice_index!$Z$1=1,"Ano n","Year n")</f>
        <v>Year n</v>
      </c>
    </row>
    <row r="625" spans="3:13" ht="12.75" customHeight="1">
      <c r="C625" s="32">
        <v>2008</v>
      </c>
      <c r="D625" s="19" t="str">
        <f>IF(Indice_index!$Z$1=1,"I TR","Q1")</f>
        <v>Q1</v>
      </c>
      <c r="E625" s="24">
        <v>425.0999018</v>
      </c>
      <c r="F625" s="24">
        <v>404.37642024000002</v>
      </c>
      <c r="G625" s="24">
        <v>373.72182068000006</v>
      </c>
      <c r="H625" s="24">
        <v>375.25180029000001</v>
      </c>
      <c r="I625" s="19">
        <f>+F625-H625</f>
        <v>29.12461995000001</v>
      </c>
      <c r="J625" s="64">
        <f>IF(E625=0,"-",(F625-E625)/E625)</f>
        <v>-4.8749673834904618E-2</v>
      </c>
      <c r="K625" s="64">
        <f>IF(G625=0,"-",(H625-G625)/G625)</f>
        <v>4.0938995941315103E-3</v>
      </c>
    </row>
    <row r="626" spans="3:13" ht="12.75" customHeight="1">
      <c r="C626" s="35"/>
      <c r="D626" s="19" t="str">
        <f>IF(Indice_index!$Z$1=1,"II TR","Q2")</f>
        <v>Q2</v>
      </c>
      <c r="E626" s="24">
        <v>992.7751816</v>
      </c>
      <c r="F626" s="24">
        <v>937.03355636000003</v>
      </c>
      <c r="G626" s="24">
        <v>902.06427322000002</v>
      </c>
      <c r="H626" s="24">
        <v>919.14595696999993</v>
      </c>
      <c r="I626" s="19">
        <f t="shared" ref="I626:I651" si="122">+F626-H626</f>
        <v>17.887599390000105</v>
      </c>
      <c r="J626" s="64">
        <f t="shared" ref="J626:J651" si="123">IF(E626=0,"-",(F626-E626)/E626)</f>
        <v>-5.6147279135407388E-2</v>
      </c>
      <c r="K626" s="64">
        <f t="shared" ref="K626:K651" si="124">IF(G626=0,"-",(H626-G626)/G626)</f>
        <v>1.8936215807577986E-2</v>
      </c>
    </row>
    <row r="627" spans="3:13">
      <c r="C627" s="35"/>
      <c r="D627" s="19" t="str">
        <f>IF(Indice_index!$Z$1=1,"III TR","Q3")</f>
        <v>Q3</v>
      </c>
      <c r="E627" s="24">
        <v>1443.4029095899998</v>
      </c>
      <c r="F627" s="24">
        <v>1417.6812496100001</v>
      </c>
      <c r="G627" s="24">
        <v>1381.8193845099997</v>
      </c>
      <c r="H627" s="24">
        <v>1636.5061671200001</v>
      </c>
      <c r="I627" s="19">
        <f t="shared" si="122"/>
        <v>-218.82491750999998</v>
      </c>
      <c r="J627" s="64">
        <f t="shared" si="123"/>
        <v>-1.7820152508426043E-2</v>
      </c>
      <c r="K627" s="64">
        <f t="shared" si="124"/>
        <v>0.18431264278458043</v>
      </c>
    </row>
    <row r="628" spans="3:13">
      <c r="C628" s="35"/>
      <c r="D628" s="19" t="str">
        <f>IF(Indice_index!$Z$1=1,"IV TR","Q4")</f>
        <v>Q4</v>
      </c>
      <c r="E628" s="24">
        <v>2162.8791463400003</v>
      </c>
      <c r="F628" s="24">
        <v>2115.8230853100004</v>
      </c>
      <c r="G628" s="24">
        <v>2167.4548097299999</v>
      </c>
      <c r="H628" s="24">
        <v>2287.2324886800002</v>
      </c>
      <c r="I628" s="19">
        <f t="shared" si="122"/>
        <v>-171.40940336999984</v>
      </c>
      <c r="J628" s="64">
        <f t="shared" si="123"/>
        <v>-2.1756213753148273E-2</v>
      </c>
      <c r="K628" s="64">
        <f t="shared" si="124"/>
        <v>5.5261903691049066E-2</v>
      </c>
    </row>
    <row r="629" spans="3:13" ht="12.75" customHeight="1">
      <c r="C629" s="35"/>
      <c r="E629" s="24"/>
      <c r="F629" s="24"/>
      <c r="G629" s="24"/>
      <c r="H629" s="24"/>
      <c r="J629" s="64"/>
      <c r="K629" s="64"/>
    </row>
    <row r="630" spans="3:13">
      <c r="C630" s="32">
        <v>2009</v>
      </c>
      <c r="D630" s="19" t="str">
        <f>IF(Indice_index!$Z$1=1,"I TR","Q1")</f>
        <v>Q1</v>
      </c>
      <c r="E630" s="44">
        <v>404.37642024000002</v>
      </c>
      <c r="F630" s="24">
        <v>397.54190218999992</v>
      </c>
      <c r="G630" s="24">
        <v>375.25180029000001</v>
      </c>
      <c r="H630" s="24">
        <v>386.90148533000001</v>
      </c>
      <c r="I630" s="19">
        <f t="shared" si="122"/>
        <v>10.640416859999902</v>
      </c>
      <c r="J630" s="64">
        <f t="shared" si="123"/>
        <v>-1.6901376311565765E-2</v>
      </c>
      <c r="K630" s="64">
        <f t="shared" si="124"/>
        <v>3.1044981079363147E-2</v>
      </c>
    </row>
    <row r="631" spans="3:13">
      <c r="C631" s="32"/>
      <c r="D631" s="19" t="str">
        <f>IF(Indice_index!$Z$1=1,"II TR","Q2")</f>
        <v>Q2</v>
      </c>
      <c r="E631" s="24">
        <v>937.03355636000003</v>
      </c>
      <c r="F631" s="24">
        <v>865.46123505999981</v>
      </c>
      <c r="G631" s="24">
        <v>919.14595696999993</v>
      </c>
      <c r="H631" s="24">
        <v>960.61918799</v>
      </c>
      <c r="I631" s="19">
        <f t="shared" si="122"/>
        <v>-95.157952930000192</v>
      </c>
      <c r="J631" s="64">
        <f t="shared" si="123"/>
        <v>-7.638181238463862E-2</v>
      </c>
      <c r="K631" s="64">
        <f t="shared" si="124"/>
        <v>4.5121485554610034E-2</v>
      </c>
    </row>
    <row r="632" spans="3:13">
      <c r="C632" s="32"/>
      <c r="D632" s="19" t="str">
        <f>IF(Indice_index!$Z$1=1,"III TR","Q3")</f>
        <v>Q3</v>
      </c>
      <c r="E632" s="24">
        <v>1417.6812496100001</v>
      </c>
      <c r="F632" s="24">
        <v>1342.5329133900002</v>
      </c>
      <c r="G632" s="24">
        <v>1636.5061671200001</v>
      </c>
      <c r="H632" s="24">
        <v>1461.1430097699999</v>
      </c>
      <c r="I632" s="19">
        <f t="shared" si="122"/>
        <v>-118.61009637999973</v>
      </c>
      <c r="J632" s="64">
        <f t="shared" si="123"/>
        <v>-5.3007921379134418E-2</v>
      </c>
      <c r="K632" s="64">
        <f t="shared" si="124"/>
        <v>-0.10715704032977305</v>
      </c>
    </row>
    <row r="633" spans="3:13">
      <c r="C633" s="32"/>
      <c r="D633" s="19" t="str">
        <f>IF(Indice_index!$Z$1=1,"IV TR","Q4")</f>
        <v>Q4</v>
      </c>
      <c r="E633" s="24">
        <v>2115.8230853100004</v>
      </c>
      <c r="F633" s="24">
        <v>2001.8007156000003</v>
      </c>
      <c r="G633" s="24">
        <v>2287.2324886800002</v>
      </c>
      <c r="H633" s="24">
        <v>2148.8494347699998</v>
      </c>
      <c r="I633" s="19">
        <f t="shared" si="122"/>
        <v>-147.04871916999946</v>
      </c>
      <c r="J633" s="64">
        <f t="shared" si="123"/>
        <v>-5.3890313656963437E-2</v>
      </c>
      <c r="K633" s="64">
        <f t="shared" si="124"/>
        <v>-6.0502399557057517E-2</v>
      </c>
      <c r="M633" s="42"/>
    </row>
    <row r="634" spans="3:13" ht="12.75" customHeight="1">
      <c r="C634" s="32"/>
      <c r="E634" s="24"/>
      <c r="F634" s="24"/>
      <c r="G634" s="24"/>
      <c r="H634" s="24"/>
      <c r="J634" s="64"/>
      <c r="K634" s="64"/>
      <c r="M634" s="42"/>
    </row>
    <row r="635" spans="3:13">
      <c r="C635" s="32" t="s">
        <v>3</v>
      </c>
      <c r="D635" s="19" t="str">
        <f>IF(Indice_index!$Z$1=1,"I TR","Q1")</f>
        <v>Q1</v>
      </c>
      <c r="E635" s="24">
        <v>397.54190218999992</v>
      </c>
      <c r="F635" s="24">
        <v>406.31942040999996</v>
      </c>
      <c r="G635" s="24">
        <v>386.90148533000001</v>
      </c>
      <c r="H635" s="24">
        <v>430.71720398999997</v>
      </c>
      <c r="I635" s="19">
        <f t="shared" si="122"/>
        <v>-24.397783580000009</v>
      </c>
      <c r="J635" s="64">
        <f t="shared" si="123"/>
        <v>2.2079479349588028E-2</v>
      </c>
      <c r="K635" s="64">
        <f t="shared" si="124"/>
        <v>0.11324773959610986</v>
      </c>
      <c r="M635" s="42"/>
    </row>
    <row r="636" spans="3:13">
      <c r="C636" s="32"/>
      <c r="D636" s="19" t="str">
        <f>IF(Indice_index!$Z$1=1,"II TR","Q2")</f>
        <v>Q2</v>
      </c>
      <c r="E636" s="24">
        <v>865.46123505999981</v>
      </c>
      <c r="F636" s="24">
        <v>869.84729735999997</v>
      </c>
      <c r="G636" s="45">
        <v>960.61918799</v>
      </c>
      <c r="H636" s="45">
        <v>950.92993754999998</v>
      </c>
      <c r="I636" s="24">
        <f t="shared" si="122"/>
        <v>-81.082640190000006</v>
      </c>
      <c r="J636" s="64">
        <f t="shared" si="123"/>
        <v>5.0678899554595187E-3</v>
      </c>
      <c r="K636" s="64">
        <f t="shared" si="124"/>
        <v>-1.008646356551946E-2</v>
      </c>
      <c r="M636" s="42"/>
    </row>
    <row r="637" spans="3:13">
      <c r="C637" s="32"/>
      <c r="D637" s="19" t="str">
        <f>IF(Indice_index!$Z$1=1,"III TR","Q3")</f>
        <v>Q3</v>
      </c>
      <c r="E637" s="24">
        <v>1342.5329133900002</v>
      </c>
      <c r="F637" s="24">
        <v>1404.3523082909999</v>
      </c>
      <c r="G637" s="40">
        <v>1461.1430097699999</v>
      </c>
      <c r="H637" s="40">
        <v>1451.0473881600001</v>
      </c>
      <c r="I637" s="24">
        <f t="shared" si="122"/>
        <v>-46.69507986900021</v>
      </c>
      <c r="J637" s="64">
        <f t="shared" si="123"/>
        <v>4.604683749979796E-2</v>
      </c>
      <c r="K637" s="64">
        <f t="shared" si="124"/>
        <v>-6.9094000672726861E-3</v>
      </c>
      <c r="M637" s="42"/>
    </row>
    <row r="638" spans="3:13">
      <c r="C638" s="32"/>
      <c r="D638" s="19" t="str">
        <f>IF(Indice_index!$Z$1=1,"IV TR","Q4")</f>
        <v>Q4</v>
      </c>
      <c r="E638" s="24">
        <v>2001.8</v>
      </c>
      <c r="F638" s="24">
        <v>2144.8090481100003</v>
      </c>
      <c r="G638" s="40">
        <v>2148.8000000000002</v>
      </c>
      <c r="H638" s="40">
        <v>2276.2152452000005</v>
      </c>
      <c r="I638" s="19">
        <f t="shared" si="122"/>
        <v>-131.40619709000021</v>
      </c>
      <c r="J638" s="64">
        <f t="shared" si="123"/>
        <v>7.1440227849935214E-2</v>
      </c>
      <c r="K638" s="64">
        <f t="shared" si="124"/>
        <v>5.9296000186150541E-2</v>
      </c>
      <c r="M638" s="42"/>
    </row>
    <row r="639" spans="3:13">
      <c r="C639" s="32"/>
      <c r="E639" s="24"/>
      <c r="F639" s="24"/>
      <c r="G639" s="40"/>
      <c r="H639" s="40"/>
      <c r="J639" s="64"/>
      <c r="K639" s="64"/>
      <c r="M639" s="42"/>
    </row>
    <row r="640" spans="3:13">
      <c r="C640" s="32" t="s">
        <v>4</v>
      </c>
      <c r="D640" s="19" t="str">
        <f>IF(Indice_index!$Z$1=1,"janeiro","January")</f>
        <v>January</v>
      </c>
      <c r="E640" s="24"/>
      <c r="F640" s="24">
        <v>210.75892092999999</v>
      </c>
      <c r="G640" s="24"/>
      <c r="H640" s="24">
        <v>121.16334205999998</v>
      </c>
      <c r="I640" s="19">
        <f t="shared" si="122"/>
        <v>89.595578870000011</v>
      </c>
      <c r="J640" s="64" t="str">
        <f t="shared" si="123"/>
        <v>-</v>
      </c>
      <c r="K640" s="64" t="str">
        <f t="shared" si="124"/>
        <v>-</v>
      </c>
      <c r="M640" s="42"/>
    </row>
    <row r="641" spans="3:28">
      <c r="C641" s="32"/>
      <c r="D641" s="19" t="str">
        <f>IF(Indice_index!$Z$1=1,"fevereiro","February")</f>
        <v>February</v>
      </c>
      <c r="E641" s="24"/>
      <c r="F641" s="24">
        <v>322.88092367999997</v>
      </c>
      <c r="G641" s="24"/>
      <c r="H641" s="24">
        <v>253.16642726000003</v>
      </c>
      <c r="I641" s="19">
        <f t="shared" si="122"/>
        <v>69.714496419999932</v>
      </c>
      <c r="J641" s="64" t="str">
        <f t="shared" si="123"/>
        <v>-</v>
      </c>
      <c r="K641" s="64" t="str">
        <f t="shared" si="124"/>
        <v>-</v>
      </c>
      <c r="M641" s="42"/>
    </row>
    <row r="642" spans="3:28">
      <c r="C642" s="32"/>
      <c r="D642" s="19" t="str">
        <f>IF(Indice_index!$Z$1=1,"março","March")</f>
        <v>March</v>
      </c>
      <c r="E642" s="24">
        <v>406.31952040999994</v>
      </c>
      <c r="F642" s="24">
        <v>436.08804484000001</v>
      </c>
      <c r="G642" s="24">
        <v>430.71726670999999</v>
      </c>
      <c r="H642" s="24">
        <v>424.47959798700003</v>
      </c>
      <c r="I642" s="19">
        <f t="shared" si="122"/>
        <v>11.608446852999975</v>
      </c>
      <c r="J642" s="64">
        <f t="shared" si="123"/>
        <v>7.326383039624064E-2</v>
      </c>
      <c r="K642" s="64">
        <f t="shared" si="124"/>
        <v>-1.4482049374630135E-2</v>
      </c>
      <c r="M642" s="42"/>
    </row>
    <row r="643" spans="3:28">
      <c r="C643" s="32"/>
      <c r="D643" s="19" t="str">
        <f>IF(Indice_index!$Z$1=1,"abril","April")</f>
        <v>April</v>
      </c>
      <c r="E643" s="24"/>
      <c r="F643" s="24">
        <v>702.68604497000001</v>
      </c>
      <c r="G643" s="24"/>
      <c r="H643" s="24">
        <v>569.57638300999997</v>
      </c>
      <c r="I643" s="19">
        <f t="shared" si="122"/>
        <v>133.10966196000004</v>
      </c>
      <c r="J643" s="64" t="str">
        <f t="shared" si="123"/>
        <v>-</v>
      </c>
      <c r="K643" s="64" t="str">
        <f t="shared" si="124"/>
        <v>-</v>
      </c>
      <c r="M643" s="42"/>
    </row>
    <row r="644" spans="3:28">
      <c r="C644" s="32"/>
      <c r="D644" s="19" t="str">
        <f>IF(Indice_index!$Z$1=1,"maio","May")</f>
        <v>May</v>
      </c>
      <c r="E644" s="24"/>
      <c r="F644" s="24">
        <v>819.01666805999992</v>
      </c>
      <c r="G644" s="24"/>
      <c r="H644" s="24">
        <v>779.10727151699984</v>
      </c>
      <c r="I644" s="19">
        <f t="shared" si="122"/>
        <v>39.909396543000071</v>
      </c>
      <c r="J644" s="64" t="str">
        <f t="shared" si="123"/>
        <v>-</v>
      </c>
      <c r="K644" s="64" t="str">
        <f t="shared" si="124"/>
        <v>-</v>
      </c>
      <c r="M644" s="42"/>
    </row>
    <row r="645" spans="3:28">
      <c r="C645" s="32"/>
      <c r="D645" s="19" t="str">
        <f>IF(Indice_index!$Z$1=1,"junho","June")</f>
        <v>June</v>
      </c>
      <c r="E645" s="24">
        <v>869.85486735999996</v>
      </c>
      <c r="F645" s="24">
        <v>937.94359436000002</v>
      </c>
      <c r="G645" s="24">
        <v>951.00984260999985</v>
      </c>
      <c r="H645" s="24">
        <v>977.80279314999973</v>
      </c>
      <c r="I645" s="19">
        <f t="shared" si="122"/>
        <v>-39.859198789999709</v>
      </c>
      <c r="J645" s="64">
        <f t="shared" si="123"/>
        <v>7.8275962525390708E-2</v>
      </c>
      <c r="K645" s="64">
        <f t="shared" si="124"/>
        <v>2.817315798379956E-2</v>
      </c>
      <c r="M645" s="42"/>
    </row>
    <row r="646" spans="3:28" s="44" customFormat="1">
      <c r="C646" s="32"/>
      <c r="D646" s="19" t="str">
        <f>IF(Indice_index!$Z$1=1,"julho","July")</f>
        <v>July</v>
      </c>
      <c r="E646" s="24"/>
      <c r="F646" s="24">
        <v>1202.8629568800002</v>
      </c>
      <c r="G646" s="24"/>
      <c r="H646" s="24">
        <v>1174.8080392899999</v>
      </c>
      <c r="I646" s="19">
        <f t="shared" si="122"/>
        <v>28.054917590000287</v>
      </c>
      <c r="J646" s="64" t="str">
        <f t="shared" si="123"/>
        <v>-</v>
      </c>
      <c r="K646" s="64" t="str">
        <f t="shared" si="124"/>
        <v>-</v>
      </c>
      <c r="L646"/>
      <c r="M646" s="52"/>
      <c r="Z646" s="53"/>
      <c r="AA646" s="53"/>
      <c r="AB646" s="53"/>
    </row>
    <row r="647" spans="3:28" s="44" customFormat="1">
      <c r="C647" s="32"/>
      <c r="D647" s="19" t="str">
        <f>IF(Indice_index!$Z$1=1,"agosto","August")</f>
        <v>August</v>
      </c>
      <c r="E647" s="24"/>
      <c r="F647" s="24">
        <v>1349.29172793</v>
      </c>
      <c r="G647" s="24"/>
      <c r="H647" s="24">
        <v>1345.6162120199999</v>
      </c>
      <c r="I647" s="19">
        <f t="shared" si="122"/>
        <v>3.6755159100000583</v>
      </c>
      <c r="J647" s="64" t="str">
        <f t="shared" si="123"/>
        <v>-</v>
      </c>
      <c r="K647" s="64" t="str">
        <f t="shared" si="124"/>
        <v>-</v>
      </c>
      <c r="L647"/>
      <c r="M647" s="52"/>
      <c r="Z647" s="53"/>
      <c r="AA647" s="53"/>
      <c r="AB647" s="53"/>
    </row>
    <row r="648" spans="3:28" s="44" customFormat="1">
      <c r="C648" s="32"/>
      <c r="D648" s="19" t="str">
        <f>IF(Indice_index!$Z$1=1,"setembro","September")</f>
        <v>September</v>
      </c>
      <c r="E648" s="24">
        <v>1404.3523082909999</v>
      </c>
      <c r="F648" s="24">
        <v>1511.7252416800004</v>
      </c>
      <c r="G648" s="24">
        <v>1451.0473881599996</v>
      </c>
      <c r="H648" s="24">
        <v>1530.2268385100001</v>
      </c>
      <c r="I648" s="19">
        <f t="shared" si="122"/>
        <v>-18.501596829999698</v>
      </c>
      <c r="J648" s="64">
        <f t="shared" si="123"/>
        <v>7.6457262721820851E-2</v>
      </c>
      <c r="K648" s="64">
        <f t="shared" si="124"/>
        <v>5.4567101664683718E-2</v>
      </c>
      <c r="L648"/>
      <c r="M648" s="52"/>
      <c r="Z648" s="53"/>
      <c r="AA648" s="53"/>
      <c r="AB648" s="53"/>
    </row>
    <row r="649" spans="3:28" s="44" customFormat="1">
      <c r="C649" s="32"/>
      <c r="D649" s="19" t="str">
        <f>IF(Indice_index!$Z$1=1,"outubro","October")</f>
        <v>October</v>
      </c>
      <c r="E649" s="24"/>
      <c r="F649" s="44">
        <v>1727.8899235699998</v>
      </c>
      <c r="H649" s="44">
        <v>1688.076909209</v>
      </c>
      <c r="I649" s="44">
        <f t="shared" si="122"/>
        <v>39.813014360999887</v>
      </c>
      <c r="J649" s="64" t="str">
        <f t="shared" si="123"/>
        <v>-</v>
      </c>
      <c r="K649" s="64" t="str">
        <f t="shared" si="124"/>
        <v>-</v>
      </c>
      <c r="L649"/>
      <c r="M649" s="52"/>
      <c r="Z649" s="53"/>
      <c r="AA649" s="53"/>
      <c r="AB649" s="53"/>
    </row>
    <row r="650" spans="3:28" s="44" customFormat="1">
      <c r="C650" s="32"/>
      <c r="D650" s="24" t="str">
        <f>IF(Indice_index!$Z$1=1,"novembro","November")</f>
        <v>November</v>
      </c>
      <c r="E650" s="24"/>
      <c r="F650" s="44">
        <v>1887.2796723699998</v>
      </c>
      <c r="H650" s="44">
        <v>1893.74773157</v>
      </c>
      <c r="I650" s="44">
        <f t="shared" si="122"/>
        <v>-6.468059200000198</v>
      </c>
      <c r="J650" s="64" t="str">
        <f t="shared" si="123"/>
        <v>-</v>
      </c>
      <c r="K650" s="64" t="str">
        <f t="shared" si="124"/>
        <v>-</v>
      </c>
      <c r="L650"/>
      <c r="M650" s="52"/>
      <c r="Z650" s="53"/>
      <c r="AA650" s="53"/>
      <c r="AB650" s="53"/>
    </row>
    <row r="651" spans="3:28" s="44" customFormat="1">
      <c r="C651" s="32"/>
      <c r="D651" s="24" t="str">
        <f>IF(Indice_index!$Z$1=1,"dezembro","December")</f>
        <v>December</v>
      </c>
      <c r="E651" s="24">
        <v>2144.8062779100001</v>
      </c>
      <c r="F651" s="44">
        <v>2114.3150470609999</v>
      </c>
      <c r="G651" s="44">
        <v>2276.2152452</v>
      </c>
      <c r="H651" s="44">
        <v>2126.614456668</v>
      </c>
      <c r="I651" s="44">
        <f t="shared" si="122"/>
        <v>-12.299409607000143</v>
      </c>
      <c r="J651" s="64">
        <f t="shared" si="123"/>
        <v>-1.4216309959103762E-2</v>
      </c>
      <c r="K651" s="64">
        <f t="shared" si="124"/>
        <v>-6.5723480609961082E-2</v>
      </c>
      <c r="L651" s="218"/>
      <c r="M651" s="52"/>
      <c r="Z651" s="53"/>
      <c r="AA651" s="53"/>
      <c r="AB651" s="53"/>
    </row>
    <row r="652" spans="3:28" s="44" customFormat="1">
      <c r="C652" s="32"/>
      <c r="D652" s="24"/>
      <c r="E652" s="24"/>
      <c r="J652" s="64"/>
      <c r="K652" s="64"/>
      <c r="L652" s="218"/>
      <c r="M652" s="52"/>
      <c r="Z652" s="53"/>
      <c r="AA652" s="53"/>
      <c r="AB652" s="53"/>
    </row>
    <row r="653" spans="3:28" s="44" customFormat="1">
      <c r="C653" s="32" t="s">
        <v>5</v>
      </c>
      <c r="D653" s="24" t="str">
        <f>IF(Indice_index!$Z$1=1,"janeiro","January")</f>
        <v>January</v>
      </c>
      <c r="E653" s="24">
        <v>210.75892092999999</v>
      </c>
      <c r="F653" s="44">
        <v>170.63730784000001</v>
      </c>
      <c r="G653" s="44">
        <v>121.16334205999998</v>
      </c>
      <c r="H653" s="44">
        <v>109.34458078000002</v>
      </c>
      <c r="I653" s="44">
        <f t="shared" ref="I653:I663" si="125">+F653-H653</f>
        <v>61.29272705999999</v>
      </c>
      <c r="J653" s="64">
        <f>IF(E653=0,"-",(F653-E653)/E653)</f>
        <v>-0.19036733018445134</v>
      </c>
      <c r="K653" s="64">
        <f>IF(G653=0,"-",(H653-G653)/G653)</f>
        <v>-9.7544035011408986E-2</v>
      </c>
      <c r="L653" s="218"/>
      <c r="M653" s="52"/>
      <c r="Z653" s="53"/>
      <c r="AA653" s="53"/>
      <c r="AB653" s="53"/>
    </row>
    <row r="654" spans="3:28" s="44" customFormat="1">
      <c r="C654" s="32"/>
      <c r="D654" s="24" t="str">
        <f>IF(Indice_index!$Z$1=1,"fevereiro","February")</f>
        <v>February</v>
      </c>
      <c r="E654" s="24">
        <v>322.88092367999997</v>
      </c>
      <c r="F654" s="44">
        <v>283.80430794999995</v>
      </c>
      <c r="G654" s="44">
        <v>253.16642726000003</v>
      </c>
      <c r="H654" s="44">
        <v>246.28852852</v>
      </c>
      <c r="I654" s="44">
        <f t="shared" si="125"/>
        <v>37.515779429999952</v>
      </c>
      <c r="J654" s="64">
        <f>IF(E654=0,"-",(F654-E654)/E654)</f>
        <v>-0.1210248511575988</v>
      </c>
      <c r="K654" s="64">
        <f>IF(G654=0,"-",(H654-G654)/G654)</f>
        <v>-2.716749931829027E-2</v>
      </c>
      <c r="L654" s="218"/>
      <c r="M654" s="52"/>
      <c r="Z654" s="53"/>
      <c r="AA654" s="53"/>
      <c r="AB654" s="53"/>
    </row>
    <row r="655" spans="3:28" s="44" customFormat="1">
      <c r="C655" s="32"/>
      <c r="D655" s="24" t="str">
        <f>IF(Indice_index!$Z$1=1,"março","March")</f>
        <v>March</v>
      </c>
      <c r="E655" s="24">
        <v>436.08804484000001</v>
      </c>
      <c r="F655" s="44">
        <v>424.29008503400001</v>
      </c>
      <c r="G655" s="44">
        <v>424.47959798700003</v>
      </c>
      <c r="H655" s="44">
        <v>405.62273517200003</v>
      </c>
      <c r="I655" s="44">
        <f>+F655-H655</f>
        <v>18.66734986199998</v>
      </c>
      <c r="J655" s="64">
        <f>IF(E655=0,"-",(F655-E655)/E655)</f>
        <v>-2.7054077601069405E-2</v>
      </c>
      <c r="K655" s="64">
        <f>IF(G655=0,"-",(H655-G655)/G655)</f>
        <v>-4.442348443700115E-2</v>
      </c>
      <c r="L655" s="218"/>
      <c r="M655" s="222"/>
      <c r="Z655" s="53"/>
      <c r="AA655" s="53"/>
      <c r="AB655" s="53"/>
    </row>
    <row r="656" spans="3:28" s="44" customFormat="1">
      <c r="C656" s="32"/>
      <c r="D656" s="24" t="str">
        <f>IF(Indice_index!$Z$1=1,"abril","April")</f>
        <v>April</v>
      </c>
      <c r="E656" s="24">
        <v>702.68604497000001</v>
      </c>
      <c r="F656" s="44">
        <v>624.5239502899999</v>
      </c>
      <c r="G656" s="44">
        <v>569.57638300999997</v>
      </c>
      <c r="H656" s="44">
        <v>547.07775532000005</v>
      </c>
      <c r="I656" s="44">
        <f>+F656-H656</f>
        <v>77.446194969999851</v>
      </c>
      <c r="J656" s="64">
        <f>IF(E656=0,"-",(F656-E656)/E656)</f>
        <v>-0.11123331001021532</v>
      </c>
      <c r="K656" s="64">
        <f>IF(G656=0,"-",(H656-G656)/G656)</f>
        <v>-3.9500633033804911E-2</v>
      </c>
      <c r="L656" s="218"/>
      <c r="M656" s="222"/>
      <c r="Z656" s="53"/>
      <c r="AA656" s="53"/>
      <c r="AB656" s="53"/>
    </row>
    <row r="657" spans="3:28">
      <c r="C657" s="32"/>
      <c r="D657" s="24" t="str">
        <f>IF(Indice_index!$Z$1=1,"maio","May")</f>
        <v>May</v>
      </c>
      <c r="E657" s="24">
        <v>819.01666805999992</v>
      </c>
      <c r="F657" s="44">
        <v>787.33934606999992</v>
      </c>
      <c r="G657" s="44">
        <v>779.10727151699984</v>
      </c>
      <c r="H657" s="44">
        <v>790.04555604928009</v>
      </c>
      <c r="I657" s="44">
        <v>-2.7062099792801746</v>
      </c>
      <c r="J657" s="64">
        <v>-3.8677261678976699E-2</v>
      </c>
      <c r="K657" s="64">
        <v>1.3758689623077851E-2</v>
      </c>
      <c r="L657" s="218"/>
      <c r="M657" s="223"/>
      <c r="N657" s="223"/>
    </row>
    <row r="658" spans="3:28">
      <c r="C658" s="61"/>
      <c r="D658" s="44" t="str">
        <f>IF(Indice_index!$Z$1=1,"junho","June")</f>
        <v>June</v>
      </c>
      <c r="E658" s="24">
        <v>937.94359436000002</v>
      </c>
      <c r="F658" s="44">
        <v>896.05908821600019</v>
      </c>
      <c r="G658" s="44">
        <v>977.80279314999973</v>
      </c>
      <c r="H658" s="44">
        <v>984.15009819828015</v>
      </c>
      <c r="I658" s="44">
        <f t="shared" si="125"/>
        <v>-88.091009982279957</v>
      </c>
      <c r="J658" s="72">
        <f t="shared" ref="J658:J663" si="126">IF(E658=0,"-",(F658-E658)/E658)</f>
        <v>-4.4655676946735223E-2</v>
      </c>
      <c r="K658" s="72">
        <f t="shared" ref="K658:K663" si="127">IF(G658=0,"-",(H658-G658)/G658)</f>
        <v>6.491395905950036E-3</v>
      </c>
      <c r="L658" s="218"/>
      <c r="M658" s="223"/>
      <c r="N658" s="223"/>
    </row>
    <row r="659" spans="3:28">
      <c r="C659" s="61"/>
      <c r="D659" s="44" t="str">
        <f>IF(Indice_index!$Z$1=1,"julho","July")</f>
        <v>July</v>
      </c>
      <c r="E659" s="24">
        <v>1202.8629568800002</v>
      </c>
      <c r="F659" s="44">
        <v>1103.9628995009998</v>
      </c>
      <c r="G659" s="24">
        <v>1174.8080392899999</v>
      </c>
      <c r="H659" s="44">
        <v>1166.8922219092801</v>
      </c>
      <c r="I659" s="44">
        <f t="shared" si="125"/>
        <v>-62.929322408280314</v>
      </c>
      <c r="J659" s="72">
        <f t="shared" si="126"/>
        <v>-8.2220552901162147E-2</v>
      </c>
      <c r="K659" s="72">
        <f t="shared" si="127"/>
        <v>-6.7379666430472584E-3</v>
      </c>
      <c r="L659" s="218"/>
      <c r="M659" s="223"/>
      <c r="N659" s="223"/>
    </row>
    <row r="660" spans="3:28">
      <c r="C660" s="61"/>
      <c r="D660" s="44" t="str">
        <f>IF(Indice_index!$Z$1=1,"agosto","August")</f>
        <v>August</v>
      </c>
      <c r="E660" s="24">
        <v>1349.29172793</v>
      </c>
      <c r="F660" s="44">
        <v>1258.358552231</v>
      </c>
      <c r="G660" s="24">
        <v>1345.6162120199999</v>
      </c>
      <c r="H660" s="44">
        <v>1340.22957217928</v>
      </c>
      <c r="I660" s="44">
        <f t="shared" si="125"/>
        <v>-81.871019948280036</v>
      </c>
      <c r="J660" s="72">
        <f t="shared" si="126"/>
        <v>-6.7393265530875268E-2</v>
      </c>
      <c r="K660" s="72">
        <f t="shared" si="127"/>
        <v>-4.0031026622618059E-3</v>
      </c>
      <c r="L660" s="218"/>
    </row>
    <row r="661" spans="3:28">
      <c r="C661" s="61"/>
      <c r="D661" s="44" t="str">
        <f>IF(Indice_index!$Z$1=1,"setembro","September")</f>
        <v>September</v>
      </c>
      <c r="E661" s="24">
        <v>1511.7252416800004</v>
      </c>
      <c r="F661" s="24">
        <v>1402.4486985849999</v>
      </c>
      <c r="G661" s="24">
        <v>1530.2268385100001</v>
      </c>
      <c r="H661" s="24">
        <v>1473.6326213392799</v>
      </c>
      <c r="I661" s="24">
        <f t="shared" si="125"/>
        <v>-71.183922754280047</v>
      </c>
      <c r="J661" s="64">
        <f t="shared" si="126"/>
        <v>-7.2285981659974172E-2</v>
      </c>
      <c r="K661" s="64">
        <f t="shared" si="127"/>
        <v>-3.6984201130485096E-2</v>
      </c>
      <c r="L661" s="218"/>
    </row>
    <row r="662" spans="3:28">
      <c r="C662" s="61"/>
      <c r="D662" s="44" t="str">
        <f>IF(Indice_index!$Z$1=1,"outubro","October")</f>
        <v>October</v>
      </c>
      <c r="E662" s="24">
        <v>1727.8899235699998</v>
      </c>
      <c r="F662" s="24">
        <v>1612.4989800399999</v>
      </c>
      <c r="G662" s="24">
        <v>1688.076909209</v>
      </c>
      <c r="H662" s="24">
        <v>1669.7227434962804</v>
      </c>
      <c r="I662" s="24">
        <f t="shared" si="125"/>
        <v>-57.223763456280494</v>
      </c>
      <c r="J662" s="64">
        <f t="shared" si="126"/>
        <v>-6.6781420480530554E-2</v>
      </c>
      <c r="K662" s="64">
        <f t="shared" si="127"/>
        <v>-1.0872825528618825E-2</v>
      </c>
      <c r="L662" s="218"/>
    </row>
    <row r="663" spans="3:28">
      <c r="C663" s="61"/>
      <c r="D663" s="44" t="str">
        <f>IF(Indice_index!$Z$1=1,"novembro","November")</f>
        <v>November</v>
      </c>
      <c r="E663" s="24">
        <v>1887.2796723699998</v>
      </c>
      <c r="F663" s="24">
        <v>1735.6602100200002</v>
      </c>
      <c r="G663" s="24">
        <v>1893.74773157</v>
      </c>
      <c r="H663" s="24">
        <v>1809.5706698362803</v>
      </c>
      <c r="I663" s="24">
        <f t="shared" si="125"/>
        <v>-73.910459816280081</v>
      </c>
      <c r="J663" s="64">
        <f t="shared" si="126"/>
        <v>-8.0337569767600772E-2</v>
      </c>
      <c r="K663" s="64">
        <f t="shared" si="127"/>
        <v>-4.4449986833216285E-2</v>
      </c>
    </row>
    <row r="664" spans="3:28">
      <c r="C664" s="61"/>
      <c r="D664" s="44" t="str">
        <f>IF(Indice_index!$Z$1=1,"dezembro","December")</f>
        <v>December</v>
      </c>
      <c r="E664" s="24">
        <v>2114.3150470609999</v>
      </c>
      <c r="F664" s="24">
        <v>2015.10184009</v>
      </c>
      <c r="G664" s="24">
        <v>2126.614456668</v>
      </c>
      <c r="H664" s="24">
        <v>2281.1599457924804</v>
      </c>
      <c r="I664" s="24">
        <f>+F664-H664</f>
        <v>-266.05810570248036</v>
      </c>
      <c r="J664" s="63">
        <f>IF(E664=0,"-",(F664-E664)/E664)</f>
        <v>-4.692451444684699E-2</v>
      </c>
      <c r="K664" s="63">
        <f>IF(G664=0,"-",(H664-G664)/G664)</f>
        <v>7.2672076802592467E-2</v>
      </c>
      <c r="L664" s="218"/>
    </row>
    <row r="665" spans="3:28">
      <c r="C665" s="44"/>
      <c r="D665" s="44"/>
      <c r="E665" s="24"/>
      <c r="F665" s="24"/>
      <c r="G665" s="24"/>
      <c r="H665" s="24"/>
      <c r="I665" s="24"/>
      <c r="J665" s="64"/>
      <c r="K665" s="64"/>
      <c r="L665" s="218"/>
    </row>
    <row r="666" spans="3:28">
      <c r="C666" s="32" t="s">
        <v>7</v>
      </c>
      <c r="D666" s="45" t="str">
        <f>IF(Indice_index!$Z$1=1,"janeiro","January")</f>
        <v>January</v>
      </c>
      <c r="E666" s="45">
        <f t="shared" ref="E666:E677" si="128">+F640</f>
        <v>210.75892092999999</v>
      </c>
      <c r="F666" s="45">
        <v>214.19398948</v>
      </c>
      <c r="G666" s="45">
        <f t="shared" ref="G666:G677" si="129">+H640</f>
        <v>121.16334205999998</v>
      </c>
      <c r="H666" s="45">
        <v>114.38331905</v>
      </c>
      <c r="I666" s="45">
        <f t="shared" ref="I666:I677" si="130">+F666-H666</f>
        <v>99.810670430000002</v>
      </c>
      <c r="J666" s="221">
        <f>IF(E666=0,"-",(F666-E666)/E666)</f>
        <v>1.629856774196007E-2</v>
      </c>
      <c r="K666" s="221">
        <f t="shared" ref="K666:K677" si="131">IF(G666=0,"-",(H666-G666)/G666)</f>
        <v>-5.5957708781609196E-2</v>
      </c>
      <c r="L666" s="218"/>
    </row>
    <row r="667" spans="3:28">
      <c r="C667" s="61"/>
      <c r="D667" s="44" t="str">
        <f>IF(Indice_index!$Z$1=1,"fevereiro","February")</f>
        <v>February</v>
      </c>
      <c r="E667" s="45">
        <f t="shared" si="128"/>
        <v>322.88092367999997</v>
      </c>
      <c r="F667" s="44">
        <v>331.15047027000003</v>
      </c>
      <c r="G667" s="44">
        <f t="shared" si="129"/>
        <v>253.16642726000003</v>
      </c>
      <c r="H667" s="44">
        <v>310.23565223000003</v>
      </c>
      <c r="I667" s="44">
        <f t="shared" si="130"/>
        <v>20.91481804</v>
      </c>
      <c r="J667" s="46">
        <f>IF(E667=0,"-",(F667-E667)/E667)</f>
        <v>2.5611753384959413E-2</v>
      </c>
      <c r="K667" s="46">
        <f t="shared" si="131"/>
        <v>0.22542177328825011</v>
      </c>
      <c r="L667" s="218"/>
    </row>
    <row r="668" spans="3:28">
      <c r="C668" s="61"/>
      <c r="D668" s="45" t="str">
        <f>IF(Indice_index!$Z$1=1,"março","March")</f>
        <v>March</v>
      </c>
      <c r="E668" s="45">
        <f t="shared" si="128"/>
        <v>436.08804484000001</v>
      </c>
      <c r="F668" s="45">
        <v>467.27881513</v>
      </c>
      <c r="G668" s="45">
        <f t="shared" si="129"/>
        <v>424.47959798700003</v>
      </c>
      <c r="H668" s="45">
        <v>463.60795355400001</v>
      </c>
      <c r="I668" s="45">
        <f t="shared" si="130"/>
        <v>3.670861575999993</v>
      </c>
      <c r="J668" s="238">
        <f>IF(E668=0,"-",(F668-E668)/E668)</f>
        <v>7.1524020571221647E-2</v>
      </c>
      <c r="K668" s="238">
        <f t="shared" si="131"/>
        <v>9.2179590615326351E-2</v>
      </c>
      <c r="L668" s="218"/>
    </row>
    <row r="669" spans="3:28">
      <c r="C669" s="61"/>
      <c r="D669" s="45" t="str">
        <f>IF(Indice_index!$Z$1=1,"abril","April")</f>
        <v>April</v>
      </c>
      <c r="E669" s="45">
        <f t="shared" si="128"/>
        <v>702.68604497000001</v>
      </c>
      <c r="F669" s="45">
        <v>713.47182738000004</v>
      </c>
      <c r="G669" s="45">
        <f t="shared" si="129"/>
        <v>569.57638300999997</v>
      </c>
      <c r="H669" s="45">
        <v>643.21046831333319</v>
      </c>
      <c r="I669" s="45">
        <f t="shared" si="130"/>
        <v>70.261359066666841</v>
      </c>
      <c r="J669" s="238">
        <f>IF(E669=0,"-",(F669-E669)/E669)</f>
        <v>1.5349361905231097E-2</v>
      </c>
      <c r="K669" s="238">
        <f t="shared" si="131"/>
        <v>0.129278684123461</v>
      </c>
      <c r="L669" s="218"/>
    </row>
    <row r="670" spans="3:28">
      <c r="C670" s="61"/>
      <c r="D670" s="45" t="str">
        <f>IF(Indice_index!$Z$1=1,"maio","May")</f>
        <v>May</v>
      </c>
      <c r="E670" s="45">
        <f t="shared" si="128"/>
        <v>819.01666805999992</v>
      </c>
      <c r="F670" s="45">
        <v>845.0166811900001</v>
      </c>
      <c r="G670" s="45">
        <f t="shared" si="129"/>
        <v>779.10727151699984</v>
      </c>
      <c r="H670" s="45">
        <v>862.72800840219998</v>
      </c>
      <c r="I670" s="45">
        <f t="shared" si="130"/>
        <v>-17.711327212199876</v>
      </c>
      <c r="J670" s="238">
        <f t="shared" ref="J670:J677" si="132">IF(E670=0,"-",(F670-E670)/E670)</f>
        <v>3.1745401704200073E-2</v>
      </c>
      <c r="K670" s="238">
        <f t="shared" si="131"/>
        <v>0.10732891341442903</v>
      </c>
      <c r="L670" s="218"/>
    </row>
    <row r="671" spans="3:28">
      <c r="C671" s="61"/>
      <c r="D671" s="45" t="str">
        <f>IF(Indice_index!$Z$1=1,"junho","June")</f>
        <v>June</v>
      </c>
      <c r="E671" s="45">
        <f t="shared" si="128"/>
        <v>937.94359436000002</v>
      </c>
      <c r="F671" s="45">
        <v>1039.16399191</v>
      </c>
      <c r="G671" s="45">
        <f t="shared" si="129"/>
        <v>977.80279314999973</v>
      </c>
      <c r="H671" s="45">
        <v>1031.8099038821999</v>
      </c>
      <c r="I671" s="45">
        <f t="shared" si="130"/>
        <v>7.3540880278001168</v>
      </c>
      <c r="J671" s="238">
        <f t="shared" si="132"/>
        <v>0.10791736108509503</v>
      </c>
      <c r="K671" s="238">
        <f t="shared" si="131"/>
        <v>5.523313198790919E-2</v>
      </c>
      <c r="L671" s="218"/>
    </row>
    <row r="672" spans="3:28" s="36" customFormat="1">
      <c r="C672" s="61"/>
      <c r="D672" s="45" t="str">
        <f>IF(Indice_index!$Z$1=1,"julho","July")</f>
        <v>July</v>
      </c>
      <c r="E672" s="45">
        <f t="shared" si="128"/>
        <v>1202.8629568800002</v>
      </c>
      <c r="F672" s="45">
        <v>1323.8051964599999</v>
      </c>
      <c r="G672" s="45">
        <f t="shared" si="129"/>
        <v>1174.8080392899999</v>
      </c>
      <c r="H672" s="45">
        <v>1475.3540594021999</v>
      </c>
      <c r="I672" s="45">
        <f t="shared" si="130"/>
        <v>-151.5488629422</v>
      </c>
      <c r="J672" s="238">
        <f t="shared" si="132"/>
        <v>0.10054531888961077</v>
      </c>
      <c r="K672" s="238">
        <f t="shared" si="131"/>
        <v>0.25582564134804209</v>
      </c>
      <c r="L672" s="218"/>
      <c r="M672" s="40"/>
      <c r="Z672" s="54"/>
      <c r="AA672" s="54"/>
      <c r="AB672" s="54"/>
    </row>
    <row r="673" spans="3:28" s="36" customFormat="1">
      <c r="C673" s="61"/>
      <c r="D673" s="45" t="str">
        <f>IF(Indice_index!$Z$1=1,"agosto","August")</f>
        <v>August</v>
      </c>
      <c r="E673" s="45">
        <f t="shared" si="128"/>
        <v>1349.29172793</v>
      </c>
      <c r="F673" s="45">
        <v>1495.6110903271428</v>
      </c>
      <c r="G673" s="45">
        <f t="shared" si="129"/>
        <v>1345.6162120199999</v>
      </c>
      <c r="H673" s="45">
        <v>1970.534552980057</v>
      </c>
      <c r="I673" s="45">
        <f t="shared" si="130"/>
        <v>-474.92346265291417</v>
      </c>
      <c r="J673" s="238">
        <f t="shared" si="132"/>
        <v>0.1084416063393622</v>
      </c>
      <c r="K673" s="238">
        <f t="shared" si="131"/>
        <v>0.46441053205055238</v>
      </c>
      <c r="L673" s="218"/>
      <c r="M673" s="40"/>
      <c r="Z673" s="54"/>
      <c r="AA673" s="54"/>
      <c r="AB673" s="54"/>
    </row>
    <row r="674" spans="3:28">
      <c r="C674" s="61"/>
      <c r="D674" s="45" t="str">
        <f>IF(Indice_index!$Z$1=1,"setembro","September")</f>
        <v>September</v>
      </c>
      <c r="E674" s="45">
        <f t="shared" si="128"/>
        <v>1511.7252416800004</v>
      </c>
      <c r="F674" s="45">
        <v>1741.6779729492855</v>
      </c>
      <c r="G674" s="45">
        <f t="shared" si="129"/>
        <v>1530.2268385100001</v>
      </c>
      <c r="H674" s="45">
        <v>2464.1983339960393</v>
      </c>
      <c r="I674" s="45">
        <f t="shared" si="130"/>
        <v>-722.52036104675381</v>
      </c>
      <c r="J674" s="238">
        <f t="shared" si="132"/>
        <v>0.15211278142960394</v>
      </c>
      <c r="K674" s="238">
        <f t="shared" si="131"/>
        <v>0.61034839540225172</v>
      </c>
      <c r="L674" s="218"/>
    </row>
    <row r="675" spans="3:28">
      <c r="C675" s="61"/>
      <c r="D675" s="45" t="str">
        <f>IF(Indice_index!$Z$1=1,"outubro","October")</f>
        <v>October</v>
      </c>
      <c r="E675" s="45">
        <f t="shared" si="128"/>
        <v>1727.8899235699998</v>
      </c>
      <c r="F675" s="45">
        <v>2020.076577461429</v>
      </c>
      <c r="G675" s="45">
        <f t="shared" si="129"/>
        <v>1688.076909209</v>
      </c>
      <c r="H675" s="45">
        <v>2733.5781328430003</v>
      </c>
      <c r="I675" s="45">
        <f t="shared" si="130"/>
        <v>-713.50155538157128</v>
      </c>
      <c r="J675" s="238">
        <f t="shared" si="132"/>
        <v>0.16910027074394948</v>
      </c>
      <c r="K675" s="238">
        <f t="shared" si="131"/>
        <v>0.61934454403733408</v>
      </c>
      <c r="L675" s="218"/>
    </row>
    <row r="676" spans="3:28">
      <c r="C676" s="61"/>
      <c r="D676" s="45" t="str">
        <f>IF(Indice_index!$Z$1=1,"novembro","November")</f>
        <v>November</v>
      </c>
      <c r="E676" s="45">
        <f t="shared" si="128"/>
        <v>1887.2796723699998</v>
      </c>
      <c r="F676" s="45">
        <v>2165.4120710999996</v>
      </c>
      <c r="G676" s="45">
        <f t="shared" si="129"/>
        <v>1893.74773157</v>
      </c>
      <c r="H676" s="45">
        <v>2925.3426519300001</v>
      </c>
      <c r="I676" s="45">
        <f t="shared" si="130"/>
        <v>-759.93058083000051</v>
      </c>
      <c r="J676" s="238">
        <f t="shared" si="132"/>
        <v>0.14737211596240415</v>
      </c>
      <c r="K676" s="238">
        <f t="shared" si="131"/>
        <v>0.54473724412319824</v>
      </c>
    </row>
    <row r="677" spans="3:28">
      <c r="C677" s="61"/>
      <c r="D677" s="45" t="str">
        <f>IF(Indice_index!$Z$1=1,"dezembro","December")</f>
        <v>December</v>
      </c>
      <c r="E677" s="45">
        <f t="shared" si="128"/>
        <v>2114.3150470609999</v>
      </c>
      <c r="F677" s="45">
        <v>2443.85039719</v>
      </c>
      <c r="G677" s="45">
        <f t="shared" si="129"/>
        <v>2126.614456668</v>
      </c>
      <c r="H677" s="45">
        <v>3275.15017218</v>
      </c>
      <c r="I677" s="45">
        <f t="shared" si="130"/>
        <v>-831.29977499000006</v>
      </c>
      <c r="J677" s="238">
        <f t="shared" si="132"/>
        <v>0.15585915192112462</v>
      </c>
      <c r="K677" s="238">
        <f t="shared" si="131"/>
        <v>0.54007707504797875</v>
      </c>
    </row>
    <row r="678" spans="3:28">
      <c r="C678" s="44"/>
      <c r="D678" s="44"/>
      <c r="E678" s="24"/>
      <c r="F678" s="24"/>
      <c r="G678" s="24"/>
      <c r="H678" s="24"/>
      <c r="I678" s="24"/>
      <c r="J678" s="64"/>
      <c r="K678" s="64"/>
    </row>
    <row r="679" spans="3:28">
      <c r="C679" s="32" t="s">
        <v>16</v>
      </c>
      <c r="D679" s="45" t="str">
        <f>IF(Indice_index!$Z$1=1,"janeiro","January")</f>
        <v>January</v>
      </c>
      <c r="E679" s="45">
        <f t="shared" ref="E679:E690" si="133">+F653</f>
        <v>170.63730784000001</v>
      </c>
      <c r="F679" s="45">
        <v>190.61608264</v>
      </c>
      <c r="G679" s="45">
        <f t="shared" ref="G679:G690" si="134">+H653</f>
        <v>109.34458078000002</v>
      </c>
      <c r="H679" s="45">
        <v>177.50065404999998</v>
      </c>
      <c r="I679" s="45">
        <f t="shared" ref="I679:I688" si="135">+F679-H679</f>
        <v>13.115428590000022</v>
      </c>
      <c r="J679" s="221">
        <f>IF(E679=0,"-",(F679-E679)/E679)</f>
        <v>0.1170832747709154</v>
      </c>
      <c r="K679" s="221">
        <f t="shared" ref="K679:K688" si="136">IF(G679=0,"-",(H679-G679)/G679)</f>
        <v>0.62331459669802169</v>
      </c>
    </row>
    <row r="680" spans="3:28">
      <c r="C680" s="61"/>
      <c r="D680" s="44" t="str">
        <f>IF(Indice_index!$Z$1=1,"fevereiro","February")</f>
        <v>February</v>
      </c>
      <c r="E680" s="45">
        <f t="shared" si="133"/>
        <v>283.80430794999995</v>
      </c>
      <c r="F680" s="44">
        <v>324.05520869999998</v>
      </c>
      <c r="G680" s="45">
        <f t="shared" si="134"/>
        <v>246.28852852</v>
      </c>
      <c r="H680" s="44">
        <v>401.98174686999994</v>
      </c>
      <c r="I680" s="44">
        <f t="shared" si="135"/>
        <v>-77.926538169999958</v>
      </c>
      <c r="J680" s="46">
        <f>IF(E680=0,"-",(F680-E680)/E680)</f>
        <v>0.14182625006908403</v>
      </c>
      <c r="K680" s="46">
        <f t="shared" si="136"/>
        <v>0.63215781622308398</v>
      </c>
    </row>
    <row r="681" spans="3:28">
      <c r="C681" s="61"/>
      <c r="D681" s="45" t="str">
        <f>IF(Indice_index!$Z$1=1,"março","March")</f>
        <v>March</v>
      </c>
      <c r="E681" s="45">
        <f t="shared" si="133"/>
        <v>424.29008503400001</v>
      </c>
      <c r="F681" s="44">
        <v>473.54162635</v>
      </c>
      <c r="G681" s="45">
        <f t="shared" si="134"/>
        <v>405.62273517200003</v>
      </c>
      <c r="H681" s="44">
        <v>598.04386303000001</v>
      </c>
      <c r="I681" s="44">
        <f t="shared" si="135"/>
        <v>-124.50223668000001</v>
      </c>
      <c r="J681" s="46">
        <f>IF(E681=0,"-",(F681-E681)/E681)</f>
        <v>0.11607987802037201</v>
      </c>
      <c r="K681" s="238">
        <f t="shared" si="136"/>
        <v>0.47438447397778588</v>
      </c>
    </row>
    <row r="682" spans="3:28">
      <c r="C682" s="61"/>
      <c r="D682" s="45" t="str">
        <f>IF(Indice_index!$Z$1=1,"abril","April")</f>
        <v>April</v>
      </c>
      <c r="E682" s="45">
        <f t="shared" si="133"/>
        <v>624.5239502899999</v>
      </c>
      <c r="F682" s="45">
        <v>699.78103232000012</v>
      </c>
      <c r="G682" s="45">
        <f t="shared" si="134"/>
        <v>547.07775532000005</v>
      </c>
      <c r="H682" s="45">
        <v>810.19797158000006</v>
      </c>
      <c r="I682" s="45">
        <f t="shared" si="135"/>
        <v>-110.41693925999994</v>
      </c>
      <c r="J682" s="238">
        <f>IF(E682=0,"-",(F682-E682)/E682)</f>
        <v>0.12050311600548598</v>
      </c>
      <c r="K682" s="238">
        <f t="shared" si="136"/>
        <v>0.48095579412855882</v>
      </c>
    </row>
    <row r="683" spans="3:28">
      <c r="C683" s="61"/>
      <c r="D683" s="45" t="str">
        <f>IF(Indice_index!$Z$1=1,"maio","May")</f>
        <v>May</v>
      </c>
      <c r="E683" s="45">
        <f t="shared" si="133"/>
        <v>787.33934606999992</v>
      </c>
      <c r="F683" s="45">
        <v>867.24499109999988</v>
      </c>
      <c r="G683" s="45">
        <f t="shared" si="134"/>
        <v>790.04555604928009</v>
      </c>
      <c r="H683" s="45">
        <v>1015.689553653</v>
      </c>
      <c r="I683" s="45">
        <f t="shared" si="135"/>
        <v>-148.44456255300008</v>
      </c>
      <c r="J683" s="238">
        <f t="shared" ref="J683:J688" si="137">IF(E683=0,"-",(F683-E683)/E683)</f>
        <v>0.10148818984958462</v>
      </c>
      <c r="K683" s="238">
        <f t="shared" si="136"/>
        <v>0.28560884353565685</v>
      </c>
    </row>
    <row r="684" spans="3:28">
      <c r="C684" s="61"/>
      <c r="D684" s="45" t="str">
        <f>IF(Indice_index!$Z$1=1,"junho","June")</f>
        <v>June</v>
      </c>
      <c r="E684" s="45">
        <f t="shared" si="133"/>
        <v>896.05908821600019</v>
      </c>
      <c r="F684" s="45">
        <v>1057.9974155699999</v>
      </c>
      <c r="G684" s="45">
        <f t="shared" si="134"/>
        <v>984.15009819828015</v>
      </c>
      <c r="H684" s="45">
        <v>1349.8675238599999</v>
      </c>
      <c r="I684" s="45">
        <f t="shared" si="135"/>
        <v>-291.87010828999996</v>
      </c>
      <c r="J684" s="238">
        <f t="shared" si="137"/>
        <v>0.18072282228218814</v>
      </c>
      <c r="K684" s="238">
        <f t="shared" si="136"/>
        <v>0.37160736592035309</v>
      </c>
    </row>
    <row r="685" spans="3:28" s="36" customFormat="1">
      <c r="C685" s="61"/>
      <c r="D685" s="45" t="str">
        <f>IF(Indice_index!$Z$1=1,"julho","July")</f>
        <v>July</v>
      </c>
      <c r="E685" s="45">
        <f t="shared" si="133"/>
        <v>1103.9628995009998</v>
      </c>
      <c r="F685" s="45">
        <v>1301.4708412699999</v>
      </c>
      <c r="G685" s="45">
        <f t="shared" si="134"/>
        <v>1166.8922219092801</v>
      </c>
      <c r="H685" s="45">
        <v>1602.7206620700001</v>
      </c>
      <c r="I685" s="45">
        <f t="shared" si="135"/>
        <v>-301.24982080000018</v>
      </c>
      <c r="J685" s="238">
        <f t="shared" si="137"/>
        <v>0.17890813346922738</v>
      </c>
      <c r="K685" s="238">
        <f t="shared" si="136"/>
        <v>0.37349502548539859</v>
      </c>
      <c r="L685" s="236"/>
      <c r="M685" s="40"/>
      <c r="Z685" s="54"/>
      <c r="AA685" s="54"/>
      <c r="AB685" s="54"/>
    </row>
    <row r="686" spans="3:28" s="36" customFormat="1">
      <c r="C686" s="61"/>
      <c r="D686" s="45" t="str">
        <f>IF(Indice_index!$Z$1=1,"agosto","August")</f>
        <v>August</v>
      </c>
      <c r="E686" s="45">
        <f t="shared" si="133"/>
        <v>1258.358552231</v>
      </c>
      <c r="F686" s="45">
        <v>1462.7718276199998</v>
      </c>
      <c r="G686" s="45">
        <f t="shared" si="134"/>
        <v>1340.22957217928</v>
      </c>
      <c r="H686" s="45">
        <v>1800.22627685</v>
      </c>
      <c r="I686" s="45">
        <f t="shared" si="135"/>
        <v>-337.45444923000014</v>
      </c>
      <c r="J686" s="238">
        <f t="shared" si="137"/>
        <v>0.1624443804403653</v>
      </c>
      <c r="K686" s="238">
        <f t="shared" si="136"/>
        <v>0.34322232117497781</v>
      </c>
      <c r="L686" s="236"/>
      <c r="M686" s="40"/>
      <c r="Z686" s="54"/>
      <c r="AA686" s="54"/>
      <c r="AB686" s="54"/>
    </row>
    <row r="687" spans="3:28">
      <c r="C687" s="61"/>
      <c r="D687" s="45" t="str">
        <f>IF(Indice_index!$Z$1=1,"setembro","September")</f>
        <v>September</v>
      </c>
      <c r="E687" s="45">
        <f t="shared" si="133"/>
        <v>1402.4486985849999</v>
      </c>
      <c r="F687" s="45">
        <v>1641.8507912700002</v>
      </c>
      <c r="G687" s="45">
        <f t="shared" si="134"/>
        <v>1473.6326213392799</v>
      </c>
      <c r="H687" s="45">
        <v>1977.69097403</v>
      </c>
      <c r="I687" s="45">
        <f t="shared" si="135"/>
        <v>-335.84018275999983</v>
      </c>
      <c r="J687" s="238">
        <f t="shared" si="137"/>
        <v>0.1707029233415418</v>
      </c>
      <c r="K687" s="238">
        <f t="shared" si="136"/>
        <v>0.34205157065036829</v>
      </c>
    </row>
    <row r="688" spans="3:28">
      <c r="C688" s="61"/>
      <c r="D688" s="45" t="str">
        <f>IF(Indice_index!$Z$1=1,"outubro","October")</f>
        <v>October</v>
      </c>
      <c r="E688" s="45">
        <f t="shared" si="133"/>
        <v>1612.4989800399999</v>
      </c>
      <c r="F688" s="45">
        <v>1914.59414702</v>
      </c>
      <c r="G688" s="45">
        <f t="shared" si="134"/>
        <v>1669.7227434962804</v>
      </c>
      <c r="H688" s="45">
        <v>2214.0541299199995</v>
      </c>
      <c r="I688" s="45">
        <f t="shared" si="135"/>
        <v>-299.45998289999943</v>
      </c>
      <c r="J688" s="238">
        <f t="shared" si="137"/>
        <v>0.18734595849016061</v>
      </c>
      <c r="K688" s="238">
        <f t="shared" si="136"/>
        <v>0.32600106128034645</v>
      </c>
    </row>
    <row r="689" spans="3:28">
      <c r="C689" s="61"/>
      <c r="D689" s="45" t="str">
        <f>IF(Indice_index!$Z$1=1,"novembro","November")</f>
        <v>November</v>
      </c>
      <c r="E689" s="45">
        <f t="shared" si="133"/>
        <v>1735.6602100200002</v>
      </c>
      <c r="F689" s="45">
        <v>2062.20404186</v>
      </c>
      <c r="G689" s="45">
        <f t="shared" si="134"/>
        <v>1809.5706698362803</v>
      </c>
      <c r="H689" s="45">
        <v>2360.4135830099999</v>
      </c>
      <c r="I689" s="45">
        <f>+F689-H689</f>
        <v>-298.20954114999995</v>
      </c>
      <c r="J689" s="238">
        <f>IF(E689=0,"-",(F689-E689)/E689)</f>
        <v>0.18813811018703766</v>
      </c>
      <c r="K689" s="238">
        <f>IF(G689=0,"-",(H689-G689)/G689)</f>
        <v>0.30440530583066794</v>
      </c>
    </row>
    <row r="690" spans="3:28">
      <c r="C690" s="61"/>
      <c r="D690" s="45" t="str">
        <f>IF(Indice_index!$Z$1=1,"dezembro","December")</f>
        <v>December</v>
      </c>
      <c r="E690" s="45">
        <f t="shared" si="133"/>
        <v>2015.10184009</v>
      </c>
      <c r="F690" s="45">
        <v>2319.4852664649998</v>
      </c>
      <c r="G690" s="45">
        <f t="shared" si="134"/>
        <v>2281.1599457924804</v>
      </c>
      <c r="H690" s="45">
        <v>2738.9812138449997</v>
      </c>
      <c r="I690" s="45">
        <f>+F690-H690</f>
        <v>-419.49594737999996</v>
      </c>
      <c r="J690" s="238">
        <f>IF(E690=0,"-",(F690-E690)/E690)</f>
        <v>0.15105113812084314</v>
      </c>
      <c r="K690" s="238">
        <f>IF(G690=0,"-",(H690-G690)/G690)</f>
        <v>0.20069669770283083</v>
      </c>
    </row>
    <row r="691" spans="3:28">
      <c r="C691" s="44"/>
      <c r="D691" s="44"/>
      <c r="E691" s="24"/>
      <c r="F691" s="24"/>
      <c r="G691" s="24"/>
      <c r="H691" s="24"/>
      <c r="I691" s="24"/>
      <c r="J691" s="64"/>
      <c r="K691" s="64"/>
    </row>
    <row r="692" spans="3:28">
      <c r="C692" s="32" t="s">
        <v>23</v>
      </c>
      <c r="D692" s="45" t="str">
        <f>IF(Indice_index!$Z$1=1,"janeiro","January")</f>
        <v>January</v>
      </c>
      <c r="E692" s="45">
        <v>190.61608264</v>
      </c>
      <c r="F692" s="45">
        <v>201.71894329000003</v>
      </c>
      <c r="G692" s="45">
        <v>177.50065404999998</v>
      </c>
      <c r="H692" s="45">
        <v>169.01888812424221</v>
      </c>
      <c r="I692" s="45">
        <f>IF(F692=0,"",+F692-H692)</f>
        <v>32.700055165757817</v>
      </c>
      <c r="J692" s="238">
        <f>IF(E692=0,"",(F692-E692)/E692)</f>
        <v>5.8247239667436827E-2</v>
      </c>
      <c r="K692" s="238">
        <f>IF(G692=0,"",(H692-G692)/G692)</f>
        <v>-4.7784420689337574E-2</v>
      </c>
    </row>
    <row r="693" spans="3:28">
      <c r="C693" s="61"/>
      <c r="D693" s="44" t="str">
        <f>IF(Indice_index!$Z$1=1,"fevereiro","February")</f>
        <v>February</v>
      </c>
      <c r="E693" s="45">
        <v>324.05520869999998</v>
      </c>
      <c r="F693" s="44">
        <v>333.43215461</v>
      </c>
      <c r="G693" s="45">
        <v>401.98174686999994</v>
      </c>
      <c r="H693" s="44">
        <v>376.8035631942422</v>
      </c>
      <c r="I693" s="44">
        <f t="shared" ref="I693:I703" si="138">IF(F693=0,"",+F693-H693)</f>
        <v>-43.371408584242204</v>
      </c>
      <c r="J693" s="46">
        <f t="shared" ref="J693:J703" si="139">IF(E693=0,"",(F693-E693)/E693)</f>
        <v>2.8936260421849588E-2</v>
      </c>
      <c r="K693" s="46">
        <f t="shared" ref="K693:K703" si="140">IF(G693=0,"",(H693-G693)/G693)</f>
        <v>-6.2635141699357577E-2</v>
      </c>
    </row>
    <row r="694" spans="3:28">
      <c r="C694" s="61"/>
      <c r="D694" s="45" t="str">
        <f>IF(Indice_index!$Z$1=1,"março","March")</f>
        <v>March</v>
      </c>
      <c r="E694" s="45">
        <v>473.54162635</v>
      </c>
      <c r="F694" s="44">
        <v>477.26876906000001</v>
      </c>
      <c r="G694" s="45">
        <v>598.04386303000001</v>
      </c>
      <c r="H694" s="44">
        <v>547.56103191</v>
      </c>
      <c r="I694" s="44">
        <f t="shared" si="138"/>
        <v>-70.292262849999986</v>
      </c>
      <c r="J694" s="46">
        <f t="shared" si="139"/>
        <v>7.8707815799180375E-3</v>
      </c>
      <c r="K694" s="238">
        <f t="shared" si="140"/>
        <v>-8.4413258359057206E-2</v>
      </c>
    </row>
    <row r="695" spans="3:28">
      <c r="C695" s="61"/>
      <c r="D695" s="45" t="str">
        <f>IF(Indice_index!$Z$1=1,"abril","April")</f>
        <v>April</v>
      </c>
      <c r="E695" s="45">
        <v>699.78103232000001</v>
      </c>
      <c r="F695" s="45">
        <v>711.92032660000007</v>
      </c>
      <c r="G695" s="45">
        <v>810.19797158000006</v>
      </c>
      <c r="H695" s="45">
        <v>754.90530286299986</v>
      </c>
      <c r="I695" s="45">
        <f t="shared" si="138"/>
        <v>-42.984976262999794</v>
      </c>
      <c r="J695" s="238">
        <f t="shared" si="139"/>
        <v>1.734727538949488E-2</v>
      </c>
      <c r="K695" s="238">
        <f t="shared" si="140"/>
        <v>-6.8245874041342899E-2</v>
      </c>
    </row>
    <row r="696" spans="3:28">
      <c r="C696" s="61"/>
      <c r="D696" s="45" t="str">
        <f>IF(Indice_index!$Z$1=1,"maio","May")</f>
        <v>May</v>
      </c>
      <c r="E696" s="45">
        <f>F670</f>
        <v>845.0166811900001</v>
      </c>
      <c r="F696" s="45">
        <v>842.81756242999995</v>
      </c>
      <c r="G696" s="45">
        <f>H670</f>
        <v>862.72800840219998</v>
      </c>
      <c r="H696" s="45">
        <v>922.68003921616264</v>
      </c>
      <c r="I696" s="45">
        <f t="shared" si="138"/>
        <v>-79.862476786162688</v>
      </c>
      <c r="J696" s="238">
        <f t="shared" si="139"/>
        <v>-2.602456033061056E-3</v>
      </c>
      <c r="K696" s="238">
        <f t="shared" si="140"/>
        <v>6.949123041107215E-2</v>
      </c>
    </row>
    <row r="697" spans="3:28">
      <c r="C697" s="61"/>
      <c r="D697" s="45" t="str">
        <f>IF(Indice_index!$Z$1=1,"junho","June")</f>
        <v>June</v>
      </c>
      <c r="E697" s="45">
        <f>F671</f>
        <v>1039.16399191</v>
      </c>
      <c r="F697" s="45">
        <v>1025.3113234800001</v>
      </c>
      <c r="G697" s="45">
        <f>H671</f>
        <v>1031.8099038821999</v>
      </c>
      <c r="H697" s="45">
        <v>1157.4606089057627</v>
      </c>
      <c r="I697" s="45">
        <f t="shared" si="138"/>
        <v>-132.14928542576263</v>
      </c>
      <c r="J697" s="238">
        <f t="shared" si="139"/>
        <v>-1.3330589337048301E-2</v>
      </c>
      <c r="K697" s="238">
        <f t="shared" si="140"/>
        <v>0.1217769906557401</v>
      </c>
    </row>
    <row r="698" spans="3:28" s="36" customFormat="1">
      <c r="C698" s="61"/>
      <c r="D698" s="45" t="str">
        <f>IF(Indice_index!$Z$1=1,"julho","July")</f>
        <v>July</v>
      </c>
      <c r="E698" s="45">
        <v>1301.4708412700002</v>
      </c>
      <c r="F698" s="45">
        <v>1301.5006470933333</v>
      </c>
      <c r="G698" s="45">
        <v>1602.7206620700003</v>
      </c>
      <c r="H698" s="45">
        <v>1406.4336341674293</v>
      </c>
      <c r="I698" s="45">
        <f t="shared" si="138"/>
        <v>-104.93298707409599</v>
      </c>
      <c r="J698" s="238">
        <f t="shared" si="139"/>
        <v>2.2901645114137148E-5</v>
      </c>
      <c r="K698" s="238">
        <f t="shared" si="140"/>
        <v>-0.12247114082191699</v>
      </c>
      <c r="L698" s="236"/>
      <c r="M698" s="40"/>
      <c r="Z698" s="54"/>
      <c r="AA698" s="54"/>
      <c r="AB698" s="54"/>
    </row>
    <row r="699" spans="3:28" s="36" customFormat="1">
      <c r="C699" s="61"/>
      <c r="D699" s="45" t="str">
        <f>IF(Indice_index!$Z$1=1,"agosto","August")</f>
        <v>August</v>
      </c>
      <c r="E699" s="45">
        <v>1462.7718276199998</v>
      </c>
      <c r="F699" s="45">
        <v>1501.5914157199998</v>
      </c>
      <c r="G699" s="45">
        <v>1800.22627685</v>
      </c>
      <c r="H699" s="45">
        <v>1679.8971836467626</v>
      </c>
      <c r="I699" s="45">
        <f t="shared" si="138"/>
        <v>-178.30576792676288</v>
      </c>
      <c r="J699" s="238">
        <f t="shared" si="139"/>
        <v>2.6538375546349739E-2</v>
      </c>
      <c r="K699" s="238">
        <f t="shared" si="140"/>
        <v>-6.6841093672839164E-2</v>
      </c>
      <c r="L699" s="236"/>
      <c r="M699" s="40"/>
      <c r="Z699" s="54"/>
      <c r="AA699" s="54"/>
      <c r="AB699" s="54"/>
    </row>
    <row r="700" spans="3:28">
      <c r="C700" s="61"/>
      <c r="D700" s="45" t="str">
        <f>IF(Indice_index!$Z$1=1,"setembro","September")</f>
        <v>September</v>
      </c>
      <c r="E700" s="45">
        <f>+F674</f>
        <v>1741.6779729492855</v>
      </c>
      <c r="F700" s="45">
        <v>1662.6947605750001</v>
      </c>
      <c r="G700" s="45">
        <f>+H674</f>
        <v>2464.1983339960393</v>
      </c>
      <c r="H700" s="45">
        <v>1849.2947170357627</v>
      </c>
      <c r="I700" s="45">
        <f t="shared" si="138"/>
        <v>-186.59995646076254</v>
      </c>
      <c r="J700" s="238">
        <f t="shared" si="139"/>
        <v>-4.5348918457376167E-2</v>
      </c>
      <c r="K700" s="238">
        <f t="shared" si="140"/>
        <v>-0.24953495361029854</v>
      </c>
    </row>
    <row r="701" spans="3:28">
      <c r="C701" s="61"/>
      <c r="D701" s="45" t="str">
        <f>IF(Indice_index!$Z$1=1,"outubro","October")</f>
        <v>October</v>
      </c>
      <c r="E701" s="45">
        <f>+F675</f>
        <v>2020.076577461429</v>
      </c>
      <c r="F701" s="45">
        <v>1986.4984378199999</v>
      </c>
      <c r="G701" s="45">
        <f>+H675</f>
        <v>2733.5781328430003</v>
      </c>
      <c r="H701" s="45">
        <v>2121.5369638957627</v>
      </c>
      <c r="I701" s="45">
        <f t="shared" si="138"/>
        <v>-135.03852607576277</v>
      </c>
      <c r="J701" s="238">
        <f t="shared" si="139"/>
        <v>-1.6622211264696572E-2</v>
      </c>
      <c r="K701" s="238">
        <f t="shared" si="140"/>
        <v>-0.22389744840060491</v>
      </c>
    </row>
    <row r="702" spans="3:28">
      <c r="C702" s="61"/>
      <c r="D702" s="45" t="str">
        <f>IF(Indice_index!$Z$1=1,"novembro","November")</f>
        <v>November</v>
      </c>
      <c r="E702" s="354">
        <v>2062.20404186</v>
      </c>
      <c r="F702" s="45">
        <v>2152.7763783829996</v>
      </c>
      <c r="G702" s="45">
        <v>2360.4135830099999</v>
      </c>
      <c r="H702" s="45">
        <v>2293.9735200457631</v>
      </c>
      <c r="I702" s="45">
        <f t="shared" si="138"/>
        <v>-141.19714166276344</v>
      </c>
      <c r="J702" s="238">
        <f t="shared" si="139"/>
        <v>4.3920162449739043E-2</v>
      </c>
      <c r="K702" s="238">
        <f t="shared" si="140"/>
        <v>-2.814763626275717E-2</v>
      </c>
    </row>
    <row r="703" spans="3:28">
      <c r="C703" s="61"/>
      <c r="D703" s="45" t="str">
        <f>IF(Indice_index!$Z$1=1,"dezembro","December")</f>
        <v>December</v>
      </c>
      <c r="E703" s="354">
        <v>2319.4852664649998</v>
      </c>
      <c r="F703" s="45">
        <v>2456.0435232230002</v>
      </c>
      <c r="G703" s="45">
        <v>2738.9812138450002</v>
      </c>
      <c r="H703" s="45">
        <v>2649.5399954147624</v>
      </c>
      <c r="I703" s="45">
        <f t="shared" si="138"/>
        <v>-193.49647219176222</v>
      </c>
      <c r="J703" s="238">
        <f t="shared" si="139"/>
        <v>5.8874379903314226E-2</v>
      </c>
      <c r="K703" s="238">
        <f t="shared" si="140"/>
        <v>-3.2654922194475217E-2</v>
      </c>
    </row>
    <row r="704" spans="3:28">
      <c r="C704" s="44"/>
      <c r="D704" s="44"/>
      <c r="E704" s="24"/>
      <c r="F704" s="24"/>
      <c r="G704" s="24"/>
      <c r="H704" s="24"/>
      <c r="I704" s="24"/>
      <c r="J704" s="64"/>
      <c r="K704" s="64"/>
    </row>
    <row r="705" spans="3:28">
      <c r="C705" s="32" t="s">
        <v>117</v>
      </c>
      <c r="D705" s="45" t="str">
        <f>IF(Indice_index!$Z$1=1,"janeiro","January")</f>
        <v>January</v>
      </c>
      <c r="E705" s="45">
        <v>201.7</v>
      </c>
      <c r="F705" s="45">
        <v>174.4</v>
      </c>
      <c r="G705" s="45">
        <v>169</v>
      </c>
      <c r="H705" s="45">
        <v>147.80000000000001</v>
      </c>
      <c r="I705" s="45">
        <f>IF(F705=0,"",+F705-H705)</f>
        <v>26.599999999999994</v>
      </c>
      <c r="J705" s="238">
        <f>IF(E705=0,"",(F705-E705)/E705)</f>
        <v>-0.13534952900347041</v>
      </c>
      <c r="K705" s="238">
        <f>IF(G705=0,"",(H705-G705)/G705)</f>
        <v>-0.12544378698224845</v>
      </c>
    </row>
    <row r="706" spans="3:28">
      <c r="C706" s="61"/>
      <c r="D706" s="44" t="str">
        <f>IF(Indice_index!$Z$1=1,"fevereiro","February")</f>
        <v>February</v>
      </c>
      <c r="E706" s="45">
        <v>333.43215461</v>
      </c>
      <c r="F706" s="44">
        <v>345.04842360999999</v>
      </c>
      <c r="G706" s="45">
        <v>376.8035631942422</v>
      </c>
      <c r="H706" s="44">
        <v>357.78533023</v>
      </c>
      <c r="I706" s="44">
        <f t="shared" ref="I706:I713" si="141">IF(F706=0,"",+F706-H706)</f>
        <v>-12.736906620000013</v>
      </c>
      <c r="J706" s="46">
        <f t="shared" ref="J706:J713" si="142">IF(E706=0,"",(F706-E706)/E706)</f>
        <v>3.4838478651187658E-2</v>
      </c>
      <c r="K706" s="46">
        <f t="shared" ref="K706:K713" si="143">IF(G706=0,"",(H706-G706)/G706)</f>
        <v>-5.047254012945282E-2</v>
      </c>
    </row>
    <row r="707" spans="3:28">
      <c r="C707" s="61"/>
      <c r="D707" s="45" t="str">
        <f>IF(Indice_index!$Z$1=1,"março","March")</f>
        <v>March</v>
      </c>
      <c r="E707" s="45">
        <v>477.26876906000001</v>
      </c>
      <c r="F707" s="44">
        <v>486.26183832000004</v>
      </c>
      <c r="G707" s="45">
        <v>547.56103191</v>
      </c>
      <c r="H707" s="44">
        <v>511.45425555999998</v>
      </c>
      <c r="I707" s="44">
        <f t="shared" si="141"/>
        <v>-25.192417239999941</v>
      </c>
      <c r="J707" s="46">
        <f t="shared" si="142"/>
        <v>1.8842777577322393E-2</v>
      </c>
      <c r="K707" s="238">
        <f t="shared" si="143"/>
        <v>-6.5941099248886498E-2</v>
      </c>
    </row>
    <row r="708" spans="3:28">
      <c r="C708" s="61"/>
      <c r="D708" s="45" t="str">
        <f>IF(Indice_index!$Z$1=1,"abril","April")</f>
        <v>April</v>
      </c>
      <c r="E708" s="45">
        <v>711.92032659999995</v>
      </c>
      <c r="F708" s="45">
        <v>780.36983370000007</v>
      </c>
      <c r="G708" s="45">
        <v>754.90530286299997</v>
      </c>
      <c r="H708" s="45">
        <v>750.4460840170002</v>
      </c>
      <c r="I708" s="45">
        <f t="shared" si="141"/>
        <v>29.923749682999869</v>
      </c>
      <c r="J708" s="238">
        <f t="shared" si="142"/>
        <v>9.6147707183614678E-2</v>
      </c>
      <c r="K708" s="238">
        <f t="shared" si="143"/>
        <v>-5.906991021374544E-3</v>
      </c>
    </row>
    <row r="709" spans="3:28">
      <c r="C709" s="61"/>
      <c r="D709" s="45" t="str">
        <f>IF(Indice_index!$Z$1=1,"maio","May")</f>
        <v>May</v>
      </c>
      <c r="E709" s="45">
        <v>842.81756242999995</v>
      </c>
      <c r="F709" s="45">
        <v>928.88113422000015</v>
      </c>
      <c r="G709" s="45">
        <v>922.68003921616264</v>
      </c>
      <c r="H709" s="45">
        <v>945.22834218000003</v>
      </c>
      <c r="I709" s="45">
        <f>IF(F709=0,"",+F709-H709)</f>
        <v>-16.347207959999878</v>
      </c>
      <c r="J709" s="238">
        <f>IF(E709=0,"",(F709-E709)/E709)</f>
        <v>0.10211411772419988</v>
      </c>
      <c r="K709" s="238">
        <f>IF(G709=0,"",(H709-G709)/G709)</f>
        <v>2.4437835441842522E-2</v>
      </c>
    </row>
    <row r="710" spans="3:28">
      <c r="C710" s="61"/>
      <c r="D710" s="45" t="str">
        <f>IF(Indice_index!$Z$1=1,"junho","June")</f>
        <v>June</v>
      </c>
      <c r="E710" s="45">
        <v>1025.3113234799998</v>
      </c>
      <c r="F710" s="45">
        <v>1149.625049645</v>
      </c>
      <c r="G710" s="45">
        <v>1157.4606089057627</v>
      </c>
      <c r="H710" s="45">
        <v>1188.3307627810002</v>
      </c>
      <c r="I710" s="45">
        <f>IF(F710=0,"",+F710-H710)</f>
        <v>-38.705713136000213</v>
      </c>
      <c r="J710" s="238">
        <f>IF(E710=0,"",(F710-E710)/E710)</f>
        <v>0.12124485833538644</v>
      </c>
      <c r="K710" s="238">
        <f>IF(G710=0,"",(H710-G710)/G710)</f>
        <v>2.6670587005480449E-2</v>
      </c>
    </row>
    <row r="711" spans="3:28" s="36" customFormat="1">
      <c r="C711" s="61"/>
      <c r="D711" s="45" t="str">
        <f>IF(Indice_index!$Z$1=1,"julho","July")</f>
        <v>July</v>
      </c>
      <c r="E711" s="45">
        <v>1301.5006470933333</v>
      </c>
      <c r="F711" s="45">
        <v>1420.1029165100001</v>
      </c>
      <c r="G711" s="45">
        <v>1406.4336341674293</v>
      </c>
      <c r="H711" s="45">
        <v>1422.3001176400001</v>
      </c>
      <c r="I711" s="45">
        <f t="shared" si="141"/>
        <v>-2.1972011299999394</v>
      </c>
      <c r="J711" s="238">
        <f>IF(E711=0,"",(F711-E711)/E711)</f>
        <v>9.1127322665219987E-2</v>
      </c>
      <c r="K711" s="238">
        <f>IF(G711=0,"",(H711-G711)/G711)</f>
        <v>1.1281359523205135E-2</v>
      </c>
      <c r="L711" s="236"/>
      <c r="M711" s="40"/>
      <c r="Z711" s="54"/>
      <c r="AA711" s="54"/>
      <c r="AB711" s="54"/>
    </row>
    <row r="712" spans="3:28" s="36" customFormat="1">
      <c r="C712" s="61"/>
      <c r="D712" s="45" t="str">
        <f>IF(Indice_index!$Z$1=1,"agosto","August")</f>
        <v>August</v>
      </c>
      <c r="E712" s="45">
        <v>1501.59141572</v>
      </c>
      <c r="F712" s="45">
        <v>1651.1688251099999</v>
      </c>
      <c r="G712" s="45">
        <v>1679.8971836467626</v>
      </c>
      <c r="H712" s="45">
        <v>1620.8323163709999</v>
      </c>
      <c r="I712" s="45">
        <f>IF(F712=0,"",+F712-H712)</f>
        <v>30.33650873900001</v>
      </c>
      <c r="J712" s="238">
        <f>IF(E712=0,"",(F712-E712)/E712)</f>
        <v>9.9612589566036441E-2</v>
      </c>
      <c r="K712" s="238">
        <f>IF(G712=0,"",(H712-G712)/G712)</f>
        <v>-3.5159810880534499E-2</v>
      </c>
      <c r="L712" s="236"/>
      <c r="M712" s="40"/>
      <c r="Z712" s="54"/>
      <c r="AA712" s="54"/>
      <c r="AB712" s="54"/>
    </row>
    <row r="713" spans="3:28">
      <c r="C713" s="61"/>
      <c r="D713" s="45" t="str">
        <f>IF(Indice_index!$Z$1=1,"setembro","September")</f>
        <v>September</v>
      </c>
      <c r="E713" s="45">
        <v>1662.6947605750001</v>
      </c>
      <c r="F713" s="45">
        <v>1827.2509430699999</v>
      </c>
      <c r="G713" s="45">
        <v>1849.2947170357627</v>
      </c>
      <c r="H713" s="45">
        <v>1803.4417744259999</v>
      </c>
      <c r="I713" s="45">
        <f t="shared" si="141"/>
        <v>23.80916864400001</v>
      </c>
      <c r="J713" s="238">
        <f t="shared" si="142"/>
        <v>9.8969568195483026E-2</v>
      </c>
      <c r="K713" s="238">
        <f t="shared" si="143"/>
        <v>-2.4794827015598951E-2</v>
      </c>
    </row>
    <row r="714" spans="3:28">
      <c r="C714" s="61"/>
      <c r="D714" s="45" t="str">
        <f>IF(Indice_index!$Z$1=1,"outubro","October")</f>
        <v>October</v>
      </c>
      <c r="E714" s="45">
        <v>1986.4984378199999</v>
      </c>
      <c r="F714" s="45">
        <v>2108.1346266099999</v>
      </c>
      <c r="G714" s="45">
        <v>2121.5369638957627</v>
      </c>
      <c r="H714" s="45">
        <v>2061.3107374159999</v>
      </c>
      <c r="I714" s="45">
        <v>46.823889194000003</v>
      </c>
      <c r="J714" s="238">
        <f>IF(E714=0,"",(F714-E714)/E714)</f>
        <v>6.1231454540424696E-2</v>
      </c>
      <c r="K714" s="238">
        <f>IF(G714=0,"",(H714-G714)/G714)</f>
        <v>-2.8388016567559491E-2</v>
      </c>
    </row>
    <row r="715" spans="3:28">
      <c r="C715" s="61"/>
      <c r="D715" s="45" t="str">
        <f>IF(Indice_index!$Z$1=1,"novembro","November")</f>
        <v>November</v>
      </c>
      <c r="E715" s="354">
        <v>2152.7763783829996</v>
      </c>
      <c r="F715" s="354">
        <v>2274.04087153</v>
      </c>
      <c r="G715" s="354">
        <v>2293.9735200457631</v>
      </c>
      <c r="H715" s="354">
        <v>2239.1762241160095</v>
      </c>
      <c r="I715" s="45">
        <v>46.823889194000003</v>
      </c>
      <c r="J715" s="238">
        <f>IF(E715=0,"",(F715-E715)/E715)</f>
        <v>5.6329349562115216E-2</v>
      </c>
      <c r="K715" s="238">
        <f>IF(G715=0,"",(H715-G715)/G715)</f>
        <v>-2.3887501512511088E-2</v>
      </c>
    </row>
    <row r="716" spans="3:28">
      <c r="C716" s="61"/>
      <c r="D716" s="45" t="str">
        <f>IF(Indice_index!$Z$1=1,"dezembro","December")</f>
        <v>December</v>
      </c>
      <c r="E716" s="354">
        <v>2456.4970068730004</v>
      </c>
      <c r="F716" s="45">
        <v>2567.0216820699998</v>
      </c>
      <c r="G716" s="45">
        <v>2649.4207289047627</v>
      </c>
      <c r="H716" s="45">
        <v>2597.6682206020105</v>
      </c>
      <c r="I716" s="45">
        <v>-30.646538532010709</v>
      </c>
      <c r="J716" s="238">
        <v>4.4992798642849503E-2</v>
      </c>
      <c r="K716" s="238">
        <v>-1.9533518303884494E-2</v>
      </c>
    </row>
    <row r="717" spans="3:28">
      <c r="C717" s="61"/>
      <c r="D717" s="45"/>
      <c r="E717" s="354"/>
      <c r="F717" s="45"/>
      <c r="G717" s="45"/>
      <c r="H717" s="45"/>
      <c r="I717" s="45"/>
      <c r="J717" s="238"/>
      <c r="K717" s="238"/>
    </row>
    <row r="718" spans="3:28">
      <c r="C718" s="61" t="s">
        <v>136</v>
      </c>
      <c r="D718" s="45" t="s">
        <v>135</v>
      </c>
      <c r="E718" s="354">
        <v>174.4</v>
      </c>
      <c r="F718" s="45">
        <v>235.99482118</v>
      </c>
      <c r="G718" s="45">
        <v>147.80000000000001</v>
      </c>
      <c r="H718" s="45">
        <v>165.90904788000003</v>
      </c>
      <c r="I718" s="45">
        <v>70.085773299999971</v>
      </c>
      <c r="J718" s="238">
        <v>0.35318131410550457</v>
      </c>
      <c r="K718" s="238">
        <v>0.12252400460081203</v>
      </c>
    </row>
    <row r="719" spans="3:28" s="47" customFormat="1" ht="15.75" customHeight="1">
      <c r="C719" s="85"/>
      <c r="D719" s="85" t="str">
        <f>IF(Indice_index!$Z$1=1,"fevereiro","February")</f>
        <v>February</v>
      </c>
      <c r="E719" s="85">
        <v>345.04842360999999</v>
      </c>
      <c r="F719" s="85">
        <v>373.71839596999996</v>
      </c>
      <c r="G719" s="85">
        <v>357.78533023</v>
      </c>
      <c r="H719" s="85">
        <v>384.62275077100003</v>
      </c>
      <c r="I719" s="85">
        <v>-10.904354801000039</v>
      </c>
      <c r="J719" s="219">
        <v>8.3089706830264967E-2</v>
      </c>
      <c r="K719" s="219">
        <v>7.5009840464246441E-2</v>
      </c>
      <c r="L719"/>
      <c r="M719" s="218"/>
      <c r="O719" s="273"/>
      <c r="P719" s="274"/>
      <c r="Q719" s="273"/>
      <c r="Z719" s="14"/>
      <c r="AA719" s="14"/>
      <c r="AB719" s="14"/>
    </row>
    <row r="720" spans="3:28" s="47" customFormat="1" ht="15.75" customHeight="1">
      <c r="C720" s="85"/>
      <c r="D720" s="85" t="str">
        <f>IF(Indice_index!$Z$1=1,"março","March")</f>
        <v>March</v>
      </c>
      <c r="E720" s="85">
        <v>486.26183832000004</v>
      </c>
      <c r="F720" s="85">
        <v>532.73922825</v>
      </c>
      <c r="G720" s="85">
        <v>511.45425555999998</v>
      </c>
      <c r="H720" s="85">
        <v>587.27541666000002</v>
      </c>
      <c r="I720" s="85">
        <v>-54.536188409999966</v>
      </c>
      <c r="J720" s="219">
        <v>9.5580994162684091E-2</v>
      </c>
      <c r="K720" s="219">
        <v>0.14824622197537912</v>
      </c>
      <c r="L720"/>
      <c r="M720" s="218"/>
      <c r="O720" s="273"/>
      <c r="P720" s="273"/>
      <c r="Q720" s="273"/>
      <c r="Z720" s="14"/>
      <c r="AA720" s="14"/>
      <c r="AB720" s="14"/>
    </row>
    <row r="721" spans="3:28" s="47" customFormat="1" ht="15.75" customHeight="1">
      <c r="C721" s="85"/>
      <c r="D721" s="85" t="str">
        <f>IF(Indice_index!$Z$1=1,"abril","April")</f>
        <v>April</v>
      </c>
      <c r="E721" s="85">
        <v>780.36983370000007</v>
      </c>
      <c r="F721" s="85">
        <v>793.16748026000005</v>
      </c>
      <c r="G721" s="85">
        <v>750.44608401699998</v>
      </c>
      <c r="H721" s="85">
        <v>837.01232522299995</v>
      </c>
      <c r="I721" s="85">
        <v>-43.844844963000014</v>
      </c>
      <c r="J721" s="219">
        <v>1.6399463443277862E-2</v>
      </c>
      <c r="K721" s="219">
        <v>0.11535304540817481</v>
      </c>
      <c r="L721"/>
      <c r="M721" s="218"/>
      <c r="N721"/>
      <c r="O721"/>
      <c r="P721"/>
      <c r="Q721"/>
      <c r="Z721" s="14"/>
      <c r="AA721" s="14"/>
      <c r="AB721" s="14"/>
    </row>
    <row r="722" spans="3:28" s="47" customFormat="1" ht="15.75" customHeight="1">
      <c r="C722" s="85"/>
      <c r="D722" s="85" t="str">
        <f>IF(Indice_index!$Z$1=1,"maio","May")</f>
        <v>May</v>
      </c>
      <c r="E722" s="85">
        <v>928.88113422000015</v>
      </c>
      <c r="F722" s="85">
        <v>949.13091982999993</v>
      </c>
      <c r="G722" s="85">
        <v>945.22834218000003</v>
      </c>
      <c r="H722" s="85">
        <v>1027.36364482</v>
      </c>
      <c r="I722" s="85">
        <v>-78.232724989999895</v>
      </c>
      <c r="J722" s="219">
        <v>2.1800190426952661E-2</v>
      </c>
      <c r="K722" s="219">
        <v>8.6894667642497453E-2</v>
      </c>
      <c r="M722"/>
      <c r="N722"/>
      <c r="O722"/>
      <c r="P722"/>
      <c r="Q722"/>
      <c r="Z722" s="14"/>
      <c r="AA722" s="14"/>
      <c r="AB722" s="14"/>
    </row>
    <row r="723" spans="3:28" s="47" customFormat="1" ht="15.75" customHeight="1">
      <c r="C723" s="85"/>
      <c r="D723" s="40" t="str">
        <f>IF(Indice_index!$Z$1=1,"junho","June")</f>
        <v>June</v>
      </c>
      <c r="E723" s="40">
        <v>1149.625049645</v>
      </c>
      <c r="F723" s="40">
        <v>1156.4613058650002</v>
      </c>
      <c r="G723" s="40">
        <v>1188.3307627810002</v>
      </c>
      <c r="H723" s="40">
        <v>1280.0086821709997</v>
      </c>
      <c r="I723" s="40">
        <v>-123.54737630599993</v>
      </c>
      <c r="J723" s="241">
        <v>5.9465094485469279E-3</v>
      </c>
      <c r="K723" s="241">
        <v>7.7148486146609158E-2</v>
      </c>
      <c r="L723"/>
      <c r="M723"/>
      <c r="N723"/>
      <c r="O723"/>
      <c r="P723"/>
      <c r="Q723"/>
      <c r="Z723" s="14"/>
      <c r="AA723" s="14"/>
      <c r="AB723" s="14"/>
    </row>
    <row r="724" spans="3:28" s="47" customFormat="1" ht="15.75" customHeight="1">
      <c r="C724" s="85"/>
      <c r="D724" s="45" t="str">
        <f>IF(Indice_index!$Z$1=1,"julho","July")</f>
        <v>July</v>
      </c>
      <c r="E724" s="45">
        <v>1420.1029165100001</v>
      </c>
      <c r="F724" s="45">
        <v>1403.17492584</v>
      </c>
      <c r="G724" s="45">
        <v>1422.3001176400001</v>
      </c>
      <c r="H724" s="45">
        <v>1519.9570778480004</v>
      </c>
      <c r="I724" s="45">
        <v>-116.78215200800014</v>
      </c>
      <c r="J724" s="221">
        <v>-1.192025625269596E-2</v>
      </c>
      <c r="K724" s="221">
        <v>6.8661289552616342E-2</v>
      </c>
      <c r="L724"/>
      <c r="M724"/>
      <c r="N724"/>
      <c r="O724"/>
      <c r="P724"/>
      <c r="Q724"/>
      <c r="Z724" s="14"/>
      <c r="AA724" s="14"/>
      <c r="AB724" s="14"/>
    </row>
    <row r="725" spans="3:28" s="47" customFormat="1" ht="15.75" customHeight="1">
      <c r="C725" s="85"/>
      <c r="D725" s="45" t="str">
        <f>IF(Indice_index!$Z$1=1,"agosto","August")</f>
        <v>August</v>
      </c>
      <c r="E725" s="45">
        <v>1651.1688251099999</v>
      </c>
      <c r="F725" s="45">
        <v>1568.0863731100001</v>
      </c>
      <c r="G725" s="45">
        <v>1620.8323163709999</v>
      </c>
      <c r="H725" s="45">
        <v>1719.066488125</v>
      </c>
      <c r="I725" s="45">
        <v>-150.98011501500014</v>
      </c>
      <c r="J725" s="221">
        <v>-5.0317357460079815E-2</v>
      </c>
      <c r="K725" s="221">
        <v>6.060723910906695E-2</v>
      </c>
      <c r="L725"/>
      <c r="M725"/>
      <c r="N725"/>
      <c r="O725"/>
      <c r="P725"/>
      <c r="Q725"/>
      <c r="Z725" s="14"/>
      <c r="AA725" s="14"/>
      <c r="AB725" s="14"/>
    </row>
    <row r="726" spans="3:28" s="47" customFormat="1" ht="15.75" customHeight="1">
      <c r="C726" s="45"/>
      <c r="D726" s="45" t="str">
        <f>IF(Indice_index!$Z$1=1,"setembro","September")</f>
        <v>September</v>
      </c>
      <c r="E726" s="45">
        <v>1827.2509430699999</v>
      </c>
      <c r="F726" s="45">
        <v>1743.1178487699997</v>
      </c>
      <c r="G726" s="45">
        <v>1803.4417744259999</v>
      </c>
      <c r="H726" s="45">
        <v>1888.5046620300004</v>
      </c>
      <c r="I726" s="45">
        <v>-145.38681326000017</v>
      </c>
      <c r="J726" s="221">
        <v>-4.6043535847707165E-2</v>
      </c>
      <c r="K726" s="221">
        <v>4.7166971958977899E-2</v>
      </c>
      <c r="L726"/>
      <c r="M726"/>
      <c r="N726"/>
      <c r="O726"/>
      <c r="P726"/>
      <c r="Q726"/>
      <c r="Z726" s="14"/>
      <c r="AA726" s="14"/>
      <c r="AB726" s="14"/>
    </row>
    <row r="727" spans="3:28" ht="15.75" customHeight="1">
      <c r="C727" s="45"/>
      <c r="D727" s="45" t="str">
        <f>IF(Indice_index!$Z$1=1,"outubro","October")</f>
        <v>October</v>
      </c>
      <c r="E727" s="45">
        <v>2108.1346266099999</v>
      </c>
      <c r="F727" s="45">
        <v>2038.8575143300004</v>
      </c>
      <c r="G727" s="45">
        <v>2061.3107374159999</v>
      </c>
      <c r="H727" s="45">
        <v>2126.6745399289998</v>
      </c>
      <c r="I727" s="45">
        <v>-87.817025598999635</v>
      </c>
      <c r="J727" s="221">
        <v>-3.2861806549518639E-2</v>
      </c>
      <c r="K727" s="221">
        <v>3.1709824883044115E-2</v>
      </c>
      <c r="M727"/>
      <c r="N727"/>
      <c r="O727"/>
      <c r="P727"/>
      <c r="Q727"/>
    </row>
    <row r="728" spans="3:28" s="36" customFormat="1" ht="15.75" customHeight="1">
      <c r="C728" s="45"/>
      <c r="D728" s="45" t="str">
        <f>IF(Indice_index!$Z$1=1,"novembro","November")</f>
        <v>November</v>
      </c>
      <c r="E728" s="45">
        <v>2274.04087153</v>
      </c>
      <c r="F728" s="45">
        <v>2195.7991227500002</v>
      </c>
      <c r="G728" s="45">
        <v>2239.1762241160095</v>
      </c>
      <c r="H728" s="45">
        <v>2316.2302524215556</v>
      </c>
      <c r="I728" s="45">
        <v>-120.43112967155616</v>
      </c>
      <c r="J728" s="221">
        <v>-3.4406483084606095E-2</v>
      </c>
      <c r="K728" s="221">
        <v>3.4411774953517028E-2</v>
      </c>
      <c r="L728" s="236"/>
      <c r="M728" s="236"/>
      <c r="N728" s="236"/>
      <c r="O728" s="236"/>
      <c r="P728" s="236"/>
      <c r="Q728" s="236"/>
      <c r="Z728" s="54"/>
      <c r="AA728" s="54"/>
      <c r="AB728" s="54"/>
    </row>
    <row r="729" spans="3:28" s="36" customFormat="1" ht="15.75" customHeight="1">
      <c r="C729" s="45"/>
      <c r="D729" s="45" t="str">
        <f>IF(Indice_index!$Z$1=1,"dezembro","December")</f>
        <v>December</v>
      </c>
      <c r="E729" s="45">
        <v>2567.61046463</v>
      </c>
      <c r="F729" s="45">
        <v>2455.65556608</v>
      </c>
      <c r="G729" s="45">
        <v>2594.8005563020101</v>
      </c>
      <c r="H729" s="45">
        <v>2637.1341933969998</v>
      </c>
      <c r="I729" s="45">
        <v>-181.47862731700002</v>
      </c>
      <c r="J729" s="221">
        <v>-4.360600647658372E-2</v>
      </c>
      <c r="K729" s="221">
        <v>1.6311580091269415E-2</v>
      </c>
      <c r="L729" s="236"/>
      <c r="M729" s="236"/>
      <c r="N729" s="236"/>
      <c r="O729" s="236"/>
      <c r="P729" s="236"/>
      <c r="Q729" s="236"/>
      <c r="Z729" s="54"/>
      <c r="AA729" s="54"/>
      <c r="AB729" s="54"/>
    </row>
    <row r="730" spans="3:28" s="36" customFormat="1" ht="15.75" customHeight="1">
      <c r="C730" s="45"/>
      <c r="D730" s="45"/>
      <c r="E730" s="45"/>
      <c r="F730" s="45"/>
      <c r="G730" s="45"/>
      <c r="H730" s="45"/>
      <c r="I730" s="45"/>
      <c r="J730" s="221"/>
      <c r="K730" s="221"/>
      <c r="L730" s="236"/>
      <c r="M730" s="236"/>
      <c r="N730" s="236"/>
      <c r="O730" s="236"/>
      <c r="P730" s="236"/>
      <c r="Q730" s="236"/>
      <c r="Z730" s="54"/>
      <c r="AA730" s="54"/>
      <c r="AB730" s="54"/>
    </row>
    <row r="731" spans="3:28" s="47" customFormat="1" ht="15.75" customHeight="1">
      <c r="C731" s="32" t="s">
        <v>149</v>
      </c>
      <c r="D731" s="85" t="str">
        <f>IF(Indice_index!$Z$1=1,"janeiro","January")</f>
        <v>January</v>
      </c>
      <c r="E731" s="85">
        <v>235.99482118</v>
      </c>
      <c r="F731" s="85">
        <v>253.41002372</v>
      </c>
      <c r="G731" s="85">
        <v>165.90904788000003</v>
      </c>
      <c r="H731" s="85">
        <v>163.75863802999999</v>
      </c>
      <c r="I731" s="85">
        <v>89.651385689999969</v>
      </c>
      <c r="J731" s="219">
        <v>7.3794850467150383E-2</v>
      </c>
      <c r="K731" s="219">
        <v>-1.2961377799934155E-2</v>
      </c>
      <c r="L731"/>
      <c r="M731" s="218"/>
      <c r="O731" s="273"/>
      <c r="P731" s="273"/>
      <c r="Q731" s="272"/>
      <c r="Z731" s="14"/>
      <c r="AA731" s="14"/>
      <c r="AB731" s="14"/>
    </row>
    <row r="732" spans="3:28" s="47" customFormat="1" ht="15.75" customHeight="1">
      <c r="C732" s="85"/>
      <c r="D732" s="85" t="str">
        <f>IF(Indice_index!$Z$1=1,"fevereiro","February")</f>
        <v>February</v>
      </c>
      <c r="E732" s="85">
        <v>373.71839596999996</v>
      </c>
      <c r="F732" s="85">
        <v>405.72288436000002</v>
      </c>
      <c r="G732" s="85">
        <v>384.62275077100003</v>
      </c>
      <c r="H732" s="85">
        <v>343.49791963000007</v>
      </c>
      <c r="I732" s="85">
        <v>62.224964729999982</v>
      </c>
      <c r="J732" s="219">
        <v>8.5637979652918139E-2</v>
      </c>
      <c r="K732" s="219">
        <v>-0.10692251318613551</v>
      </c>
      <c r="L732"/>
      <c r="M732" s="218"/>
      <c r="O732" s="273"/>
      <c r="P732" s="274"/>
      <c r="Q732" s="273"/>
      <c r="Z732" s="14"/>
      <c r="AA732" s="14"/>
      <c r="AB732" s="14"/>
    </row>
    <row r="733" spans="3:28" s="47" customFormat="1" ht="15.75" customHeight="1">
      <c r="C733" s="85"/>
      <c r="D733" s="85" t="str">
        <f>IF(Indice_index!$Z$1=1,"março","March")</f>
        <v>March</v>
      </c>
      <c r="E733" s="85">
        <v>532.73922825</v>
      </c>
      <c r="F733" s="85">
        <v>553.11217054999997</v>
      </c>
      <c r="G733" s="85">
        <v>587.27541666000002</v>
      </c>
      <c r="H733" s="85">
        <v>537.07433602000003</v>
      </c>
      <c r="I733" s="85">
        <v>16.037834529999941</v>
      </c>
      <c r="J733" s="219">
        <v>3.8241866225851705E-2</v>
      </c>
      <c r="K733" s="219">
        <v>-8.5481324802437003E-2</v>
      </c>
      <c r="L733"/>
      <c r="M733" s="218"/>
      <c r="O733" s="273"/>
      <c r="P733" s="273"/>
      <c r="Q733" s="273"/>
      <c r="Z733" s="14"/>
      <c r="AA733" s="14"/>
      <c r="AB733" s="14"/>
    </row>
    <row r="734" spans="3:28" s="47" customFormat="1" ht="15.75" customHeight="1">
      <c r="C734" s="85"/>
      <c r="D734" s="85" t="str">
        <f>IF(Indice_index!$Z$1=1,"abril","April")</f>
        <v>April</v>
      </c>
      <c r="E734" s="85">
        <v>793.16748026000005</v>
      </c>
      <c r="F734" s="85">
        <v>822.1811596</v>
      </c>
      <c r="G734" s="85">
        <v>837.01232522299995</v>
      </c>
      <c r="H734" s="85">
        <v>785.71449327765004</v>
      </c>
      <c r="I734" s="85">
        <v>36.466666322349965</v>
      </c>
      <c r="J734" s="219">
        <v>3.6579511972035565E-2</v>
      </c>
      <c r="K734" s="219">
        <v>-6.1286829834534338E-2</v>
      </c>
      <c r="L734"/>
      <c r="M734" s="218"/>
      <c r="N734"/>
      <c r="O734"/>
      <c r="P734"/>
      <c r="Q734"/>
      <c r="Z734" s="14"/>
      <c r="AA734" s="14"/>
      <c r="AB734" s="14"/>
    </row>
    <row r="735" spans="3:28" s="47" customFormat="1" ht="15.75" customHeight="1">
      <c r="C735" s="85"/>
      <c r="D735" s="85" t="str">
        <f>IF(Indice_index!$Z$1=1,"maio","May")</f>
        <v>May</v>
      </c>
      <c r="E735" s="85">
        <v>949.13091982999993</v>
      </c>
      <c r="F735" s="85">
        <v>965.80201824800019</v>
      </c>
      <c r="G735" s="85">
        <v>1027.36364482</v>
      </c>
      <c r="H735" s="85">
        <v>996.74333620000016</v>
      </c>
      <c r="I735" s="85">
        <v>-30.941317951999963</v>
      </c>
      <c r="J735" s="219">
        <v>1.756459311323063E-2</v>
      </c>
      <c r="K735" s="219">
        <v>-2.9804742239408995E-2</v>
      </c>
      <c r="M735"/>
      <c r="N735"/>
      <c r="O735"/>
      <c r="P735"/>
      <c r="Q735"/>
      <c r="Z735" s="14"/>
      <c r="AA735" s="14"/>
      <c r="AB735" s="14"/>
    </row>
    <row r="736" spans="3:28" s="47" customFormat="1" ht="15.75" customHeight="1">
      <c r="C736" s="85"/>
      <c r="D736" s="40" t="str">
        <f>IF(Indice_index!$Z$1=1,"junho","June")</f>
        <v>June</v>
      </c>
      <c r="E736" s="40">
        <v>1156.4613058650002</v>
      </c>
      <c r="F736" s="40">
        <v>1114.0207220899999</v>
      </c>
      <c r="G736" s="40">
        <v>1280.0086821709997</v>
      </c>
      <c r="H736" s="40">
        <v>1233.189916308</v>
      </c>
      <c r="I736" s="40">
        <v>-119.16919421800003</v>
      </c>
      <c r="J736" s="241">
        <v>-3.6698663033309126E-2</v>
      </c>
      <c r="K736" s="241">
        <v>-3.657691273124121E-2</v>
      </c>
      <c r="L736"/>
      <c r="M736"/>
      <c r="N736"/>
      <c r="O736"/>
      <c r="P736"/>
      <c r="Q736"/>
      <c r="Z736" s="14"/>
      <c r="AA736" s="14"/>
      <c r="AB736" s="14"/>
    </row>
    <row r="737" spans="3:28" s="47" customFormat="1" ht="15.75" customHeight="1">
      <c r="C737" s="85"/>
      <c r="D737" s="45" t="str">
        <f>IF(Indice_index!$Z$1=1,"julho","July")</f>
        <v>July</v>
      </c>
      <c r="E737" s="45">
        <v>1403.17492584</v>
      </c>
      <c r="F737" s="45">
        <v>1430.3625473100003</v>
      </c>
      <c r="G737" s="45">
        <v>1519.9570778480004</v>
      </c>
      <c r="H737" s="45">
        <v>1486.1015741429999</v>
      </c>
      <c r="I737" s="45">
        <v>-55.739026832999684</v>
      </c>
      <c r="J737" s="221">
        <v>1.9375789126024064E-2</v>
      </c>
      <c r="K737" s="221">
        <v>-2.2273986679238411E-2</v>
      </c>
      <c r="L737"/>
      <c r="M737"/>
      <c r="N737"/>
      <c r="O737"/>
      <c r="P737"/>
      <c r="Q737"/>
      <c r="Z737" s="14"/>
      <c r="AA737" s="14"/>
      <c r="AB737" s="14"/>
    </row>
    <row r="738" spans="3:28" s="47" customFormat="1" ht="15.75" customHeight="1">
      <c r="C738" s="85"/>
      <c r="D738" s="45" t="str">
        <f>IF(Indice_index!$Z$1=1,"agosto","August")</f>
        <v>August</v>
      </c>
      <c r="E738" s="45">
        <v>1568.0863731100001</v>
      </c>
      <c r="F738" s="45">
        <v>1642.81307457</v>
      </c>
      <c r="G738" s="45">
        <v>1719.066488125</v>
      </c>
      <c r="H738" s="45">
        <v>1685.2707779290001</v>
      </c>
      <c r="I738" s="45">
        <v>-42.457703358999765</v>
      </c>
      <c r="J738" s="221">
        <v>4.7654710060258863E-2</v>
      </c>
      <c r="K738" s="221">
        <v>-1.9659338617473199E-2</v>
      </c>
      <c r="L738"/>
      <c r="M738"/>
      <c r="N738"/>
      <c r="O738"/>
      <c r="P738"/>
      <c r="Q738"/>
      <c r="Z738" s="14"/>
      <c r="AA738" s="14"/>
      <c r="AB738" s="14"/>
    </row>
    <row r="739" spans="3:28" s="47" customFormat="1" ht="15.75" customHeight="1">
      <c r="C739" s="45"/>
      <c r="D739" s="45" t="str">
        <f>IF(Indice_index!$Z$1=1,"setembro","September")</f>
        <v>September</v>
      </c>
      <c r="E739" s="45">
        <v>1743.1178487699997</v>
      </c>
      <c r="F739" s="45">
        <v>1820.6172399100003</v>
      </c>
      <c r="G739" s="45">
        <v>1888.5046620300004</v>
      </c>
      <c r="H739" s="45">
        <v>1860.535504443</v>
      </c>
      <c r="I739" s="45">
        <v>-39.91826453300007</v>
      </c>
      <c r="J739" s="221">
        <v>4.4460213171867123E-2</v>
      </c>
      <c r="K739" s="221">
        <v>-1.4810213683526544E-2</v>
      </c>
      <c r="L739"/>
      <c r="M739"/>
      <c r="N739"/>
      <c r="O739"/>
      <c r="P739"/>
      <c r="Q739"/>
      <c r="Z739" s="14"/>
      <c r="AA739" s="14"/>
      <c r="AB739" s="14"/>
    </row>
    <row r="740" spans="3:28" ht="15.75" customHeight="1">
      <c r="C740" s="45"/>
      <c r="D740" s="45" t="str">
        <f>IF(Indice_index!$Z$1=1,"outubro","October")</f>
        <v>October</v>
      </c>
      <c r="E740" s="45"/>
      <c r="F740" s="45"/>
      <c r="G740" s="45"/>
      <c r="H740" s="45"/>
      <c r="I740" s="45" t="str">
        <f>IF(F740="","",+F740-H740)</f>
        <v/>
      </c>
      <c r="J740" s="221" t="str">
        <f>IF(F740="","",IF(E740=0,"-",(F740-E740)/E740))</f>
        <v/>
      </c>
      <c r="K740" s="221" t="str">
        <f>IF(H740="","",IF(G740=0,"-",(H740-G740)/G740))</f>
        <v/>
      </c>
      <c r="L740" s="381"/>
      <c r="M740" s="381"/>
      <c r="N740" s="381"/>
      <c r="O740" s="381"/>
      <c r="P740"/>
      <c r="Q740"/>
    </row>
    <row r="741" spans="3:28" s="36" customFormat="1" ht="15.75" customHeight="1">
      <c r="C741" s="45"/>
      <c r="D741" s="45" t="str">
        <f>IF(Indice_index!$Z$1=1,"novembro","November")</f>
        <v>November</v>
      </c>
      <c r="E741" s="45"/>
      <c r="F741" s="45"/>
      <c r="G741" s="45"/>
      <c r="H741" s="45"/>
      <c r="I741" s="45" t="str">
        <f>IF(F741="","",+F741-H741)</f>
        <v/>
      </c>
      <c r="J741" s="221" t="str">
        <f>IF(F741="","",IF(E741=0,"-",(F741-E741)/E741))</f>
        <v/>
      </c>
      <c r="K741" s="221" t="str">
        <f>IF(H741="","",IF(G741=0,"-",(H741-G741)/G741))</f>
        <v/>
      </c>
      <c r="L741" s="236"/>
      <c r="M741" s="236"/>
      <c r="N741" s="236"/>
      <c r="O741" s="236"/>
      <c r="P741" s="236"/>
      <c r="Q741" s="236"/>
      <c r="Z741" s="54"/>
      <c r="AA741" s="54"/>
      <c r="AB741" s="54"/>
    </row>
    <row r="742" spans="3:28" s="36" customFormat="1" ht="15.75" customHeight="1">
      <c r="C742" s="99"/>
      <c r="D742" s="99" t="str">
        <f>IF(Indice_index!$Z$1=1,"dezembro","December")</f>
        <v>December</v>
      </c>
      <c r="E742" s="99"/>
      <c r="F742" s="99"/>
      <c r="G742" s="99"/>
      <c r="H742" s="99"/>
      <c r="I742" s="99" t="str">
        <f>IF(F742="","",+F742-H742)</f>
        <v/>
      </c>
      <c r="J742" s="268" t="str">
        <f>IF(F742="","",IF(E742=0,"-",(F742-E742)/E742))</f>
        <v/>
      </c>
      <c r="K742" s="268" t="str">
        <f>IF(H742="","",IF(G742=0,"-",(H742-G742)/G742))</f>
        <v/>
      </c>
      <c r="L742" s="236"/>
      <c r="M742" s="236"/>
      <c r="N742" s="236"/>
      <c r="O742" s="236"/>
      <c r="P742" s="236"/>
      <c r="Q742" s="236"/>
      <c r="Z742" s="54"/>
      <c r="AA742" s="54"/>
      <c r="AB742" s="54"/>
    </row>
    <row r="743" spans="3:28">
      <c r="C743" s="100"/>
      <c r="D743" s="101"/>
      <c r="E743" s="101"/>
      <c r="F743" s="101"/>
      <c r="G743" s="101"/>
      <c r="H743" s="101"/>
      <c r="I743" s="101"/>
      <c r="J743" s="102"/>
      <c r="K743" s="102"/>
    </row>
    <row r="749" spans="3:28">
      <c r="H749" s="223"/>
    </row>
  </sheetData>
  <mergeCells count="29">
    <mergeCell ref="J278:K278"/>
    <mergeCell ref="C277:J277"/>
    <mergeCell ref="E278:F279"/>
    <mergeCell ref="G278:H279"/>
    <mergeCell ref="E143:F144"/>
    <mergeCell ref="G143:H144"/>
    <mergeCell ref="I143:I144"/>
    <mergeCell ref="J143:K143"/>
    <mergeCell ref="C506:K506"/>
    <mergeCell ref="I374:I375"/>
    <mergeCell ref="J374:K374"/>
    <mergeCell ref="E374:F375"/>
    <mergeCell ref="G374:H375"/>
    <mergeCell ref="I278:I279"/>
    <mergeCell ref="E510:F511"/>
    <mergeCell ref="G510:H511"/>
    <mergeCell ref="I510:I511"/>
    <mergeCell ref="J510:K510"/>
    <mergeCell ref="E622:F623"/>
    <mergeCell ref="G622:H623"/>
    <mergeCell ref="I622:I623"/>
    <mergeCell ref="J622:K622"/>
    <mergeCell ref="N2:O2"/>
    <mergeCell ref="E7:F8"/>
    <mergeCell ref="G7:H8"/>
    <mergeCell ref="I7:I8"/>
    <mergeCell ref="J7:K7"/>
    <mergeCell ref="C4:K4"/>
    <mergeCell ref="C7:D8"/>
  </mergeCells>
  <printOptions horizontalCentered="1" verticalCentered="1"/>
  <pageMargins left="0" right="0" top="0" bottom="0" header="0" footer="0"/>
  <pageSetup paperSize="9" scale="90" fitToHeight="0" orientation="portrait"/>
  <headerFooter>
    <oddHeader>&amp;L&amp;G</oddHeader>
  </headerFooter>
  <ignoredErrors>
    <ignoredError sqref="C10:C60 C62 C146:K234 C238:C242 C75:K98 C100:K103 C236:H237 D238:H239 C744:D744 C145:E145 H145:K145 C139:K144 D240:D242 C99:E99 G99 I99:K99 C235:E235 G235 C243:D248 C104:D112 I104:K112 I235:K248 H744:K744 C114 C250 C615:K621 C740:K743 C474:D479 C339:D344 D679:K708 C710:D711 D709 D470:H470 D471:D473 C506:K506 D336:D338 D334:H335 C277 C333:H333 C625:K678 C376:E376 G376:K376 C280:E280 G280:K280 G512:K512 C272:K276 C622:K623 C334:C338 D442:K469 C624:E624 H624:K624 I333:K344 C377:K441 C512:E526 F513:K526 I470:K479 C278:K279 D277:K277 C374:K375 C368:K373 C510:K511 C507:K509 C679:C709 C442:C473 C281:K332 E709:K711 E336:H344 E471:H479 C480:K491 C345:K356 C127 C263:D263 I263:K263 C359:D359 I359:K359 C503:K505 C494:D494 I494:K494 C527:K603 C712:K728 C606:D606 C731:D731 C607:D607 C264:D264 I264:K264 C360:D360 I360:K360 C732:D732 C495:D495 I495:K495 C733:D733 C608:D608 C265:D265 I265:K265 C361:D361 I361:K361 C496:D496 I496:K496 C734:D734 C609:D609 C266:D266 I266:K266 C362:D362 I362:K362 C497:D497 I497:K497 C735:D735 C610:D610 C267:D267 I267:K267 C363:D363 I363:K363 C498:D498 I498:K498 C736:D736 C611:D611 C268:D268 I268:K268 C364:D364 I364:K364 C499:D499 I499:K499 C357:E357 G357 I357:K357 C492:E492 G492 I492:K492 C729:E729 I729:K729 G729 C604:E604 G604 J604:K604 C737:D737 C612:D612 C269:D269 I269:K269 C365:D365 I365:K365 C500:D500 I500:K500 C738:D738 C613:D613 C270:D270 I270:K270 C366:D366 I366:K366 C501:D501 I501:K501 C739:D739 C614:D614 C271:D271 I271:K271 C367:D367 I367:K367 C502:D502 I502:K502" numberStoredAsText="1"/>
    <ignoredError sqref="F145:G145 F280 F376 F512 F624:G624" numberStoredAsText="1" formula="1"/>
    <ignoredError sqref="F9:G9" formula="1"/>
  </ignoredErrors>
  <drawing r:id="rId1"/>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Y71"/>
  <sheetViews>
    <sheetView showGridLines="0" zoomScale="90" zoomScaleNormal="90" workbookViewId="0">
      <selection activeCell="T37" sqref="T37"/>
    </sheetView>
  </sheetViews>
  <sheetFormatPr baseColWidth="10" defaultColWidth="9.1640625" defaultRowHeight="14"/>
  <cols>
    <col min="1" max="1" width="4.33203125" style="118" customWidth="1"/>
    <col min="2" max="2" width="4.1640625" style="118" customWidth="1"/>
    <col min="3" max="3" width="7.83203125" style="118" customWidth="1"/>
    <col min="4" max="4" width="9.6640625" style="118" bestFit="1" customWidth="1"/>
    <col min="5" max="5" width="14" style="118" customWidth="1"/>
    <col min="6" max="6" width="13.6640625" style="118" customWidth="1"/>
    <col min="7" max="7" width="14.33203125" style="118" customWidth="1"/>
    <col min="8" max="8" width="2" style="118" customWidth="1"/>
    <col min="9" max="9" width="19.5" style="118" customWidth="1"/>
    <col min="10" max="10" width="2" style="118" customWidth="1"/>
    <col min="11" max="12" width="13.1640625" style="118" customWidth="1"/>
    <col min="13" max="13" width="14" style="118" bestFit="1" customWidth="1"/>
    <col min="14" max="14" width="13.33203125" style="118" customWidth="1"/>
    <col min="15" max="15" width="14.1640625" style="118" bestFit="1" customWidth="1"/>
    <col min="16" max="17" width="13.33203125" style="118" customWidth="1"/>
    <col min="18" max="18" width="1.5" style="118" customWidth="1"/>
    <col min="19" max="19" width="4.33203125" style="118" customWidth="1"/>
    <col min="20" max="20" width="15" style="118" bestFit="1" customWidth="1"/>
    <col min="21" max="21" width="10.33203125" style="118" customWidth="1"/>
    <col min="22" max="22" width="25.5" style="118" customWidth="1"/>
    <col min="23" max="23" width="8.33203125" style="118" customWidth="1"/>
    <col min="24" max="24" width="13.5" style="118" customWidth="1"/>
    <col min="25" max="25" width="8.5" style="118" customWidth="1"/>
    <col min="26" max="16384" width="9.1640625" style="118"/>
  </cols>
  <sheetData>
    <row r="2" spans="2:25" s="106" customFormat="1" ht="20" thickBot="1">
      <c r="B2" s="103"/>
      <c r="C2" s="135" t="str">
        <f>IF(Indice_index!$Z$1=1,"2 - Receita do subsetor Estado - Classificação Económica","2 - State subsector revenue - Economic Classification")</f>
        <v>2 - State subsector revenue - Economic Classification</v>
      </c>
      <c r="D2" s="104"/>
      <c r="E2" s="104"/>
      <c r="F2" s="104"/>
      <c r="G2" s="104"/>
      <c r="H2" s="104"/>
      <c r="I2" s="104"/>
      <c r="J2" s="104"/>
      <c r="K2" s="104"/>
      <c r="L2" s="104"/>
      <c r="M2" s="104"/>
      <c r="N2" s="104"/>
      <c r="O2" s="104"/>
      <c r="P2" s="104"/>
      <c r="Q2" s="104"/>
      <c r="R2" s="104"/>
      <c r="S2" s="105"/>
      <c r="T2" s="105"/>
      <c r="V2" s="108"/>
      <c r="W2" s="108"/>
      <c r="X2" s="108"/>
    </row>
    <row r="4" spans="2:25" s="110" customFormat="1">
      <c r="C4" s="111"/>
      <c r="D4" s="111"/>
      <c r="E4" s="128"/>
      <c r="F4" s="128"/>
      <c r="G4" s="128"/>
      <c r="H4" s="129"/>
      <c r="I4" s="128"/>
      <c r="J4" s="129"/>
      <c r="K4" s="130"/>
      <c r="L4" s="130"/>
      <c r="M4" s="128"/>
      <c r="N4" s="128"/>
      <c r="O4" s="128"/>
      <c r="P4" s="128"/>
      <c r="Q4" s="132"/>
      <c r="R4" s="133"/>
      <c r="S4" s="108"/>
      <c r="T4" s="134" t="str">
        <f>IF(Indice_index!$Z$1=1,"€ Milhões","€ Millions")</f>
        <v>€ Millions</v>
      </c>
      <c r="U4" s="108"/>
    </row>
    <row r="5" spans="2:25" s="110" customFormat="1" ht="15.75" customHeight="1">
      <c r="C5" s="210"/>
      <c r="D5" s="210"/>
      <c r="E5" s="394" t="str">
        <f>IF(Indice_index!$Z$1=1,"Receita Fiscal","Tax revenue")</f>
        <v>Tax revenue</v>
      </c>
      <c r="F5" s="394" t="s">
        <v>11</v>
      </c>
      <c r="G5" s="394" t="s">
        <v>11</v>
      </c>
      <c r="H5" s="364"/>
      <c r="I5" s="364" t="str">
        <f>IF(Indice_index!$Z$1=1,"Receita contributiva","Income tax")</f>
        <v>Income tax</v>
      </c>
      <c r="J5" s="364"/>
      <c r="K5" s="395" t="str">
        <f>IF(Indice_index!$Z$1=1,"Receita não fiscal e não contributiva","Non-tax revenue and non Income tax")</f>
        <v>Non-tax revenue and non Income tax</v>
      </c>
      <c r="L5" s="395" t="s">
        <v>12</v>
      </c>
      <c r="M5" s="395"/>
      <c r="N5" s="395"/>
      <c r="O5" s="395" t="s">
        <v>12</v>
      </c>
      <c r="P5" s="395" t="s">
        <v>12</v>
      </c>
      <c r="Q5" s="395" t="s">
        <v>12</v>
      </c>
      <c r="R5" s="365"/>
      <c r="S5" s="108"/>
      <c r="T5" s="216"/>
    </row>
    <row r="6" spans="2:25" s="116" customFormat="1" ht="69.5" customHeight="1">
      <c r="B6" s="113"/>
      <c r="C6" s="206"/>
      <c r="D6" s="206"/>
      <c r="E6" s="209" t="str">
        <f>IF(Indice_index!$Z$1=1,"Impostos diretos","Direct taxes")</f>
        <v>Direct taxes</v>
      </c>
      <c r="F6" s="209" t="str">
        <f>IF(Indice_index!$Z$1=1,"Impostos indiretos","Indirect taxes")</f>
        <v>Indirect taxes</v>
      </c>
      <c r="G6" s="209" t="str">
        <f>IF(Indice_index!$Z$1=1,"Total","Total")</f>
        <v>Total</v>
      </c>
      <c r="H6" s="217"/>
      <c r="I6" s="209" t="str">
        <f>IF(Indice_index!$Z$1=1,"Contribuições para Segurança Social, CGA e ADSE","Total")</f>
        <v>Total</v>
      </c>
      <c r="J6" s="217"/>
      <c r="K6" s="366" t="str">
        <f>IF(Indice_index!$Z$1=1,"Taxas, multas e outras penalidades","Taxes, fines and other penalties")</f>
        <v>Taxes, fines and other penalties</v>
      </c>
      <c r="L6" s="209" t="str">
        <f>IF(Indice_index!$Z$1=1,"Rendimentos da propriedade","Property incom")</f>
        <v>Property incom</v>
      </c>
      <c r="M6" s="209" t="str">
        <f>IF(Indice_index!$Z$1=1,"Transferências","Transfers")</f>
        <v>Transfers</v>
      </c>
      <c r="N6" s="209" t="str">
        <f>IF(Indice_index!$Z$1=1,"Venda de bens e serviços correntes","Sale of current goods and services")</f>
        <v>Sale of current goods and services</v>
      </c>
      <c r="O6" s="209" t="str">
        <f>IF(Indice_index!$Z$1=1,"Venda de bens de investimento","Sale of investment goods")</f>
        <v>Sale of investment goods</v>
      </c>
      <c r="P6" s="209" t="str">
        <f>IF(Indice_index!$Z$1=1,"Outras receitas","Other revenue")</f>
        <v>Other revenue</v>
      </c>
      <c r="Q6" s="209" t="str">
        <f>IF(Indice_index!$Z$1=1,"Total","Total")</f>
        <v>Total</v>
      </c>
      <c r="R6" s="207"/>
      <c r="S6" s="115"/>
      <c r="T6" s="209" t="str">
        <f>IF(Indice_index!$Z$1=1,"TOTAL","TOTAL")</f>
        <v>TOTAL</v>
      </c>
    </row>
    <row r="7" spans="2:25" s="116" customFormat="1" ht="16.25" customHeight="1">
      <c r="B7" s="113"/>
      <c r="C7" s="121"/>
      <c r="D7" s="119"/>
      <c r="E7" s="119"/>
      <c r="F7" s="119"/>
      <c r="G7" s="127"/>
      <c r="H7" s="127"/>
      <c r="I7" s="127"/>
      <c r="J7" s="127"/>
      <c r="K7" s="119"/>
      <c r="L7" s="119"/>
      <c r="M7" s="119"/>
      <c r="N7" s="119"/>
      <c r="O7" s="119"/>
      <c r="P7" s="119"/>
      <c r="Q7" s="127"/>
      <c r="R7" s="127"/>
      <c r="S7" s="115"/>
      <c r="T7" s="108"/>
    </row>
    <row r="8" spans="2:25" s="229" customFormat="1">
      <c r="C8" s="281" t="s">
        <v>3</v>
      </c>
      <c r="D8" s="119"/>
      <c r="E8" s="118">
        <v>13569.160479390001</v>
      </c>
      <c r="F8" s="118">
        <v>18720.550893309999</v>
      </c>
      <c r="G8" s="118">
        <f>IF(SUM(E8:F8)=0,"",SUM(E8:F8))</f>
        <v>32289.7113727</v>
      </c>
      <c r="H8" s="110"/>
      <c r="I8" s="118">
        <v>233.96459396</v>
      </c>
      <c r="J8" s="110"/>
      <c r="K8" s="110">
        <v>590.31116199999997</v>
      </c>
      <c r="L8" s="118">
        <v>473.48588932000001</v>
      </c>
      <c r="M8" s="118">
        <f>1009.44402512+93.69023757</f>
        <v>1103.13426269</v>
      </c>
      <c r="N8" s="118">
        <v>416.34134460000001</v>
      </c>
      <c r="O8" s="118">
        <v>169.43420065000001</v>
      </c>
      <c r="P8" s="118">
        <f>181.10169808+95.02679674+177.3463747+90.41818082+466.81824925</f>
        <v>1010.7112995900001</v>
      </c>
      <c r="Q8" s="118">
        <f>IF(SUM(K8:P8)=0,"",SUM(K8:P8))</f>
        <v>3763.4181588500005</v>
      </c>
      <c r="R8" s="110"/>
      <c r="S8" s="282"/>
      <c r="T8" s="110">
        <f t="shared" ref="T8:T27" si="0">IF(SUM(E8:F8,I8,K8:P8)=0,"",SUM(E8:F8,I8,K8:P8))</f>
        <v>36287.094125510004</v>
      </c>
      <c r="V8" s="126"/>
      <c r="W8" s="230"/>
      <c r="X8" s="367"/>
      <c r="Y8" s="368"/>
    </row>
    <row r="9" spans="2:25" s="229" customFormat="1" ht="12.75" customHeight="1">
      <c r="B9" s="230"/>
      <c r="C9" s="283" t="s">
        <v>4</v>
      </c>
      <c r="D9" s="110"/>
      <c r="E9" s="118">
        <v>15046.93110308</v>
      </c>
      <c r="F9" s="118">
        <v>19312.308809599999</v>
      </c>
      <c r="G9" s="118">
        <f t="shared" ref="G9:G37" si="1">IF(SUM(E9:F9)=0,"",SUM(E9:F9))</f>
        <v>34359.239912680001</v>
      </c>
      <c r="H9" s="110"/>
      <c r="I9" s="118">
        <v>464.79756140000001</v>
      </c>
      <c r="J9" s="110"/>
      <c r="K9" s="118">
        <v>698.56494678000001</v>
      </c>
      <c r="L9" s="118">
        <v>288.21166777000002</v>
      </c>
      <c r="M9" s="118">
        <f>1213.20617991+3319.21133054</f>
        <v>4532.41751045</v>
      </c>
      <c r="N9" s="118">
        <v>433.70063729999998</v>
      </c>
      <c r="O9" s="118">
        <v>17.36157017</v>
      </c>
      <c r="P9" s="118">
        <f>371.09619347+67.51436752+167.64781223+64.63407832+217.3552866</f>
        <v>888.24773814000002</v>
      </c>
      <c r="Q9" s="118">
        <f t="shared" ref="Q9:Q37" si="2">IF(SUM(K9:P9)=0,"",SUM(K9:P9))</f>
        <v>6858.5040706100008</v>
      </c>
      <c r="R9" s="110"/>
      <c r="S9" s="282"/>
      <c r="T9" s="119">
        <f t="shared" si="0"/>
        <v>41682.541544690008</v>
      </c>
      <c r="U9" s="231"/>
      <c r="V9" s="126"/>
      <c r="X9" s="369"/>
      <c r="Y9" s="368"/>
    </row>
    <row r="10" spans="2:25" s="229" customFormat="1">
      <c r="B10" s="230"/>
      <c r="C10" s="283" t="s">
        <v>5</v>
      </c>
      <c r="D10" s="123"/>
      <c r="E10" s="118">
        <v>13633.629683949999</v>
      </c>
      <c r="F10" s="118">
        <v>18407.019487310001</v>
      </c>
      <c r="G10" s="118">
        <f t="shared" si="1"/>
        <v>32040.64917126</v>
      </c>
      <c r="H10" s="124"/>
      <c r="I10" s="118">
        <v>433.08737688999997</v>
      </c>
      <c r="J10" s="124"/>
      <c r="K10" s="118">
        <v>736.40394875000004</v>
      </c>
      <c r="L10" s="118">
        <v>526.92198822</v>
      </c>
      <c r="M10" s="118">
        <f>858.90325432+2846.61135515</f>
        <v>3705.5146094699999</v>
      </c>
      <c r="N10" s="118">
        <v>449.72799700000002</v>
      </c>
      <c r="O10" s="118">
        <v>2.1655239399999999</v>
      </c>
      <c r="P10" s="118">
        <f>495.02699427+1085.81281623+155.4775637+74.42433569+168.32636531</f>
        <v>1979.0680751999998</v>
      </c>
      <c r="Q10" s="118">
        <f t="shared" si="2"/>
        <v>7399.8021425799998</v>
      </c>
      <c r="R10" s="122"/>
      <c r="S10" s="282"/>
      <c r="T10" s="126">
        <f t="shared" si="0"/>
        <v>39873.538690729998</v>
      </c>
      <c r="U10" s="231"/>
      <c r="V10" s="126"/>
      <c r="X10" s="369"/>
      <c r="Y10" s="368"/>
    </row>
    <row r="11" spans="2:25" s="232" customFormat="1" ht="12" customHeight="1">
      <c r="C11" s="283" t="s">
        <v>7</v>
      </c>
      <c r="D11" s="235"/>
      <c r="E11" s="235">
        <v>17415.085399380001</v>
      </c>
      <c r="F11" s="235">
        <v>18857.85990797</v>
      </c>
      <c r="G11" s="235">
        <f t="shared" si="1"/>
        <v>36272.945307350004</v>
      </c>
      <c r="H11" s="235"/>
      <c r="I11" s="235">
        <v>494.05018971999999</v>
      </c>
      <c r="J11" s="235"/>
      <c r="K11" s="235">
        <v>752.28645745999995</v>
      </c>
      <c r="L11" s="235">
        <v>1129.5104784600001</v>
      </c>
      <c r="M11" s="235">
        <f>886.69596166+72.35491131</f>
        <v>959.05087297</v>
      </c>
      <c r="N11" s="235">
        <v>399.75358010999997</v>
      </c>
      <c r="O11" s="235">
        <v>65.716017859999994</v>
      </c>
      <c r="P11" s="235">
        <f>414.62016811+452.31341071+143.78130729+53.54699015+100.16166093</f>
        <v>1164.4235371899999</v>
      </c>
      <c r="Q11" s="235">
        <f t="shared" si="2"/>
        <v>4470.7409440499996</v>
      </c>
      <c r="R11" s="235"/>
      <c r="S11" s="285"/>
      <c r="T11" s="235">
        <f t="shared" si="0"/>
        <v>41237.736441120011</v>
      </c>
      <c r="U11" s="236"/>
      <c r="V11" s="126"/>
      <c r="W11" s="229"/>
      <c r="X11" s="369"/>
      <c r="Y11" s="368"/>
    </row>
    <row r="12" spans="2:25" s="229" customFormat="1" ht="12" customHeight="1">
      <c r="B12" s="230"/>
      <c r="C12" s="286">
        <v>2014</v>
      </c>
      <c r="D12" s="123"/>
      <c r="E12" s="235">
        <v>17539.386207449999</v>
      </c>
      <c r="F12" s="235">
        <v>19581.047403749999</v>
      </c>
      <c r="G12" s="235">
        <f t="shared" si="1"/>
        <v>37120.433611200002</v>
      </c>
      <c r="H12" s="235"/>
      <c r="I12" s="235">
        <v>685.76036180000006</v>
      </c>
      <c r="J12" s="235"/>
      <c r="K12" s="235">
        <v>788.63120127000002</v>
      </c>
      <c r="L12" s="235">
        <v>692.46093579000001</v>
      </c>
      <c r="M12" s="235">
        <f>601.51587318+174.13321651</f>
        <v>775.64908968999998</v>
      </c>
      <c r="N12" s="235">
        <v>452.67049495999998</v>
      </c>
      <c r="O12" s="235">
        <v>44.673245289999997</v>
      </c>
      <c r="P12" s="235">
        <f>515.92192634+57.36245949+147.89180048+46.48758907+79.36016269</f>
        <v>847.0239380700001</v>
      </c>
      <c r="Q12" s="235">
        <f t="shared" si="2"/>
        <v>3601.1089050699998</v>
      </c>
      <c r="R12" s="235"/>
      <c r="S12" s="285"/>
      <c r="T12" s="235">
        <f t="shared" si="0"/>
        <v>41407.302878070004</v>
      </c>
      <c r="U12" s="231"/>
      <c r="V12" s="126"/>
      <c r="X12" s="369"/>
      <c r="Y12" s="368"/>
    </row>
    <row r="13" spans="2:25" s="229" customFormat="1" ht="12" customHeight="1">
      <c r="B13" s="230"/>
      <c r="C13" s="286">
        <v>2015</v>
      </c>
      <c r="D13" s="123"/>
      <c r="E13" s="235">
        <v>18245.816753219999</v>
      </c>
      <c r="F13" s="235">
        <v>20603.733824899999</v>
      </c>
      <c r="G13" s="235">
        <f t="shared" si="1"/>
        <v>38849.550578119997</v>
      </c>
      <c r="H13" s="235"/>
      <c r="I13" s="235">
        <v>611.62168888999997</v>
      </c>
      <c r="J13" s="235"/>
      <c r="K13" s="235">
        <v>907.97531357000003</v>
      </c>
      <c r="L13" s="235">
        <v>632.31657466000001</v>
      </c>
      <c r="M13" s="235">
        <f>713.82319064+90.88902581</f>
        <v>804.71221645000003</v>
      </c>
      <c r="N13" s="235">
        <v>476.93714252000001</v>
      </c>
      <c r="O13" s="235">
        <v>55.318272659999998</v>
      </c>
      <c r="P13" s="235">
        <f>359.30138338+43.41704775+158.16111243+125.3062756</f>
        <v>686.18581916000005</v>
      </c>
      <c r="Q13" s="235">
        <f t="shared" si="2"/>
        <v>3563.4453390200001</v>
      </c>
      <c r="R13" s="235"/>
      <c r="S13" s="285"/>
      <c r="T13" s="235">
        <f t="shared" si="0"/>
        <v>43024.617606029999</v>
      </c>
      <c r="U13" s="231"/>
      <c r="V13" s="126"/>
      <c r="X13" s="369"/>
      <c r="Y13" s="368"/>
    </row>
    <row r="14" spans="2:25" s="229" customFormat="1" ht="12" customHeight="1">
      <c r="B14" s="230"/>
      <c r="C14" s="286">
        <v>2016</v>
      </c>
      <c r="D14" s="123"/>
      <c r="E14" s="235">
        <v>17747.675911720002</v>
      </c>
      <c r="F14" s="235">
        <v>22495.503412279999</v>
      </c>
      <c r="G14" s="235">
        <f>IF(SUM(E14:F14)=0,"",SUM(E14:F14))</f>
        <v>40243.179323999997</v>
      </c>
      <c r="H14" s="235"/>
      <c r="I14" s="235">
        <v>633.25328179999997</v>
      </c>
      <c r="J14" s="235"/>
      <c r="K14" s="235">
        <v>852.77343652000002</v>
      </c>
      <c r="L14" s="235">
        <v>497.47774163000003</v>
      </c>
      <c r="M14" s="235">
        <v>1339.9242736900001</v>
      </c>
      <c r="N14" s="235">
        <v>493.32991378000003</v>
      </c>
      <c r="O14" s="235">
        <v>51.506194229999998</v>
      </c>
      <c r="P14" s="235">
        <v>816.91538704999994</v>
      </c>
      <c r="Q14" s="235">
        <f>IF(SUM(K14:P14)=0,"",SUM(K14:P14))</f>
        <v>4051.9269469000001</v>
      </c>
      <c r="R14" s="235"/>
      <c r="S14" s="285"/>
      <c r="T14" s="235">
        <f>IF(SUM(E14:F14,I14,K14:P14)=0,"",SUM(E14:F14,I14,K14:P14))</f>
        <v>44928.3595527</v>
      </c>
      <c r="U14" s="231"/>
      <c r="V14" s="126"/>
    </row>
    <row r="15" spans="2:25" s="229" customFormat="1" ht="12" customHeight="1">
      <c r="B15" s="230"/>
      <c r="C15" s="286">
        <v>2017</v>
      </c>
      <c r="D15" s="123"/>
      <c r="E15" s="269"/>
      <c r="F15" s="269"/>
      <c r="G15" s="269" t="str">
        <f t="shared" si="1"/>
        <v/>
      </c>
      <c r="H15" s="270"/>
      <c r="I15" s="269"/>
      <c r="J15" s="270"/>
      <c r="K15" s="269"/>
      <c r="L15" s="269"/>
      <c r="M15" s="269"/>
      <c r="N15" s="269"/>
      <c r="O15" s="269"/>
      <c r="P15" s="269"/>
      <c r="Q15" s="269" t="str">
        <f t="shared" si="2"/>
        <v/>
      </c>
      <c r="R15" s="123"/>
      <c r="S15" s="284"/>
      <c r="T15" s="126" t="str">
        <f t="shared" si="0"/>
        <v/>
      </c>
      <c r="U15" s="363"/>
      <c r="V15" s="234"/>
    </row>
    <row r="16" spans="2:25" s="229" customFormat="1" ht="12" customHeight="1">
      <c r="B16" s="230"/>
      <c r="C16" s="123"/>
      <c r="D16" s="123" t="str">
        <f>IF(Indice_index!$Z$1=1,"janeiro","January")</f>
        <v>January</v>
      </c>
      <c r="E16" s="126">
        <v>1116.25187536</v>
      </c>
      <c r="F16" s="126">
        <v>1565.24004672</v>
      </c>
      <c r="G16" s="126">
        <f t="shared" si="1"/>
        <v>2681.4919220800002</v>
      </c>
      <c r="H16" s="126"/>
      <c r="I16" s="126">
        <v>5.0031049899999998</v>
      </c>
      <c r="J16" s="126"/>
      <c r="K16" s="235">
        <v>75.496320870000005</v>
      </c>
      <c r="L16" s="235">
        <v>25.450746689999999</v>
      </c>
      <c r="M16" s="235">
        <f>48.3678206+0.86140077</f>
        <v>49.229221370000005</v>
      </c>
      <c r="N16" s="235">
        <v>37.887256190000002</v>
      </c>
      <c r="O16" s="126">
        <v>12.65457456</v>
      </c>
      <c r="P16" s="235">
        <f>31.08322451+14.14120744+14.70794237+143.06820879+0</f>
        <v>203.00058311000001</v>
      </c>
      <c r="Q16" s="126">
        <f t="shared" si="2"/>
        <v>403.71870279000007</v>
      </c>
      <c r="R16" s="126"/>
      <c r="S16" s="284"/>
      <c r="T16" s="235">
        <f t="shared" si="0"/>
        <v>3090.2137298600001</v>
      </c>
      <c r="U16"/>
      <c r="V16" s="126"/>
      <c r="W16" s="230"/>
      <c r="X16" s="369"/>
      <c r="Y16" s="368"/>
    </row>
    <row r="17" spans="2:25" s="229" customFormat="1" ht="12" customHeight="1">
      <c r="B17" s="230"/>
      <c r="C17" s="123"/>
      <c r="D17" s="123" t="str">
        <f>IF(Indice_index!$Z$1=1,"fevereiro","February")</f>
        <v>February</v>
      </c>
      <c r="E17" s="126">
        <v>2212.80782654</v>
      </c>
      <c r="F17" s="126">
        <v>4036.6739123000002</v>
      </c>
      <c r="G17" s="126">
        <f t="shared" si="1"/>
        <v>6249.4817388400006</v>
      </c>
      <c r="H17" s="126"/>
      <c r="I17" s="126">
        <v>9.6302219099999995</v>
      </c>
      <c r="J17" s="126"/>
      <c r="K17" s="235">
        <v>155.09469845000001</v>
      </c>
      <c r="L17" s="235">
        <v>58.440975559999998</v>
      </c>
      <c r="M17" s="235">
        <f>108.29417302+3.76670451</f>
        <v>112.06087753</v>
      </c>
      <c r="N17" s="235">
        <v>81.713364909999996</v>
      </c>
      <c r="O17" s="126">
        <v>12.979226499999999</v>
      </c>
      <c r="P17" s="235">
        <f>48.7630112+14.18641892+29.44376451+170.03153564</f>
        <v>262.42473027</v>
      </c>
      <c r="Q17" s="126">
        <f t="shared" si="2"/>
        <v>682.71387321999998</v>
      </c>
      <c r="R17" s="126"/>
      <c r="S17" s="284"/>
      <c r="T17" s="235">
        <f t="shared" si="0"/>
        <v>6941.8258339699987</v>
      </c>
      <c r="U17"/>
      <c r="V17" s="126"/>
      <c r="W17" s="230"/>
      <c r="X17" s="369"/>
      <c r="Y17" s="368"/>
    </row>
    <row r="18" spans="2:25" s="234" customFormat="1" ht="12" customHeight="1">
      <c r="B18" s="237"/>
      <c r="C18" s="123"/>
      <c r="D18" s="123" t="str">
        <f>IF(Indice_index!$Z$1=1,"março","March")</f>
        <v>March</v>
      </c>
      <c r="E18" s="126">
        <v>3386.72952842</v>
      </c>
      <c r="F18" s="126">
        <v>5592.0907089800003</v>
      </c>
      <c r="G18" s="126">
        <f t="shared" si="1"/>
        <v>8978.8202373999993</v>
      </c>
      <c r="H18" s="126"/>
      <c r="I18" s="126">
        <v>15.457737529999999</v>
      </c>
      <c r="J18" s="126"/>
      <c r="K18" s="235">
        <v>226.92740755</v>
      </c>
      <c r="L18" s="235">
        <v>66.756233739999999</v>
      </c>
      <c r="M18" s="235">
        <f>194.92238232+4.98641846</f>
        <v>199.90880078000001</v>
      </c>
      <c r="N18" s="235">
        <v>122.9083169</v>
      </c>
      <c r="O18" s="126">
        <v>15.70266215</v>
      </c>
      <c r="P18" s="235">
        <f>60.85146306+15.38120207+43.40902485+196.31906794</f>
        <v>315.96075791999999</v>
      </c>
      <c r="Q18" s="126">
        <f t="shared" si="2"/>
        <v>948.16417904000002</v>
      </c>
      <c r="R18" s="126"/>
      <c r="S18" s="284"/>
      <c r="T18" s="235">
        <f t="shared" si="0"/>
        <v>9942.4421539699997</v>
      </c>
      <c r="U18"/>
      <c r="V18" s="126"/>
      <c r="W18" s="230"/>
      <c r="X18" s="369"/>
      <c r="Y18" s="368"/>
    </row>
    <row r="19" spans="2:25" s="234" customFormat="1" ht="12" customHeight="1">
      <c r="B19" s="237"/>
      <c r="C19" s="123"/>
      <c r="D19" s="123" t="str">
        <f>IF(Indice_index!$Z$1=1,"abril","April")</f>
        <v>April</v>
      </c>
      <c r="E19" s="126">
        <v>4322.9125437800003</v>
      </c>
      <c r="F19" s="126">
        <v>7276.3721748400003</v>
      </c>
      <c r="G19" s="126">
        <f t="shared" si="1"/>
        <v>11599.284718620002</v>
      </c>
      <c r="H19" s="126"/>
      <c r="I19" s="126">
        <v>20.25728659</v>
      </c>
      <c r="J19" s="126"/>
      <c r="K19" s="126">
        <v>289.85615829</v>
      </c>
      <c r="L19" s="235">
        <v>76.879895419999997</v>
      </c>
      <c r="M19" s="235">
        <f>239.05352824+6.40888966</f>
        <v>245.46241789999999</v>
      </c>
      <c r="N19" s="235">
        <v>161.47341778000001</v>
      </c>
      <c r="O19" s="235">
        <v>16.702706880000001</v>
      </c>
      <c r="P19" s="235">
        <f>72.59290525+15.55421036+58.99326369+197.12184329</f>
        <v>344.26222258999996</v>
      </c>
      <c r="Q19" s="126">
        <f t="shared" si="2"/>
        <v>1134.6368188599999</v>
      </c>
      <c r="R19" s="126"/>
      <c r="S19" s="284"/>
      <c r="T19" s="235">
        <f t="shared" si="0"/>
        <v>12754.178824070001</v>
      </c>
      <c r="U19"/>
      <c r="V19" s="126"/>
      <c r="W19" s="230"/>
      <c r="X19" s="369"/>
      <c r="Y19" s="368"/>
    </row>
    <row r="20" spans="2:25" s="234" customFormat="1" ht="12" customHeight="1">
      <c r="B20" s="237"/>
      <c r="C20" s="123"/>
      <c r="D20" s="123" t="str">
        <f>IF(Indice_index!$Z$1=1,"maio","May")</f>
        <v>May</v>
      </c>
      <c r="E20" s="126">
        <v>5733.7990554600001</v>
      </c>
      <c r="F20" s="126">
        <v>9585.9099320299993</v>
      </c>
      <c r="G20" s="126">
        <f t="shared" si="1"/>
        <v>15319.708987489999</v>
      </c>
      <c r="H20" s="126"/>
      <c r="I20" s="126">
        <v>24.824178270000001</v>
      </c>
      <c r="J20" s="126"/>
      <c r="K20" s="235">
        <v>358.93451104000002</v>
      </c>
      <c r="L20" s="235">
        <v>363.15333322999999</v>
      </c>
      <c r="M20" s="235">
        <f>343.28874003+15.99823397</f>
        <v>359.28697399999999</v>
      </c>
      <c r="N20" s="235">
        <v>212.46014940000001</v>
      </c>
      <c r="O20" s="235">
        <v>24.24284931</v>
      </c>
      <c r="P20" s="235">
        <f>93.60577133+16.58573245+71.9590716+198.56039927</f>
        <v>380.71097465000003</v>
      </c>
      <c r="Q20" s="126">
        <f t="shared" si="2"/>
        <v>1698.7887916300003</v>
      </c>
      <c r="R20" s="126"/>
      <c r="S20" s="284"/>
      <c r="T20" s="235">
        <f t="shared" si="0"/>
        <v>17043.321957390002</v>
      </c>
      <c r="U20" s="218"/>
      <c r="V20" s="126"/>
      <c r="W20" s="230"/>
      <c r="X20" s="369"/>
      <c r="Y20" s="368"/>
    </row>
    <row r="21" spans="2:25" s="233" customFormat="1" ht="12" customHeight="1">
      <c r="C21" s="123"/>
      <c r="D21" s="123" t="str">
        <f>IF(Indice_index!$Z$1=1,"junho","June")</f>
        <v>June</v>
      </c>
      <c r="E21" s="123">
        <v>6930.4271753599996</v>
      </c>
      <c r="F21" s="123">
        <v>11301.5816242</v>
      </c>
      <c r="G21" s="123">
        <f t="shared" si="1"/>
        <v>18232.008799560001</v>
      </c>
      <c r="H21" s="123"/>
      <c r="I21" s="123">
        <v>31.919645339999999</v>
      </c>
      <c r="J21" s="123"/>
      <c r="K21" s="123">
        <v>439.64865345999999</v>
      </c>
      <c r="L21" s="123">
        <v>396.56664812000002</v>
      </c>
      <c r="M21" s="123">
        <v>415.63728755999995</v>
      </c>
      <c r="N21" s="123">
        <v>253.97183992000001</v>
      </c>
      <c r="O21" s="123">
        <v>24.263103659999999</v>
      </c>
      <c r="P21" s="235">
        <v>421.09351842000001</v>
      </c>
      <c r="Q21" s="123">
        <f t="shared" si="2"/>
        <v>1951.1810511400001</v>
      </c>
      <c r="R21" s="123"/>
      <c r="S21" s="287"/>
      <c r="T21" s="235">
        <f t="shared" si="0"/>
        <v>20215.109496039997</v>
      </c>
      <c r="U21"/>
      <c r="V21" s="126"/>
      <c r="W21" s="230"/>
      <c r="X21" s="369"/>
      <c r="Y21" s="368"/>
    </row>
    <row r="22" spans="2:25" s="233" customFormat="1" ht="12" customHeight="1">
      <c r="C22" s="123"/>
      <c r="D22" s="235" t="str">
        <f>IF(Indice_index!$Z$1=1,"julho","July")</f>
        <v>July</v>
      </c>
      <c r="E22" s="126">
        <v>9205.39395797</v>
      </c>
      <c r="F22" s="235">
        <v>13161.429249000001</v>
      </c>
      <c r="G22" s="235">
        <f t="shared" si="1"/>
        <v>22366.823206970003</v>
      </c>
      <c r="H22" s="235"/>
      <c r="I22" s="235">
        <v>36.754542319999999</v>
      </c>
      <c r="J22" s="235"/>
      <c r="K22" s="235">
        <v>519.83325348999995</v>
      </c>
      <c r="L22" s="235">
        <v>397.54715857999997</v>
      </c>
      <c r="M22" s="235">
        <f>467.55957207+24.42967688</f>
        <v>491.98924894999999</v>
      </c>
      <c r="N22" s="235">
        <v>290.74902378000002</v>
      </c>
      <c r="O22" s="235">
        <v>24.450711810000001</v>
      </c>
      <c r="P22" s="235">
        <f>127.66094022+21.39915648+104.11991101+202.59957619</f>
        <v>455.77958389999998</v>
      </c>
      <c r="Q22" s="235">
        <f t="shared" si="2"/>
        <v>2180.3489805099998</v>
      </c>
      <c r="R22" s="235"/>
      <c r="S22" s="285"/>
      <c r="T22" s="235">
        <f t="shared" si="0"/>
        <v>24583.926729800005</v>
      </c>
      <c r="U22"/>
      <c r="V22" s="126"/>
      <c r="W22" s="230"/>
      <c r="X22" s="369"/>
      <c r="Y22" s="368"/>
    </row>
    <row r="23" spans="2:25" s="232" customFormat="1" ht="12" customHeight="1">
      <c r="C23" s="123"/>
      <c r="D23" s="235" t="str">
        <f>IF(Indice_index!$Z$1=1,"agosto","August")</f>
        <v>August</v>
      </c>
      <c r="E23" s="235">
        <v>11026.798278390001</v>
      </c>
      <c r="F23" s="235">
        <v>15611.60156311</v>
      </c>
      <c r="G23" s="235">
        <f t="shared" si="1"/>
        <v>26638.399841500002</v>
      </c>
      <c r="H23" s="235"/>
      <c r="I23" s="235">
        <v>42.881463240000002</v>
      </c>
      <c r="J23" s="235"/>
      <c r="K23" s="235">
        <v>602.45465233000004</v>
      </c>
      <c r="L23" s="235">
        <v>424.14848159000002</v>
      </c>
      <c r="M23" s="235">
        <f>512.92357206+31.3351931</f>
        <v>544.25876515999994</v>
      </c>
      <c r="N23" s="235">
        <v>329.07797894999999</v>
      </c>
      <c r="O23" s="235">
        <v>24.463536810000001</v>
      </c>
      <c r="P23" s="235">
        <f>140.22583758+21.52532199+121.20760054+203.22019124</f>
        <v>486.17895135000003</v>
      </c>
      <c r="Q23" s="235">
        <f t="shared" si="2"/>
        <v>2410.5823661900004</v>
      </c>
      <c r="R23" s="235"/>
      <c r="S23" s="285"/>
      <c r="T23" s="235">
        <f t="shared" si="0"/>
        <v>29091.863670930004</v>
      </c>
      <c r="U23"/>
      <c r="V23" s="229"/>
      <c r="W23" s="229"/>
      <c r="X23" s="369"/>
      <c r="Y23" s="368"/>
    </row>
    <row r="24" spans="2:25" s="232" customFormat="1" ht="12" customHeight="1">
      <c r="C24" s="123"/>
      <c r="D24" s="235" t="str">
        <f>IF(Indice_index!$Z$1=1,"setembro","September")</f>
        <v>September</v>
      </c>
      <c r="E24" s="235">
        <v>13429.58547636</v>
      </c>
      <c r="F24" s="235">
        <v>17671.979305680001</v>
      </c>
      <c r="G24" s="235">
        <f t="shared" si="1"/>
        <v>31101.564782040001</v>
      </c>
      <c r="H24" s="235"/>
      <c r="I24" s="235">
        <v>47.39770833</v>
      </c>
      <c r="J24" s="235"/>
      <c r="K24" s="235">
        <v>672.10071808999999</v>
      </c>
      <c r="L24" s="235">
        <v>432.03964222000002</v>
      </c>
      <c r="M24" s="235">
        <f>606.58208486+33.54968863</f>
        <v>640.13177349</v>
      </c>
      <c r="N24" s="235">
        <v>358.46765233999997</v>
      </c>
      <c r="O24" s="235">
        <v>24.464266810000002</v>
      </c>
      <c r="P24" s="235">
        <f>153.64676292+25.21081955+136.56366907+203.60453254</f>
        <v>519.02578407999999</v>
      </c>
      <c r="Q24" s="235">
        <f t="shared" si="2"/>
        <v>2646.22983703</v>
      </c>
      <c r="R24" s="235"/>
      <c r="S24" s="285"/>
      <c r="T24" s="235">
        <f t="shared" si="0"/>
        <v>33795.192327399993</v>
      </c>
      <c r="U24"/>
      <c r="V24" s="229"/>
      <c r="W24" s="229"/>
      <c r="X24" s="369"/>
      <c r="Y24" s="368"/>
    </row>
    <row r="25" spans="2:25" s="232" customFormat="1" ht="12" customHeight="1">
      <c r="C25" s="123"/>
      <c r="D25" s="235" t="str">
        <f>IF(Indice_index!$Z$1=1,"outubro","October")</f>
        <v>October</v>
      </c>
      <c r="E25" s="235">
        <v>14642.44658849</v>
      </c>
      <c r="F25" s="235">
        <v>19537.653367409999</v>
      </c>
      <c r="G25" s="235">
        <f t="shared" si="1"/>
        <v>34180.099955899997</v>
      </c>
      <c r="H25" s="235"/>
      <c r="I25" s="235">
        <v>51.950348810000001</v>
      </c>
      <c r="J25" s="235"/>
      <c r="K25" s="235">
        <v>746.35894392</v>
      </c>
      <c r="L25" s="235">
        <v>431.84363920999999</v>
      </c>
      <c r="M25" s="235">
        <f>642.61034132+36.26043531</f>
        <v>678.87077663000002</v>
      </c>
      <c r="N25" s="235">
        <v>393.97661051</v>
      </c>
      <c r="O25" s="235">
        <v>24.55655703</v>
      </c>
      <c r="P25" s="235">
        <f>172.19448259+25.75352152+153.79738591+204.62645536</f>
        <v>556.37184537999997</v>
      </c>
      <c r="Q25" s="235">
        <f t="shared" si="2"/>
        <v>2831.9783726799997</v>
      </c>
      <c r="R25" s="235"/>
      <c r="S25" s="285"/>
      <c r="T25" s="235">
        <f t="shared" si="0"/>
        <v>37064.028677390001</v>
      </c>
      <c r="U25"/>
      <c r="V25" s="229"/>
      <c r="W25" s="229"/>
      <c r="X25" s="369"/>
      <c r="Y25" s="368"/>
    </row>
    <row r="26" spans="2:25" s="232" customFormat="1" ht="12" customHeight="1">
      <c r="C26" s="123"/>
      <c r="D26" s="235" t="str">
        <f>IF(Indice_index!$Z$1=1,"novembro","November")</f>
        <v>November</v>
      </c>
      <c r="E26" s="235">
        <v>15748.54604343</v>
      </c>
      <c r="F26" s="235">
        <v>22017.76940198</v>
      </c>
      <c r="G26" s="235">
        <f t="shared" si="1"/>
        <v>37766.31544541</v>
      </c>
      <c r="H26" s="235"/>
      <c r="I26" s="235">
        <v>57.838062119999996</v>
      </c>
      <c r="J26" s="235"/>
      <c r="K26" s="235">
        <v>817.97180601000002</v>
      </c>
      <c r="L26" s="235">
        <v>440.01316308999998</v>
      </c>
      <c r="M26" s="235">
        <f>746.61732451+39.12683099</f>
        <v>785.74415550000003</v>
      </c>
      <c r="N26" s="235">
        <v>433.87255827000001</v>
      </c>
      <c r="O26" s="235">
        <v>24.665689830000002</v>
      </c>
      <c r="P26" s="235">
        <f>187.90009279+25.89966143+171.09663534+205.19494713</f>
        <v>590.09133668999993</v>
      </c>
      <c r="Q26" s="118">
        <f t="shared" si="2"/>
        <v>3092.3587093899996</v>
      </c>
      <c r="R26" s="235"/>
      <c r="S26" s="285"/>
      <c r="T26" s="235">
        <f t="shared" si="0"/>
        <v>40916.512216919989</v>
      </c>
      <c r="U26" s="236"/>
      <c r="V26" s="229"/>
      <c r="W26" s="229"/>
      <c r="X26" s="369"/>
      <c r="Y26" s="368"/>
    </row>
    <row r="27" spans="2:25" s="232" customFormat="1" ht="12" customHeight="1">
      <c r="C27" s="123"/>
      <c r="D27" s="235" t="str">
        <f>IF(Indice_index!$Z$1=1,"dezembro","December")</f>
        <v>December</v>
      </c>
      <c r="E27" s="235">
        <v>18334.654335179999</v>
      </c>
      <c r="F27" s="235">
        <v>23876.765963139998</v>
      </c>
      <c r="G27" s="235">
        <f t="shared" si="1"/>
        <v>42211.420298319994</v>
      </c>
      <c r="H27" s="235"/>
      <c r="I27" s="235">
        <v>60.221525319999998</v>
      </c>
      <c r="J27" s="235"/>
      <c r="K27" s="235">
        <v>888.60122615</v>
      </c>
      <c r="L27" s="235">
        <v>558.36006013999997</v>
      </c>
      <c r="M27" s="235">
        <v>905.84618115000001</v>
      </c>
      <c r="N27" s="235">
        <v>498.44424469</v>
      </c>
      <c r="O27" s="235">
        <v>26.52782981</v>
      </c>
      <c r="P27" s="235">
        <v>677.60092959999997</v>
      </c>
      <c r="Q27" s="235">
        <f t="shared" si="2"/>
        <v>3555.3804715400001</v>
      </c>
      <c r="R27" s="235"/>
      <c r="S27" s="285"/>
      <c r="T27" s="235">
        <f t="shared" si="0"/>
        <v>45827.022295179995</v>
      </c>
      <c r="U27" s="236"/>
      <c r="V27" s="229"/>
      <c r="W27" s="229"/>
      <c r="X27" s="369"/>
      <c r="Y27" s="368"/>
    </row>
    <row r="28" spans="2:25" s="229" customFormat="1" ht="12" customHeight="1">
      <c r="B28" s="230"/>
      <c r="C28" s="286">
        <v>2018</v>
      </c>
      <c r="D28" s="123"/>
      <c r="E28" s="269"/>
      <c r="F28" s="269"/>
      <c r="G28" s="269"/>
      <c r="H28" s="269"/>
      <c r="I28" s="269"/>
      <c r="J28" s="269"/>
      <c r="K28" s="269"/>
      <c r="L28" s="269"/>
      <c r="M28" s="269"/>
      <c r="N28" s="269"/>
      <c r="O28" s="269"/>
      <c r="P28" s="269"/>
      <c r="Q28" s="269"/>
      <c r="R28" s="269"/>
      <c r="S28" s="269"/>
      <c r="T28" s="269"/>
      <c r="U28" s="269"/>
      <c r="V28" s="269"/>
    </row>
    <row r="29" spans="2:25" s="229" customFormat="1" ht="12" customHeight="1">
      <c r="B29" s="230"/>
      <c r="C29" s="123"/>
      <c r="D29" s="123" t="str">
        <f>IF(Indice_index!$Z$1=1,"janeiro","January")</f>
        <v>January</v>
      </c>
      <c r="E29" s="126">
        <v>1253.7157417999999</v>
      </c>
      <c r="F29" s="126">
        <v>1660.4523811399999</v>
      </c>
      <c r="G29" s="235">
        <f t="shared" si="1"/>
        <v>2914.1681229400001</v>
      </c>
      <c r="H29" s="126"/>
      <c r="I29" s="126">
        <v>6.0599483799999998</v>
      </c>
      <c r="J29" s="126"/>
      <c r="K29" s="126">
        <v>76.26393358</v>
      </c>
      <c r="L29" s="126">
        <v>24.751768940000002</v>
      </c>
      <c r="M29" s="126">
        <f>40.56554935+8.08129311</f>
        <v>48.646842460000002</v>
      </c>
      <c r="N29" s="126">
        <v>32.318010409999999</v>
      </c>
      <c r="O29" s="126">
        <v>2.7717599999999998E-3</v>
      </c>
      <c r="P29" s="235">
        <f>12.49025704+0.15130912+17.27352915+162.25621286+0</f>
        <v>192.17130817</v>
      </c>
      <c r="Q29" s="235">
        <f t="shared" si="2"/>
        <v>374.15463532000001</v>
      </c>
      <c r="R29" s="126"/>
      <c r="S29" s="284"/>
      <c r="T29" s="235">
        <f t="shared" ref="T29:T40" si="3">IF(SUM(E29:F29,I29,K29:P29)=0,"",SUM(E29:F29,I29,K29:P29))</f>
        <v>3294.3827066400004</v>
      </c>
      <c r="U29"/>
      <c r="V29" s="126"/>
      <c r="W29" s="230"/>
      <c r="X29" s="369"/>
      <c r="Y29" s="368"/>
    </row>
    <row r="30" spans="2:25" s="229" customFormat="1" ht="12" customHeight="1">
      <c r="B30" s="230"/>
      <c r="C30" s="123"/>
      <c r="D30" s="123" t="str">
        <f>IF(Indice_index!$Z$1=1,"fevereiro","February")</f>
        <v>February</v>
      </c>
      <c r="E30" s="126">
        <v>2364.6079911699999</v>
      </c>
      <c r="F30" s="126">
        <v>4390.1291634999998</v>
      </c>
      <c r="G30" s="235">
        <f t="shared" si="1"/>
        <v>6754.7371546699997</v>
      </c>
      <c r="H30" s="126"/>
      <c r="I30" s="126">
        <v>12.056979</v>
      </c>
      <c r="J30" s="126"/>
      <c r="K30" s="126">
        <v>148.46800039999999</v>
      </c>
      <c r="L30" s="126">
        <v>27.707044750000001</v>
      </c>
      <c r="M30" s="126">
        <f>117.91799174+9.80145992</f>
        <v>127.71945166</v>
      </c>
      <c r="N30" s="126">
        <v>67.001875369999993</v>
      </c>
      <c r="O30" s="126">
        <v>0.57043482000000001</v>
      </c>
      <c r="P30" s="235">
        <f>32.97505219+0.16736937+38.55316212+175.65263449</f>
        <v>247.34821817</v>
      </c>
      <c r="Q30" s="126">
        <f t="shared" si="2"/>
        <v>618.8150251699999</v>
      </c>
      <c r="R30" s="126"/>
      <c r="S30" s="284"/>
      <c r="T30" s="235">
        <f t="shared" si="3"/>
        <v>7385.6091588399995</v>
      </c>
      <c r="U30"/>
      <c r="V30" s="126"/>
      <c r="W30" s="230"/>
      <c r="X30" s="369"/>
      <c r="Y30" s="368"/>
    </row>
    <row r="31" spans="2:25" s="234" customFormat="1" ht="12" customHeight="1">
      <c r="B31" s="237"/>
      <c r="C31" s="123"/>
      <c r="D31" s="123" t="str">
        <f>IF(Indice_index!$Z$1=1,"março","March")</f>
        <v>March</v>
      </c>
      <c r="E31" s="126">
        <v>3474.5101827100002</v>
      </c>
      <c r="F31" s="126">
        <v>6041.4726027099996</v>
      </c>
      <c r="G31" s="235">
        <f t="shared" si="1"/>
        <v>9515.9827854199993</v>
      </c>
      <c r="H31" s="126"/>
      <c r="I31" s="126">
        <v>16.697912479999999</v>
      </c>
      <c r="J31" s="126"/>
      <c r="K31" s="126">
        <v>215.82716639</v>
      </c>
      <c r="L31" s="126">
        <v>30.642374570000001</v>
      </c>
      <c r="M31" s="126">
        <f>186.98290108+11.80679125</f>
        <v>198.78969233000001</v>
      </c>
      <c r="N31" s="126">
        <v>104.88342230000001</v>
      </c>
      <c r="O31" s="126">
        <v>-2.6992274100000002</v>
      </c>
      <c r="P31" s="235">
        <f>50.63162938+1.32294432+55.96967244+177.79980257</f>
        <v>285.72404870999998</v>
      </c>
      <c r="Q31" s="126">
        <f t="shared" si="2"/>
        <v>833.16747688999999</v>
      </c>
      <c r="R31" s="126"/>
      <c r="S31" s="284"/>
      <c r="T31" s="235">
        <f t="shared" si="3"/>
        <v>10365.848174789999</v>
      </c>
      <c r="U31"/>
      <c r="V31" s="126"/>
      <c r="W31" s="230"/>
      <c r="X31" s="369"/>
      <c r="Y31" s="368"/>
    </row>
    <row r="32" spans="2:25" s="234" customFormat="1" ht="12" customHeight="1">
      <c r="B32" s="237"/>
      <c r="C32" s="123"/>
      <c r="D32" s="123" t="str">
        <f>IF(Indice_index!$Z$1=1,"abril","April")</f>
        <v>April</v>
      </c>
      <c r="E32" s="126">
        <v>3996.8074549600001</v>
      </c>
      <c r="F32" s="126">
        <v>7762.2617313600003</v>
      </c>
      <c r="G32" s="235">
        <f t="shared" si="1"/>
        <v>11759.069186320001</v>
      </c>
      <c r="H32" s="126"/>
      <c r="I32" s="126">
        <v>21.07350121</v>
      </c>
      <c r="J32" s="126"/>
      <c r="K32" s="126">
        <v>283.53108022999999</v>
      </c>
      <c r="L32" s="235">
        <v>446.18225904000002</v>
      </c>
      <c r="M32" s="235">
        <f>259.97701799+13.84883031</f>
        <v>273.82584829999996</v>
      </c>
      <c r="N32" s="126">
        <v>146.86369463</v>
      </c>
      <c r="O32" s="126">
        <v>-2.6924659599999998</v>
      </c>
      <c r="P32" s="235">
        <f>64.74508232+1.94915493+71.44419349+179.45372867+0</f>
        <v>317.59215941000002</v>
      </c>
      <c r="Q32" s="126">
        <f t="shared" si="2"/>
        <v>1465.3025756500001</v>
      </c>
      <c r="R32" s="126"/>
      <c r="S32" s="284"/>
      <c r="T32" s="235">
        <f t="shared" si="3"/>
        <v>13245.445263179998</v>
      </c>
      <c r="U32"/>
      <c r="V32" s="126"/>
      <c r="W32" s="230"/>
      <c r="X32" s="369"/>
      <c r="Y32" s="368"/>
    </row>
    <row r="33" spans="2:25" s="234" customFormat="1" ht="12" customHeight="1">
      <c r="B33" s="237"/>
      <c r="C33" s="123"/>
      <c r="D33" s="123" t="str">
        <f>IF(Indice_index!$Z$1=1,"maio","May")</f>
        <v>May</v>
      </c>
      <c r="E33" s="126">
        <v>3921.6379446999999</v>
      </c>
      <c r="F33" s="126">
        <v>10070.68556476</v>
      </c>
      <c r="G33" s="235">
        <f t="shared" si="1"/>
        <v>13992.32350946</v>
      </c>
      <c r="H33" s="126"/>
      <c r="I33" s="126">
        <v>25.56323154</v>
      </c>
      <c r="J33" s="126"/>
      <c r="K33" s="126">
        <v>377.32214455000002</v>
      </c>
      <c r="L33" s="126">
        <v>450.69677908</v>
      </c>
      <c r="M33" s="126">
        <f>349.3387851+19.0795892</f>
        <v>368.41837429999998</v>
      </c>
      <c r="N33" s="126">
        <v>200.09202339000001</v>
      </c>
      <c r="O33" s="126">
        <v>-2.6768007699999998</v>
      </c>
      <c r="P33" s="235">
        <f>77.27338641+2.08129287+90.30002748+189.07249001</f>
        <v>358.72719676999998</v>
      </c>
      <c r="Q33" s="126">
        <f t="shared" si="2"/>
        <v>1752.5797173200003</v>
      </c>
      <c r="R33" s="126"/>
      <c r="S33" s="284"/>
      <c r="T33" s="235">
        <f t="shared" si="3"/>
        <v>15770.466458320001</v>
      </c>
      <c r="U33" s="218"/>
      <c r="V33" s="126"/>
      <c r="W33" s="230"/>
      <c r="X33" s="369"/>
      <c r="Y33" s="368"/>
    </row>
    <row r="34" spans="2:25" s="233" customFormat="1" ht="12" customHeight="1">
      <c r="C34" s="123"/>
      <c r="D34" s="123" t="str">
        <f>IF(Indice_index!$Z$1=1,"junho","June")</f>
        <v>June</v>
      </c>
      <c r="E34" s="123">
        <v>6886.0885745999994</v>
      </c>
      <c r="F34" s="123">
        <v>11794.788212200001</v>
      </c>
      <c r="G34" s="123">
        <f t="shared" si="1"/>
        <v>18680.8767868</v>
      </c>
      <c r="H34" s="123"/>
      <c r="I34" s="123">
        <v>32.563363789999997</v>
      </c>
      <c r="J34" s="123"/>
      <c r="K34" s="123">
        <v>463.85224441000003</v>
      </c>
      <c r="L34" s="123">
        <v>453.33493637000004</v>
      </c>
      <c r="M34" s="123">
        <v>435.81350293999998</v>
      </c>
      <c r="N34" s="123">
        <v>243.19328272000001</v>
      </c>
      <c r="O34" s="123">
        <v>4.0493632000000002</v>
      </c>
      <c r="P34" s="235">
        <v>422.69486086000001</v>
      </c>
      <c r="Q34" s="123">
        <f t="shared" si="2"/>
        <v>2022.9381905000002</v>
      </c>
      <c r="R34" s="123"/>
      <c r="S34" s="287"/>
      <c r="T34" s="235">
        <f t="shared" si="3"/>
        <v>20736.37834109</v>
      </c>
      <c r="U34"/>
      <c r="V34" s="126"/>
      <c r="W34" s="230"/>
      <c r="X34" s="369"/>
      <c r="Y34" s="368"/>
    </row>
    <row r="35" spans="2:25" s="233" customFormat="1" ht="12" customHeight="1">
      <c r="C35" s="123"/>
      <c r="D35" s="235" t="str">
        <f>IF(Indice_index!$Z$1=1,"julho","July")</f>
        <v>July</v>
      </c>
      <c r="E35" s="126">
        <v>9863.3935403699998</v>
      </c>
      <c r="F35" s="235">
        <v>13663.03900954</v>
      </c>
      <c r="G35" s="123">
        <f t="shared" si="1"/>
        <v>23526.432549910001</v>
      </c>
      <c r="H35" s="235"/>
      <c r="I35" s="235">
        <v>37.215961229999998</v>
      </c>
      <c r="J35" s="235"/>
      <c r="K35" s="235">
        <v>556.08910676999994</v>
      </c>
      <c r="L35" s="235">
        <v>454.46175696</v>
      </c>
      <c r="M35" s="235">
        <f>470.63914827+27.79534986</f>
        <v>498.43449813000001</v>
      </c>
      <c r="N35" s="235">
        <v>285.03767562000002</v>
      </c>
      <c r="O35" s="235">
        <v>3.35840592</v>
      </c>
      <c r="P35" s="235">
        <f>137.96581313+3.58845288+126.77265676+209.50353733</f>
        <v>477.83046009999998</v>
      </c>
      <c r="Q35" s="123">
        <f t="shared" si="2"/>
        <v>2275.2119035000001</v>
      </c>
      <c r="R35" s="235"/>
      <c r="S35" s="285"/>
      <c r="T35" s="235">
        <f t="shared" si="3"/>
        <v>25838.860414639996</v>
      </c>
      <c r="U35"/>
      <c r="V35" s="126"/>
      <c r="W35" s="230"/>
      <c r="X35" s="369"/>
      <c r="Y35" s="368"/>
    </row>
    <row r="36" spans="2:25" s="232" customFormat="1" ht="12" customHeight="1">
      <c r="C36" s="123"/>
      <c r="D36" s="235" t="str">
        <f>IF(Indice_index!$Z$1=1,"agosto","August")</f>
        <v>August</v>
      </c>
      <c r="E36" s="235">
        <v>11756.5224678</v>
      </c>
      <c r="F36" s="235">
        <v>16215.52937075</v>
      </c>
      <c r="G36" s="123">
        <f t="shared" si="1"/>
        <v>27972.05183855</v>
      </c>
      <c r="H36" s="235"/>
      <c r="I36" s="235">
        <v>43.423305310000003</v>
      </c>
      <c r="J36" s="235"/>
      <c r="K36" s="235">
        <v>644.58885660999999</v>
      </c>
      <c r="L36" s="235">
        <v>479.97636956000002</v>
      </c>
      <c r="M36" s="235">
        <f>521.23309848+44.81984396</f>
        <v>566.05294243999992</v>
      </c>
      <c r="N36" s="235">
        <v>324.43034876000002</v>
      </c>
      <c r="O36" s="235">
        <v>3.3867896900000001</v>
      </c>
      <c r="P36" s="235">
        <f>146.12289822+3.81477613+149.05327854+209.97313808</f>
        <v>508.96409097000003</v>
      </c>
      <c r="Q36" s="123">
        <f t="shared" si="2"/>
        <v>2527.3993980299997</v>
      </c>
      <c r="R36" s="235"/>
      <c r="S36" s="285"/>
      <c r="T36" s="235">
        <f>IF(SUM(E36:F36,I36,K36:P36)=0,"",SUM(E36:F36,I36,K36:P36))</f>
        <v>30542.874541890003</v>
      </c>
      <c r="U36"/>
      <c r="V36" s="229"/>
      <c r="W36" s="229"/>
      <c r="X36" s="369"/>
      <c r="Y36" s="368"/>
    </row>
    <row r="37" spans="2:25" s="232" customFormat="1" ht="12" customHeight="1">
      <c r="C37" s="123"/>
      <c r="D37" s="235" t="str">
        <f>IF(Indice_index!$Z$1=1,"setembro","September")</f>
        <v>September</v>
      </c>
      <c r="E37" s="235">
        <v>14345.021875869999</v>
      </c>
      <c r="F37" s="235">
        <v>18431.939746489999</v>
      </c>
      <c r="G37" s="123">
        <f t="shared" si="1"/>
        <v>32776.961622360002</v>
      </c>
      <c r="H37" s="235"/>
      <c r="I37" s="235">
        <v>47.811498129999997</v>
      </c>
      <c r="J37" s="235"/>
      <c r="K37" s="235">
        <v>723.69145544000003</v>
      </c>
      <c r="L37" s="235">
        <v>488.44596855999998</v>
      </c>
      <c r="M37" s="235">
        <f>614.52297052+54.79461441</f>
        <v>669.31758492999995</v>
      </c>
      <c r="N37" s="235">
        <v>358.09497440000001</v>
      </c>
      <c r="O37" s="235">
        <v>4.4259111200000003</v>
      </c>
      <c r="P37" s="235">
        <f>166.67255286+6.51016816+164.7917865+210.737074</f>
        <v>548.71158151999998</v>
      </c>
      <c r="Q37" s="123">
        <f t="shared" si="2"/>
        <v>2792.6874759699999</v>
      </c>
      <c r="R37" s="235"/>
      <c r="S37" s="285"/>
      <c r="T37" s="235">
        <f t="shared" si="3"/>
        <v>35617.460596460012</v>
      </c>
      <c r="U37"/>
      <c r="V37" s="229"/>
      <c r="W37" s="229"/>
      <c r="X37" s="369"/>
      <c r="Y37" s="368"/>
    </row>
    <row r="38" spans="2:25" s="232" customFormat="1" ht="12" customHeight="1">
      <c r="C38" s="123"/>
      <c r="D38" s="235" t="str">
        <f>IF(Indice_index!$Z$1=1,"outubro","October")</f>
        <v>October</v>
      </c>
      <c r="E38" s="235"/>
      <c r="F38" s="235"/>
      <c r="G38" s="235"/>
      <c r="H38" s="235"/>
      <c r="I38" s="235"/>
      <c r="J38" s="235"/>
      <c r="K38" s="235"/>
      <c r="L38" s="235"/>
      <c r="M38" s="235"/>
      <c r="N38" s="235"/>
      <c r="O38" s="235"/>
      <c r="P38" s="235"/>
      <c r="Q38" s="235"/>
      <c r="R38" s="235"/>
      <c r="S38" s="285"/>
      <c r="T38" s="235" t="str">
        <f t="shared" si="3"/>
        <v/>
      </c>
      <c r="U38"/>
      <c r="V38" s="229"/>
      <c r="W38" s="229"/>
      <c r="X38" s="369"/>
      <c r="Y38" s="368"/>
    </row>
    <row r="39" spans="2:25" s="232" customFormat="1" ht="12" customHeight="1">
      <c r="C39" s="123"/>
      <c r="D39" s="235" t="str">
        <f>IF(Indice_index!$Z$1=1,"novembro","November")</f>
        <v>November</v>
      </c>
      <c r="E39" s="235"/>
      <c r="F39" s="235"/>
      <c r="G39" s="235"/>
      <c r="H39" s="235"/>
      <c r="I39" s="235"/>
      <c r="J39" s="235"/>
      <c r="K39" s="235"/>
      <c r="L39" s="235"/>
      <c r="M39" s="235"/>
      <c r="N39" s="235"/>
      <c r="O39" s="235"/>
      <c r="P39" s="235"/>
      <c r="Q39" s="118"/>
      <c r="R39" s="235"/>
      <c r="S39" s="285"/>
      <c r="T39" s="235" t="str">
        <f t="shared" si="3"/>
        <v/>
      </c>
      <c r="U39" s="236"/>
      <c r="V39" s="229"/>
      <c r="W39" s="229"/>
      <c r="X39" s="369"/>
      <c r="Y39" s="368"/>
    </row>
    <row r="40" spans="2:25" s="232" customFormat="1" ht="12" customHeight="1">
      <c r="C40" s="213"/>
      <c r="D40" s="258" t="str">
        <f>IF(Indice_index!$Z$1=1,"dezembro","December")</f>
        <v>December</v>
      </c>
      <c r="E40" s="258"/>
      <c r="F40" s="258"/>
      <c r="G40" s="258"/>
      <c r="H40" s="258"/>
      <c r="I40" s="258"/>
      <c r="J40" s="258"/>
      <c r="K40" s="258"/>
      <c r="L40" s="258"/>
      <c r="M40" s="258"/>
      <c r="N40" s="258"/>
      <c r="O40" s="258"/>
      <c r="P40" s="258"/>
      <c r="Q40" s="258"/>
      <c r="R40" s="258"/>
      <c r="S40" s="285"/>
      <c r="T40" s="258" t="str">
        <f t="shared" si="3"/>
        <v/>
      </c>
      <c r="U40" s="236"/>
      <c r="V40" s="229"/>
      <c r="W40" s="229"/>
      <c r="X40" s="369"/>
      <c r="Y40" s="368"/>
    </row>
    <row r="41" spans="2:25" s="110" customFormat="1" ht="15.75" customHeight="1">
      <c r="B41" s="120"/>
      <c r="C41" s="123"/>
      <c r="D41" s="123"/>
      <c r="E41" s="126"/>
      <c r="F41" s="126"/>
      <c r="G41" s="126"/>
      <c r="H41" s="126"/>
      <c r="I41" s="126"/>
      <c r="J41" s="126"/>
      <c r="K41" s="126"/>
      <c r="L41" s="126"/>
      <c r="M41" s="126"/>
      <c r="N41" s="126"/>
      <c r="O41" s="126"/>
      <c r="P41" s="126"/>
      <c r="Q41" s="126"/>
      <c r="R41" s="126"/>
      <c r="S41" s="218"/>
      <c r="T41" s="250"/>
      <c r="U41" s="108"/>
    </row>
    <row r="42" spans="2:25" customFormat="1" ht="13">
      <c r="C42" s="370"/>
      <c r="D42" s="370"/>
    </row>
    <row r="43" spans="2:25" customFormat="1" ht="13"/>
    <row r="44" spans="2:25" customFormat="1" ht="13"/>
    <row r="45" spans="2:25" customFormat="1" ht="13"/>
    <row r="46" spans="2:25" customFormat="1" ht="13"/>
    <row r="47" spans="2:25" customFormat="1" ht="13"/>
    <row r="48" spans="2:25" customFormat="1" ht="13"/>
    <row r="49" spans="6:22" customFormat="1" ht="13"/>
    <row r="52" spans="6:22">
      <c r="G52" s="271"/>
      <c r="I52" s="271"/>
    </row>
    <row r="53" spans="6:22">
      <c r="G53" s="271"/>
      <c r="I53" s="271"/>
    </row>
    <row r="54" spans="6:22">
      <c r="F54" s="371"/>
      <c r="G54" s="371"/>
      <c r="I54" s="371"/>
      <c r="L54" s="372"/>
      <c r="M54" s="371"/>
      <c r="N54" s="373"/>
      <c r="O54" s="374"/>
      <c r="P54" s="373"/>
      <c r="Q54" s="373"/>
      <c r="T54" s="371"/>
      <c r="V54" s="371"/>
    </row>
    <row r="55" spans="6:22">
      <c r="N55" s="375"/>
      <c r="O55" s="375"/>
      <c r="P55" s="375"/>
      <c r="Q55" s="375"/>
    </row>
    <row r="57" spans="6:22">
      <c r="F57" s="376"/>
      <c r="I57" s="376"/>
    </row>
    <row r="58" spans="6:22">
      <c r="F58" s="376"/>
      <c r="I58" s="376"/>
    </row>
    <row r="59" spans="6:22">
      <c r="F59" s="376"/>
      <c r="I59" s="376"/>
    </row>
    <row r="60" spans="6:22">
      <c r="F60" s="376"/>
      <c r="I60" s="376"/>
    </row>
    <row r="61" spans="6:22">
      <c r="F61" s="376"/>
      <c r="I61" s="376"/>
    </row>
    <row r="62" spans="6:22">
      <c r="F62" s="376"/>
      <c r="I62" s="376"/>
    </row>
    <row r="63" spans="6:22">
      <c r="F63" s="376"/>
      <c r="I63" s="376"/>
    </row>
    <row r="64" spans="6:22">
      <c r="F64" s="376"/>
      <c r="I64" s="376"/>
    </row>
    <row r="65" spans="6:9">
      <c r="F65" s="376"/>
      <c r="I65" s="376"/>
    </row>
    <row r="66" spans="6:9">
      <c r="F66" s="376"/>
      <c r="I66" s="376"/>
    </row>
    <row r="67" spans="6:9">
      <c r="F67" s="376"/>
      <c r="I67" s="376"/>
    </row>
    <row r="68" spans="6:9">
      <c r="F68" s="376"/>
    </row>
    <row r="69" spans="6:9">
      <c r="F69" s="376"/>
    </row>
    <row r="71" spans="6:9">
      <c r="I71" s="376"/>
    </row>
  </sheetData>
  <mergeCells count="2">
    <mergeCell ref="E5:G5"/>
    <mergeCell ref="K5:Q5"/>
  </mergeCells>
  <printOptions horizontalCentered="1"/>
  <pageMargins left="0.23622047244094491" right="0.23622047244094491" top="0.74803149606299213" bottom="0.74803149606299213" header="0.31496062992125984" footer="0.31496062992125984"/>
  <pageSetup paperSize="9" scale="70" fitToHeight="0" orientation="landscape"/>
  <headerFooter>
    <oddHeader>&amp;L&amp;G</oddHeader>
  </headerFooter>
  <ignoredErrors>
    <ignoredError sqref="C8:C14" numberStoredAsText="1"/>
    <ignoredError sqref="G14 Q14" formula="1"/>
  </ignoredErrors>
  <drawing r:id="rId1"/>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C40"/>
  <sheetViews>
    <sheetView showGridLines="0" tabSelected="1" zoomScale="90" zoomScaleNormal="90" workbookViewId="0">
      <selection activeCell="Y44" sqref="Y44"/>
    </sheetView>
  </sheetViews>
  <sheetFormatPr baseColWidth="10" defaultColWidth="9.1640625" defaultRowHeight="14"/>
  <cols>
    <col min="1" max="1" width="4.33203125" style="118" customWidth="1"/>
    <col min="2" max="2" width="4.1640625" style="118" customWidth="1"/>
    <col min="3" max="3" width="7.83203125" style="118" customWidth="1"/>
    <col min="4" max="4" width="9.6640625" style="118" bestFit="1" customWidth="1"/>
    <col min="5" max="5" width="14" style="118" customWidth="1"/>
    <col min="6" max="6" width="16.5" style="118" bestFit="1" customWidth="1"/>
    <col min="7" max="7" width="11.83203125" style="118" customWidth="1"/>
    <col min="8" max="8" width="2" style="118" customWidth="1"/>
    <col min="9" max="9" width="11.6640625" style="118" customWidth="1"/>
    <col min="10" max="10" width="9.83203125" style="118" customWidth="1"/>
    <col min="11" max="11" width="11.83203125" style="118" customWidth="1"/>
    <col min="12" max="12" width="11" style="118" customWidth="1"/>
    <col min="13" max="13" width="13.33203125" style="118" customWidth="1"/>
    <col min="14" max="14" width="1.5" style="118" customWidth="1"/>
    <col min="15" max="15" width="13.1640625" style="118" customWidth="1"/>
    <col min="16" max="16" width="9.83203125" style="118" customWidth="1"/>
    <col min="17" max="17" width="13.6640625" style="118" customWidth="1"/>
    <col min="18" max="19" width="11.5" style="118" customWidth="1"/>
    <col min="20" max="20" width="2.33203125" style="118" customWidth="1"/>
    <col min="21" max="21" width="12.1640625" style="118" customWidth="1"/>
    <col min="22" max="22" width="14.5" style="118" customWidth="1"/>
    <col min="23" max="23" width="13.6640625" style="118" customWidth="1"/>
    <col min="24" max="24" width="4.33203125" style="118" customWidth="1"/>
    <col min="25" max="25" width="13.6640625" style="118" customWidth="1"/>
    <col min="26" max="26" width="10.1640625" style="118" customWidth="1"/>
    <col min="27" max="27" width="23.5" style="118" customWidth="1"/>
    <col min="28" max="28" width="25" style="118" customWidth="1"/>
    <col min="29" max="16384" width="9.1640625" style="118"/>
  </cols>
  <sheetData>
    <row r="2" spans="2:29" s="106" customFormat="1" ht="20" thickBot="1">
      <c r="B2" s="103"/>
      <c r="C2" s="135" t="str">
        <f>IF(Indice_index!$Z$1=1,"3 - Despesa do subsetor Estado - Classificação Funcional","3 - State subsector expenditure - Functional Classification")</f>
        <v>3 - State subsector expenditure - Functional Classification</v>
      </c>
      <c r="D2" s="104"/>
      <c r="E2" s="104"/>
      <c r="F2" s="104"/>
      <c r="G2" s="104"/>
      <c r="H2" s="104"/>
      <c r="I2" s="104"/>
      <c r="J2" s="104"/>
      <c r="K2" s="104"/>
      <c r="L2" s="104"/>
      <c r="M2" s="104"/>
      <c r="N2" s="104"/>
      <c r="O2" s="104"/>
      <c r="P2" s="104"/>
      <c r="Q2" s="104"/>
      <c r="R2" s="104"/>
      <c r="S2" s="104"/>
      <c r="T2" s="104"/>
      <c r="U2" s="104"/>
      <c r="V2" s="104"/>
      <c r="W2" s="105"/>
      <c r="X2" s="105"/>
      <c r="Y2" s="105"/>
      <c r="AA2" s="108"/>
      <c r="AB2" s="108"/>
      <c r="AC2" s="108"/>
    </row>
    <row r="4" spans="2:29" s="110" customFormat="1">
      <c r="C4" s="111"/>
      <c r="D4" s="111"/>
      <c r="E4" s="128"/>
      <c r="F4" s="128"/>
      <c r="G4" s="128"/>
      <c r="H4" s="129"/>
      <c r="I4" s="130"/>
      <c r="J4" s="130"/>
      <c r="K4" s="128"/>
      <c r="L4" s="128"/>
      <c r="M4" s="132"/>
      <c r="N4" s="133"/>
      <c r="O4" s="128"/>
      <c r="P4" s="128"/>
      <c r="Q4" s="128"/>
      <c r="R4" s="128"/>
      <c r="S4" s="128"/>
      <c r="T4" s="129"/>
      <c r="U4" s="128"/>
      <c r="V4" s="128"/>
      <c r="W4" s="134"/>
      <c r="X4" s="108"/>
      <c r="Y4" s="134" t="str">
        <f>IF(Indice_index!$Z$1=1,"€ Milhões","€ Millions")</f>
        <v>€ Millions</v>
      </c>
      <c r="Z4" s="108"/>
    </row>
    <row r="5" spans="2:29" s="110" customFormat="1" ht="15.75" customHeight="1">
      <c r="C5" s="210"/>
      <c r="D5" s="210"/>
      <c r="E5" s="394" t="str">
        <f>IF(Indice_index!$Z$1=1,"Funções Gerais de Soberania","Sovereign General Functions")</f>
        <v>Sovereign General Functions</v>
      </c>
      <c r="F5" s="394" t="s">
        <v>11</v>
      </c>
      <c r="G5" s="394" t="s">
        <v>11</v>
      </c>
      <c r="H5" s="214"/>
      <c r="I5" s="395" t="str">
        <f>IF(Indice_index!$Z$1=1,"Funções Sociais","Social Functions")</f>
        <v>Social Functions</v>
      </c>
      <c r="J5" s="395" t="s">
        <v>12</v>
      </c>
      <c r="K5" s="395" t="s">
        <v>12</v>
      </c>
      <c r="L5" s="395" t="s">
        <v>12</v>
      </c>
      <c r="M5" s="395" t="s">
        <v>12</v>
      </c>
      <c r="N5" s="215"/>
      <c r="O5" s="395" t="str">
        <f>IF(Indice_index!$Z$1=1,"Funções Económicas","Economic Functions")</f>
        <v>Economic Functions</v>
      </c>
      <c r="P5" s="395" t="s">
        <v>13</v>
      </c>
      <c r="Q5" s="395" t="s">
        <v>13</v>
      </c>
      <c r="R5" s="395" t="s">
        <v>13</v>
      </c>
      <c r="S5" s="395" t="s">
        <v>13</v>
      </c>
      <c r="T5" s="215"/>
      <c r="U5" s="395" t="str">
        <f>IF(Indice_index!$Z$1=1,"Outras Funções","Other Functions")</f>
        <v>Other Functions</v>
      </c>
      <c r="V5" s="395" t="s">
        <v>14</v>
      </c>
      <c r="W5" s="395" t="s">
        <v>14</v>
      </c>
      <c r="X5" s="108"/>
      <c r="Y5" s="216"/>
    </row>
    <row r="6" spans="2:29" s="116" customFormat="1" ht="69.5" customHeight="1">
      <c r="B6" s="113"/>
      <c r="C6" s="206"/>
      <c r="D6" s="206"/>
      <c r="E6" s="209" t="str">
        <f>IF(Indice_index!$Z$1=1,"Serviços Gerais da Administração Pública","General Public Services")</f>
        <v>General Public Services</v>
      </c>
      <c r="F6" s="209" t="str">
        <f>IF(Indice_index!$Z$1=1,"Defesa Nacional","National Defense")</f>
        <v>National Defense</v>
      </c>
      <c r="G6" s="209" t="str">
        <f>IF(Indice_index!$Z$1=1,"Segurança e Ordem Públicas","Public Order and Safety")</f>
        <v>Public Order and Safety</v>
      </c>
      <c r="H6" s="217"/>
      <c r="I6" s="209" t="str">
        <f>IF(Indice_index!$Z$1=1,"Educação","Education")</f>
        <v>Education</v>
      </c>
      <c r="J6" s="209" t="str">
        <f>IF(Indice_index!$Z$1=1,"Saúde","Health")</f>
        <v>Health</v>
      </c>
      <c r="K6" s="209" t="str">
        <f>IF(Indice_index!$Z$1=1,"Segurança e Ação Sociais","Safety and Social Services")</f>
        <v>Safety and Social Services</v>
      </c>
      <c r="L6" s="209" t="str">
        <f>IF(Indice_index!$Z$1=1,"Habitação e Serviços Colectivos","Housing and Collective Services")</f>
        <v>Housing and Collective Services</v>
      </c>
      <c r="M6" s="209" t="str">
        <f>IF(Indice_index!$Z$1=1,"Serviços Culturais, Recreativos e Religiosos","Cultural, Recreational e Religious Services")</f>
        <v>Cultural, Recreational e Religious Services</v>
      </c>
      <c r="N6" s="207"/>
      <c r="O6" s="209" t="str">
        <f>IF(Indice_index!$Z$1=1,"Agricultura e Pecuária, Silvicultura, Caça e Pesca","Agriculture and Livestock, Forestry, Fishing and Hunting")</f>
        <v>Agriculture and Livestock, Forestry, Fishing and Hunting</v>
      </c>
      <c r="P6" s="209" t="str">
        <f>IF(Indice_index!$Z$1=1,"Indústria e Energia","Industry and Energy")</f>
        <v>Industry and Energy</v>
      </c>
      <c r="Q6" s="209" t="str">
        <f>IF(Indice_index!$Z$1=1,"Transportes e Comunicações","Transport and Communication")</f>
        <v>Transport and Communication</v>
      </c>
      <c r="R6" s="209" t="str">
        <f>IF(Indice_index!$Z$1=1,"Comércio e Turismo","Trade and Tourism")</f>
        <v>Trade and Tourism</v>
      </c>
      <c r="S6" s="209" t="str">
        <f>IF(Indice_index!$Z$1=1,"Outras Funções Económicas","Other Economic Functions")</f>
        <v>Other Economic Functions</v>
      </c>
      <c r="T6" s="207"/>
      <c r="U6" s="209" t="str">
        <f>IF(Indice_index!$Z$1=1,"Operações da Dívida Pública","Public Debt Operations")</f>
        <v>Public Debt Operations</v>
      </c>
      <c r="V6" s="209" t="str">
        <f>IF(Indice_index!$Z$1=1,"Transferências entre Administrações Públicas","Transfers within the General Government")</f>
        <v>Transfers within the General Government</v>
      </c>
      <c r="W6" s="209" t="str">
        <f>IF(Indice_index!$Z$1=1,"Diversas não especificadas","Not Elsewhere Classified")</f>
        <v>Not Elsewhere Classified</v>
      </c>
      <c r="X6" s="115"/>
      <c r="Y6" s="209" t="str">
        <f>IF(Indice_index!$Z$1=1,"TOTAL","TOTAL")</f>
        <v>TOTAL</v>
      </c>
    </row>
    <row r="7" spans="2:29" s="116" customFormat="1" ht="16.25" customHeight="1">
      <c r="B7" s="113"/>
      <c r="C7" s="121"/>
      <c r="D7" s="119"/>
      <c r="E7" s="119"/>
      <c r="F7" s="119"/>
      <c r="G7" s="127"/>
      <c r="H7" s="127"/>
      <c r="I7" s="119"/>
      <c r="J7" s="119"/>
      <c r="K7" s="119"/>
      <c r="L7" s="119"/>
      <c r="M7" s="127"/>
      <c r="N7" s="127"/>
      <c r="O7" s="119"/>
      <c r="P7" s="119"/>
      <c r="Q7" s="119"/>
      <c r="R7" s="119"/>
      <c r="S7" s="127"/>
      <c r="T7" s="127"/>
      <c r="U7" s="119"/>
      <c r="V7" s="119"/>
      <c r="W7" s="108"/>
      <c r="X7" s="115"/>
      <c r="Y7" s="108"/>
    </row>
    <row r="8" spans="2:29" s="229" customFormat="1">
      <c r="C8" s="281" t="s">
        <v>3</v>
      </c>
      <c r="D8" s="119"/>
      <c r="E8" s="118">
        <v>1945.8910767</v>
      </c>
      <c r="F8" s="118">
        <v>3079.8201110499999</v>
      </c>
      <c r="G8" s="118">
        <v>3242.5955221499999</v>
      </c>
      <c r="H8" s="110"/>
      <c r="I8" s="118">
        <v>8559.1671882699993</v>
      </c>
      <c r="J8" s="118">
        <v>9776.4555506399993</v>
      </c>
      <c r="K8" s="118">
        <v>11809.81511439</v>
      </c>
      <c r="L8" s="118">
        <v>315.84629310000003</v>
      </c>
      <c r="M8" s="118">
        <v>381.90481331000001</v>
      </c>
      <c r="N8" s="110"/>
      <c r="O8" s="118">
        <v>467.98375338</v>
      </c>
      <c r="P8" s="118">
        <v>72.816367979999995</v>
      </c>
      <c r="Q8" s="118">
        <v>573.60646896000003</v>
      </c>
      <c r="R8" s="118">
        <v>0</v>
      </c>
      <c r="S8" s="118">
        <v>473.15192012</v>
      </c>
      <c r="T8" s="110"/>
      <c r="U8" s="110">
        <v>4970.0474270200002</v>
      </c>
      <c r="V8" s="110">
        <v>4896.3422121399999</v>
      </c>
      <c r="W8" s="110">
        <v>0</v>
      </c>
      <c r="X8" s="282"/>
      <c r="Y8" s="110">
        <f t="shared" ref="Y8:Y14" si="0">IF(SUM(E8:W8)=0,"",SUM(E8:W8))</f>
        <v>50565.443819210006</v>
      </c>
    </row>
    <row r="9" spans="2:29" s="229" customFormat="1" ht="12.75" customHeight="1">
      <c r="B9" s="230"/>
      <c r="C9" s="283" t="s">
        <v>4</v>
      </c>
      <c r="D9" s="110"/>
      <c r="E9" s="118">
        <v>1752.3024268999986</v>
      </c>
      <c r="F9" s="118">
        <v>1943.6215805899994</v>
      </c>
      <c r="G9" s="118">
        <v>3526.6518446000032</v>
      </c>
      <c r="H9" s="110"/>
      <c r="I9" s="118">
        <v>7878.5198406600002</v>
      </c>
      <c r="J9" s="118">
        <v>9171.6512384599864</v>
      </c>
      <c r="K9" s="118">
        <v>11233.243573859996</v>
      </c>
      <c r="L9" s="118">
        <v>260.03088572000001</v>
      </c>
      <c r="M9" s="118">
        <v>318.59065270999889</v>
      </c>
      <c r="N9" s="110"/>
      <c r="O9" s="118">
        <v>473.61874714999999</v>
      </c>
      <c r="P9" s="118">
        <v>0.15190126000000001</v>
      </c>
      <c r="Q9" s="118">
        <v>1268.7942109400012</v>
      </c>
      <c r="R9" s="118">
        <v>0</v>
      </c>
      <c r="S9" s="118">
        <v>195.25693158000055</v>
      </c>
      <c r="T9" s="119"/>
      <c r="U9" s="119">
        <v>6037.7714340199991</v>
      </c>
      <c r="V9" s="119">
        <v>4666.1137984699999</v>
      </c>
      <c r="W9" s="119">
        <v>2.8094500000000002E-3</v>
      </c>
      <c r="X9" s="282"/>
      <c r="Y9" s="119">
        <f t="shared" si="0"/>
        <v>48726.321876369984</v>
      </c>
      <c r="Z9" s="231"/>
    </row>
    <row r="10" spans="2:29" s="229" customFormat="1">
      <c r="B10" s="230"/>
      <c r="C10" s="283" t="s">
        <v>5</v>
      </c>
      <c r="D10" s="123"/>
      <c r="E10" s="118">
        <v>1814.7486320200007</v>
      </c>
      <c r="F10" s="118">
        <v>1729.5736762099968</v>
      </c>
      <c r="G10" s="118">
        <v>2737.7433209099913</v>
      </c>
      <c r="H10" s="124"/>
      <c r="I10" s="118">
        <v>6622.4300455300008</v>
      </c>
      <c r="J10" s="118">
        <v>10403.480134020001</v>
      </c>
      <c r="K10" s="118">
        <v>12370.829785919994</v>
      </c>
      <c r="L10" s="118">
        <v>186.08081007999991</v>
      </c>
      <c r="M10" s="118">
        <v>593.76497227000027</v>
      </c>
      <c r="N10" s="122"/>
      <c r="O10" s="118">
        <v>435.99216331999963</v>
      </c>
      <c r="P10" s="118">
        <v>0</v>
      </c>
      <c r="Q10" s="118">
        <v>381.51478431000038</v>
      </c>
      <c r="R10" s="118">
        <v>0</v>
      </c>
      <c r="S10" s="118">
        <v>170.98007351999982</v>
      </c>
      <c r="T10" s="126"/>
      <c r="U10" s="126">
        <v>6848.6762587200001</v>
      </c>
      <c r="V10" s="126">
        <v>4473.48878461</v>
      </c>
      <c r="W10" s="126">
        <v>0.24823322999999997</v>
      </c>
      <c r="X10" s="282"/>
      <c r="Y10" s="126">
        <f t="shared" si="0"/>
        <v>48769.55167466998</v>
      </c>
      <c r="Z10" s="231"/>
    </row>
    <row r="11" spans="2:29" s="232" customFormat="1" ht="12" customHeight="1">
      <c r="C11" s="283" t="s">
        <v>7</v>
      </c>
      <c r="D11" s="235"/>
      <c r="E11" s="235">
        <v>1858.1108394799976</v>
      </c>
      <c r="F11" s="235">
        <v>1799.9788973900013</v>
      </c>
      <c r="G11" s="235">
        <v>3087.5888871199927</v>
      </c>
      <c r="H11" s="235"/>
      <c r="I11" s="235">
        <v>7108.3836605900033</v>
      </c>
      <c r="J11" s="235">
        <v>8588.7627666100034</v>
      </c>
      <c r="K11" s="235">
        <v>13795.470726669986</v>
      </c>
      <c r="L11" s="235">
        <v>125.64706131999995</v>
      </c>
      <c r="M11" s="235">
        <v>197.10142260000015</v>
      </c>
      <c r="N11" s="235"/>
      <c r="O11" s="235">
        <v>378.03216223999988</v>
      </c>
      <c r="P11" s="235">
        <v>167.324546</v>
      </c>
      <c r="Q11" s="235">
        <v>296.02472752000006</v>
      </c>
      <c r="R11" s="126">
        <v>0</v>
      </c>
      <c r="S11" s="235">
        <v>158.39145649000008</v>
      </c>
      <c r="T11" s="235"/>
      <c r="U11" s="235">
        <v>6841.5738536699992</v>
      </c>
      <c r="V11" s="235">
        <v>4499.87916167</v>
      </c>
      <c r="W11" s="235">
        <v>0</v>
      </c>
      <c r="X11" s="285"/>
      <c r="Y11" s="235">
        <f t="shared" si="0"/>
        <v>48902.270169369978</v>
      </c>
      <c r="Z11" s="236"/>
      <c r="AA11" s="236"/>
    </row>
    <row r="12" spans="2:29" s="229" customFormat="1" ht="12" customHeight="1">
      <c r="B12" s="230"/>
      <c r="C12" s="286">
        <v>2014</v>
      </c>
      <c r="D12" s="123"/>
      <c r="E12" s="235">
        <v>2066.7831810600001</v>
      </c>
      <c r="F12" s="235">
        <v>1809.0951875900003</v>
      </c>
      <c r="G12" s="235">
        <v>3159.0803953500008</v>
      </c>
      <c r="H12" s="235"/>
      <c r="I12" s="235">
        <v>6945.0346632599976</v>
      </c>
      <c r="J12" s="235">
        <v>8332.129717419999</v>
      </c>
      <c r="K12" s="235">
        <v>13318.637498540005</v>
      </c>
      <c r="L12" s="235">
        <v>134.69436260999998</v>
      </c>
      <c r="M12" s="235">
        <v>121.69040773999997</v>
      </c>
      <c r="N12" s="235"/>
      <c r="O12" s="235">
        <v>466.36082083000008</v>
      </c>
      <c r="P12" s="235">
        <v>5.2060760699999991</v>
      </c>
      <c r="Q12" s="235">
        <v>282.77860485000002</v>
      </c>
      <c r="R12" s="235">
        <v>20.8</v>
      </c>
      <c r="S12" s="235">
        <v>147.22786319000002</v>
      </c>
      <c r="T12" s="235"/>
      <c r="U12" s="235">
        <v>7379.2863255399998</v>
      </c>
      <c r="V12" s="235">
        <v>4676.0932390100015</v>
      </c>
      <c r="W12" s="235">
        <v>0.4970946</v>
      </c>
      <c r="X12" s="285"/>
      <c r="Y12" s="235">
        <f t="shared" si="0"/>
        <v>48865.395437660001</v>
      </c>
      <c r="Z12" s="231"/>
    </row>
    <row r="13" spans="2:29" s="229" customFormat="1" ht="12" customHeight="1">
      <c r="B13" s="230"/>
      <c r="C13" s="286">
        <v>2015</v>
      </c>
      <c r="D13" s="123"/>
      <c r="E13" s="235">
        <v>1674.7497619900003</v>
      </c>
      <c r="F13" s="235">
        <v>1868.9389274600001</v>
      </c>
      <c r="G13" s="235">
        <v>3181.5640665199999</v>
      </c>
      <c r="H13" s="235"/>
      <c r="I13" s="235">
        <v>6755.8434724000017</v>
      </c>
      <c r="J13" s="235">
        <v>8518.4298048199998</v>
      </c>
      <c r="K13" s="235">
        <v>13625.712428899993</v>
      </c>
      <c r="L13" s="235">
        <v>108.39482844999999</v>
      </c>
      <c r="M13" s="235">
        <v>115.91506511000001</v>
      </c>
      <c r="N13" s="235"/>
      <c r="O13" s="235">
        <v>384.82139983999997</v>
      </c>
      <c r="P13" s="235">
        <v>10.92177948</v>
      </c>
      <c r="Q13" s="235">
        <v>181.52167486000002</v>
      </c>
      <c r="R13" s="235">
        <v>16.63231966</v>
      </c>
      <c r="S13" s="235">
        <v>314.48845475999991</v>
      </c>
      <c r="T13" s="235"/>
      <c r="U13" s="235">
        <v>7091.8352407000002</v>
      </c>
      <c r="V13" s="235">
        <v>4776.14793766</v>
      </c>
      <c r="W13" s="235">
        <v>0.67570663999999991</v>
      </c>
      <c r="X13" s="285"/>
      <c r="Y13" s="235">
        <f t="shared" si="0"/>
        <v>48626.592869250002</v>
      </c>
      <c r="Z13" s="231"/>
    </row>
    <row r="14" spans="2:29" s="229" customFormat="1" ht="12" customHeight="1">
      <c r="B14" s="230"/>
      <c r="C14" s="286">
        <v>2016</v>
      </c>
      <c r="D14" s="123"/>
      <c r="E14" s="235">
        <v>1737.0781945000001</v>
      </c>
      <c r="F14" s="235">
        <v>1812.2145426100001</v>
      </c>
      <c r="G14" s="235">
        <v>3175.0930621999996</v>
      </c>
      <c r="H14" s="235"/>
      <c r="I14" s="235">
        <v>7177.1401529400027</v>
      </c>
      <c r="J14" s="235">
        <v>8811.5409623600008</v>
      </c>
      <c r="K14" s="235">
        <v>13632.247134259998</v>
      </c>
      <c r="L14" s="235">
        <v>142.43118631999999</v>
      </c>
      <c r="M14" s="235">
        <v>131.23985210000004</v>
      </c>
      <c r="N14" s="235"/>
      <c r="O14" s="235">
        <v>418.07866349999995</v>
      </c>
      <c r="P14" s="235">
        <v>110.19612106999999</v>
      </c>
      <c r="Q14" s="235">
        <v>697.10253674000001</v>
      </c>
      <c r="R14" s="235">
        <v>16.363734000000001</v>
      </c>
      <c r="S14" s="235">
        <v>380.92720100000003</v>
      </c>
      <c r="T14" s="235"/>
      <c r="U14" s="235">
        <v>7379.1941598800004</v>
      </c>
      <c r="V14" s="235">
        <v>4896.84783857</v>
      </c>
      <c r="W14" s="235">
        <v>0.25705359</v>
      </c>
      <c r="X14" s="285"/>
      <c r="Y14" s="235">
        <f t="shared" si="0"/>
        <v>50517.952395639993</v>
      </c>
      <c r="Z14" s="231"/>
    </row>
    <row r="15" spans="2:29" s="229" customFormat="1" ht="12" customHeight="1">
      <c r="B15" s="230"/>
      <c r="C15" s="286">
        <v>2017</v>
      </c>
      <c r="D15" s="123"/>
      <c r="E15" s="269"/>
      <c r="F15" s="269"/>
      <c r="G15" s="269"/>
      <c r="H15" s="270"/>
      <c r="I15" s="269"/>
      <c r="J15" s="269"/>
      <c r="K15" s="269"/>
      <c r="L15" s="269"/>
      <c r="M15" s="269"/>
      <c r="N15" s="123"/>
      <c r="O15" s="269"/>
      <c r="P15" s="269"/>
      <c r="Q15" s="269"/>
      <c r="R15" s="269"/>
      <c r="S15" s="269"/>
      <c r="T15" s="126"/>
      <c r="U15" s="126"/>
      <c r="V15" s="126"/>
      <c r="W15" s="126"/>
      <c r="X15" s="284"/>
      <c r="Y15" s="126" t="str">
        <f t="shared" ref="Y15:Y26" si="1">IF(SUM(E15:W15)=0,"",SUM(E15:W15))</f>
        <v/>
      </c>
      <c r="Z15" s="363"/>
      <c r="AA15" s="234"/>
    </row>
    <row r="16" spans="2:29" s="229" customFormat="1" ht="12" customHeight="1">
      <c r="B16" s="230"/>
      <c r="C16" s="123"/>
      <c r="D16" s="123" t="str">
        <f>IF(Indice_index!$Z$1=1,"janeiro","January")</f>
        <v>January</v>
      </c>
      <c r="E16" s="126">
        <v>127.57459783000004</v>
      </c>
      <c r="F16" s="126">
        <v>90.152666729999993</v>
      </c>
      <c r="G16" s="126">
        <v>211.16441223000007</v>
      </c>
      <c r="H16" s="126"/>
      <c r="I16" s="126">
        <v>557.79086406999988</v>
      </c>
      <c r="J16" s="126">
        <v>667.80299909000007</v>
      </c>
      <c r="K16" s="126">
        <v>1146.2627456799999</v>
      </c>
      <c r="L16" s="126">
        <v>2.9937920100000008</v>
      </c>
      <c r="M16" s="126">
        <v>6.3960007000000001</v>
      </c>
      <c r="N16" s="126"/>
      <c r="O16" s="126">
        <v>23.495324069999992</v>
      </c>
      <c r="P16" s="126">
        <v>0.54947216999999993</v>
      </c>
      <c r="Q16" s="126">
        <v>3.4726499299999998</v>
      </c>
      <c r="R16" s="126">
        <v>0.85739299999999996</v>
      </c>
      <c r="S16" s="126">
        <v>6.2552755200000005</v>
      </c>
      <c r="T16" s="126"/>
      <c r="U16" s="126">
        <v>179.172</v>
      </c>
      <c r="V16" s="126">
        <v>552.87355681999998</v>
      </c>
      <c r="W16" s="126">
        <v>0</v>
      </c>
      <c r="X16" s="284"/>
      <c r="Y16" s="126">
        <f t="shared" si="1"/>
        <v>3576.8137498500005</v>
      </c>
      <c r="Z16"/>
      <c r="AA16" s="218"/>
    </row>
    <row r="17" spans="1:27" s="229" customFormat="1" ht="12" customHeight="1">
      <c r="B17" s="230"/>
      <c r="C17" s="123"/>
      <c r="D17" s="123" t="str">
        <f>IF(Indice_index!$Z$1=1,"fevereiro","February")</f>
        <v>February</v>
      </c>
      <c r="E17" s="126">
        <v>236.27197904999991</v>
      </c>
      <c r="F17" s="126">
        <v>194.00235761999997</v>
      </c>
      <c r="G17" s="126">
        <v>436.87509221999989</v>
      </c>
      <c r="H17" s="126"/>
      <c r="I17" s="126">
        <v>1109.1551086900001</v>
      </c>
      <c r="J17" s="126">
        <v>1367.9317397599998</v>
      </c>
      <c r="K17" s="126">
        <v>2243.39780157</v>
      </c>
      <c r="L17" s="126">
        <v>8.7684740199999993</v>
      </c>
      <c r="M17" s="126">
        <v>13.35736777</v>
      </c>
      <c r="N17" s="126"/>
      <c r="O17" s="126">
        <v>46.987573399999995</v>
      </c>
      <c r="P17" s="126">
        <v>1.16815723</v>
      </c>
      <c r="Q17" s="126">
        <v>60.719699069999997</v>
      </c>
      <c r="R17" s="126">
        <v>3.2178360000000001</v>
      </c>
      <c r="S17" s="126">
        <v>16.049669120000001</v>
      </c>
      <c r="T17" s="126"/>
      <c r="U17" s="126">
        <v>1408.0523920000001</v>
      </c>
      <c r="V17" s="126">
        <v>921.97284894000006</v>
      </c>
      <c r="W17" s="126">
        <v>0</v>
      </c>
      <c r="X17" s="284"/>
      <c r="Y17" s="126">
        <f t="shared" si="1"/>
        <v>8067.9280964600002</v>
      </c>
      <c r="Z17"/>
      <c r="AA17"/>
    </row>
    <row r="18" spans="1:27" s="234" customFormat="1" ht="12" customHeight="1">
      <c r="B18" s="237"/>
      <c r="C18" s="123"/>
      <c r="D18" s="123" t="str">
        <f>IF(Indice_index!$Z$1=1,"março","March")</f>
        <v>March</v>
      </c>
      <c r="E18" s="126">
        <v>354.75726338999993</v>
      </c>
      <c r="F18" s="126">
        <v>357.90714060000005</v>
      </c>
      <c r="G18" s="126">
        <v>668.51832400999967</v>
      </c>
      <c r="H18" s="126"/>
      <c r="I18" s="126">
        <v>1736.5628186899992</v>
      </c>
      <c r="J18" s="126">
        <v>2050.9435058200002</v>
      </c>
      <c r="K18" s="126">
        <v>3263.3561737600003</v>
      </c>
      <c r="L18" s="126">
        <v>12.44030587</v>
      </c>
      <c r="M18" s="126">
        <v>31.170377769999998</v>
      </c>
      <c r="N18" s="126"/>
      <c r="O18" s="126">
        <v>70.211696209999999</v>
      </c>
      <c r="P18" s="126">
        <v>1.8471060900000003</v>
      </c>
      <c r="Q18" s="126">
        <v>104.69154069</v>
      </c>
      <c r="R18" s="126">
        <v>4.1008180000000003</v>
      </c>
      <c r="S18" s="126">
        <v>24.543191270000005</v>
      </c>
      <c r="T18" s="126"/>
      <c r="U18" s="126">
        <v>1704.208492</v>
      </c>
      <c r="V18" s="126">
        <v>1241.2526668700002</v>
      </c>
      <c r="W18" s="126">
        <v>0</v>
      </c>
      <c r="X18" s="284"/>
      <c r="Y18" s="126">
        <f t="shared" si="1"/>
        <v>11626.511421040002</v>
      </c>
      <c r="Z18"/>
      <c r="AA18" s="346"/>
    </row>
    <row r="19" spans="1:27" s="234" customFormat="1" ht="12" customHeight="1">
      <c r="B19" s="237"/>
      <c r="C19" s="123"/>
      <c r="D19" s="123" t="str">
        <f>IF(Indice_index!$Z$1=1,"abril","April")</f>
        <v>April</v>
      </c>
      <c r="E19" s="126">
        <v>485.63708574999993</v>
      </c>
      <c r="F19" s="126">
        <v>501.59458692000004</v>
      </c>
      <c r="G19" s="126">
        <v>898.29396799999984</v>
      </c>
      <c r="H19" s="126"/>
      <c r="I19" s="126">
        <v>2294.3360718700001</v>
      </c>
      <c r="J19" s="126">
        <v>2718.3202648799997</v>
      </c>
      <c r="K19" s="126">
        <v>4352.5329528800003</v>
      </c>
      <c r="L19" s="126">
        <v>17.978969490000001</v>
      </c>
      <c r="M19" s="126">
        <v>51.062692360000007</v>
      </c>
      <c r="N19" s="126"/>
      <c r="O19" s="126">
        <v>91.424966170000005</v>
      </c>
      <c r="P19" s="126">
        <v>2.4724634499999993</v>
      </c>
      <c r="Q19" s="126">
        <v>110.56986321000001</v>
      </c>
      <c r="R19" s="126">
        <v>5.4677569999999998</v>
      </c>
      <c r="S19" s="126">
        <v>31.999064490000002</v>
      </c>
      <c r="T19" s="126"/>
      <c r="U19" s="126">
        <v>2659.417492</v>
      </c>
      <c r="V19" s="126">
        <v>1758.7867971199998</v>
      </c>
      <c r="W19" s="126">
        <v>0</v>
      </c>
      <c r="X19" s="284"/>
      <c r="Y19" s="126">
        <f t="shared" si="1"/>
        <v>15979.894995589999</v>
      </c>
      <c r="Z19"/>
      <c r="AA19"/>
    </row>
    <row r="20" spans="1:27" s="234" customFormat="1" ht="12" customHeight="1">
      <c r="B20" s="237"/>
      <c r="C20" s="123"/>
      <c r="D20" s="123" t="str">
        <f>IF(Indice_index!$Z$1=1,"maio","May")</f>
        <v>May</v>
      </c>
      <c r="E20" s="126">
        <v>632.85479209000005</v>
      </c>
      <c r="F20" s="126">
        <v>635.86625063000008</v>
      </c>
      <c r="G20" s="126">
        <v>1139.61537944</v>
      </c>
      <c r="H20" s="126"/>
      <c r="I20" s="126">
        <v>2844.1497589299997</v>
      </c>
      <c r="J20" s="126">
        <v>3456.4862334399995</v>
      </c>
      <c r="K20" s="126">
        <v>5463.8379997799984</v>
      </c>
      <c r="L20" s="126">
        <v>20.886375390000001</v>
      </c>
      <c r="M20" s="126">
        <v>76.661673230000005</v>
      </c>
      <c r="N20" s="126"/>
      <c r="O20" s="126">
        <v>115.62409689</v>
      </c>
      <c r="P20" s="126">
        <v>3.3664649</v>
      </c>
      <c r="Q20" s="126">
        <v>234.28954315000001</v>
      </c>
      <c r="R20" s="126">
        <v>6.8346960000000001</v>
      </c>
      <c r="S20" s="126">
        <v>41.192974720000002</v>
      </c>
      <c r="T20" s="126"/>
      <c r="U20" s="126">
        <v>2969.7004919999999</v>
      </c>
      <c r="V20" s="126">
        <v>2105.2932001299996</v>
      </c>
      <c r="W20" s="126">
        <v>0</v>
      </c>
      <c r="X20" s="284"/>
      <c r="Y20" s="126">
        <f t="shared" si="1"/>
        <v>19746.659930719998</v>
      </c>
      <c r="Z20" s="218"/>
      <c r="AA20"/>
    </row>
    <row r="21" spans="1:27" s="233" customFormat="1" ht="12" customHeight="1">
      <c r="C21" s="123"/>
      <c r="D21" s="123" t="str">
        <f>IF(Indice_index!$Z$1=1,"junho","June")</f>
        <v>June</v>
      </c>
      <c r="E21" s="123">
        <v>798.19463761000009</v>
      </c>
      <c r="F21" s="123">
        <v>804.1647106800001</v>
      </c>
      <c r="G21" s="123">
        <v>1527.9011079700003</v>
      </c>
      <c r="H21" s="123"/>
      <c r="I21" s="123">
        <v>3778.4752194500011</v>
      </c>
      <c r="J21" s="123">
        <v>4170.6180924400005</v>
      </c>
      <c r="K21" s="123">
        <v>6499.2520481500005</v>
      </c>
      <c r="L21" s="123">
        <v>29.758021860000003</v>
      </c>
      <c r="M21" s="123">
        <v>100.59053663000002</v>
      </c>
      <c r="N21" s="123"/>
      <c r="O21" s="123">
        <v>146.41549018000001</v>
      </c>
      <c r="P21" s="123">
        <v>4.4772680599999983</v>
      </c>
      <c r="Q21" s="123">
        <v>265.34538180999999</v>
      </c>
      <c r="R21" s="123">
        <v>8.2016349999999996</v>
      </c>
      <c r="S21" s="123">
        <v>58.324561709999998</v>
      </c>
      <c r="T21" s="123"/>
      <c r="U21" s="123">
        <v>4559.5202989999998</v>
      </c>
      <c r="V21" s="123">
        <v>2452.3038318099998</v>
      </c>
      <c r="W21" s="123">
        <v>0</v>
      </c>
      <c r="X21" s="287"/>
      <c r="Y21" s="123">
        <f t="shared" si="1"/>
        <v>25203.542842360002</v>
      </c>
      <c r="Z21"/>
      <c r="AA21"/>
    </row>
    <row r="22" spans="1:27" s="233" customFormat="1" ht="12" customHeight="1">
      <c r="C22" s="123"/>
      <c r="D22" s="235" t="str">
        <f>IF(Indice_index!$Z$1=1,"julho","July")</f>
        <v>July</v>
      </c>
      <c r="E22" s="235">
        <v>947.54491155999983</v>
      </c>
      <c r="F22" s="235">
        <v>967.33785403999991</v>
      </c>
      <c r="G22" s="235">
        <v>1783.8511139400002</v>
      </c>
      <c r="H22" s="235"/>
      <c r="I22" s="235">
        <v>4357.6325227099996</v>
      </c>
      <c r="J22" s="235">
        <v>4911.2929750100011</v>
      </c>
      <c r="K22" s="235">
        <v>8137.3741138600008</v>
      </c>
      <c r="L22" s="235">
        <v>37.36189289</v>
      </c>
      <c r="M22" s="235">
        <v>123.54787808000002</v>
      </c>
      <c r="N22" s="235"/>
      <c r="O22" s="235">
        <v>167.02047155000002</v>
      </c>
      <c r="P22" s="235">
        <v>5.090457129999999</v>
      </c>
      <c r="Q22" s="235">
        <v>274.57463342</v>
      </c>
      <c r="R22" s="235">
        <v>9.2894450000000006</v>
      </c>
      <c r="S22" s="235">
        <v>67.525997249999989</v>
      </c>
      <c r="T22" s="235"/>
      <c r="U22" s="235">
        <v>4875.0447990000002</v>
      </c>
      <c r="V22" s="235">
        <v>2965.5232870499999</v>
      </c>
      <c r="W22" s="235">
        <v>1.33235E-2</v>
      </c>
      <c r="X22" s="285"/>
      <c r="Y22" s="235">
        <f t="shared" si="1"/>
        <v>29630.02567599</v>
      </c>
      <c r="Z22"/>
      <c r="AA22"/>
    </row>
    <row r="23" spans="1:27" s="232" customFormat="1" ht="12" customHeight="1">
      <c r="C23" s="123"/>
      <c r="D23" s="235" t="str">
        <f>IF(Indice_index!$Z$1=1,"agosto","August")</f>
        <v>August</v>
      </c>
      <c r="E23" s="235">
        <v>1065.4351280000001</v>
      </c>
      <c r="F23" s="235">
        <v>1088.16710076</v>
      </c>
      <c r="G23" s="235">
        <v>2033.9773734800001</v>
      </c>
      <c r="H23" s="235"/>
      <c r="I23" s="235">
        <v>4859.9124000600004</v>
      </c>
      <c r="J23" s="235">
        <v>5605.6386532000006</v>
      </c>
      <c r="K23" s="235">
        <v>9222.3486485700014</v>
      </c>
      <c r="L23" s="235">
        <v>40.077084219999996</v>
      </c>
      <c r="M23" s="235">
        <v>158.34028280000001</v>
      </c>
      <c r="N23" s="235"/>
      <c r="O23" s="235">
        <v>193.12716472999995</v>
      </c>
      <c r="P23" s="235">
        <v>5.7565156200000009</v>
      </c>
      <c r="Q23" s="235">
        <v>458.62005739</v>
      </c>
      <c r="R23" s="235">
        <v>10.935513</v>
      </c>
      <c r="S23" s="235">
        <v>78.359126680000003</v>
      </c>
      <c r="T23" s="235"/>
      <c r="U23" s="235">
        <v>5136.1658989999996</v>
      </c>
      <c r="V23" s="235">
        <v>3254.1973911400005</v>
      </c>
      <c r="W23" s="235">
        <v>1.33235E-2</v>
      </c>
      <c r="X23" s="285"/>
      <c r="Y23" s="235">
        <f t="shared" si="1"/>
        <v>33211.071662150003</v>
      </c>
      <c r="Z23"/>
      <c r="AA23"/>
    </row>
    <row r="24" spans="1:27" s="232" customFormat="1" ht="12" customHeight="1">
      <c r="C24" s="123"/>
      <c r="D24" s="235" t="str">
        <f>IF(Indice_index!$Z$1=1,"setembro","September")</f>
        <v>September</v>
      </c>
      <c r="E24" s="235">
        <v>1224.28219857</v>
      </c>
      <c r="F24" s="235">
        <v>1194.2576587999997</v>
      </c>
      <c r="G24" s="235">
        <v>2304.67593906</v>
      </c>
      <c r="H24" s="235"/>
      <c r="I24" s="235">
        <v>5379.5933676200011</v>
      </c>
      <c r="J24" s="235">
        <v>6356.7027762899997</v>
      </c>
      <c r="K24" s="235">
        <v>10239.605408680001</v>
      </c>
      <c r="L24" s="235">
        <v>57.990211260000002</v>
      </c>
      <c r="M24" s="235">
        <v>187.51120007</v>
      </c>
      <c r="N24" s="235"/>
      <c r="O24" s="235">
        <v>223.14882256000001</v>
      </c>
      <c r="P24" s="235">
        <v>6.9517557300000004</v>
      </c>
      <c r="Q24" s="235">
        <v>465.30530001</v>
      </c>
      <c r="R24" s="235">
        <v>12.302453</v>
      </c>
      <c r="S24" s="235">
        <v>93.316864779999989</v>
      </c>
      <c r="T24" s="235"/>
      <c r="U24" s="235">
        <v>5374.7286919999997</v>
      </c>
      <c r="V24" s="235">
        <v>3588.3498958900004</v>
      </c>
      <c r="W24" s="235">
        <v>1.33235E-2</v>
      </c>
      <c r="X24" s="285"/>
      <c r="Y24" s="235">
        <f t="shared" si="1"/>
        <v>36708.735867820003</v>
      </c>
      <c r="Z24" s="218">
        <f>SUM(Y22:Y24)</f>
        <v>99549.833205960007</v>
      </c>
      <c r="AA24"/>
    </row>
    <row r="25" spans="1:27" s="232" customFormat="1" ht="12" customHeight="1">
      <c r="C25" s="123"/>
      <c r="D25" s="235" t="str">
        <f>IF(Indice_index!$Z$1=1,"outubro","October")</f>
        <v>October</v>
      </c>
      <c r="E25" s="235">
        <v>1382.4254894400001</v>
      </c>
      <c r="F25" s="235">
        <v>1367.3168815899999</v>
      </c>
      <c r="G25" s="235">
        <v>2526.474515899999</v>
      </c>
      <c r="H25" s="235"/>
      <c r="I25" s="235">
        <v>5911.2831202200005</v>
      </c>
      <c r="J25" s="235">
        <v>7034.3905871899997</v>
      </c>
      <c r="K25" s="235">
        <v>11259.365224700001</v>
      </c>
      <c r="L25" s="235">
        <v>63.833321609999999</v>
      </c>
      <c r="M25" s="235">
        <v>215.93141117000002</v>
      </c>
      <c r="N25" s="235"/>
      <c r="O25" s="235">
        <v>274.62687265999995</v>
      </c>
      <c r="P25" s="235">
        <v>8.0608264000000016</v>
      </c>
      <c r="Q25" s="235">
        <v>547.56466383000009</v>
      </c>
      <c r="R25" s="235">
        <v>13.669392</v>
      </c>
      <c r="S25" s="235">
        <v>101.52005197</v>
      </c>
      <c r="T25" s="235"/>
      <c r="U25" s="235">
        <v>6779.6164490000001</v>
      </c>
      <c r="V25" s="235">
        <v>4095.2113449000003</v>
      </c>
      <c r="W25" s="235">
        <v>1.64645E-2</v>
      </c>
      <c r="X25" s="285"/>
      <c r="Y25" s="235">
        <f t="shared" si="1"/>
        <v>41581.306617080001</v>
      </c>
      <c r="Z25" s="429">
        <v>107.673</v>
      </c>
      <c r="AA25"/>
    </row>
    <row r="26" spans="1:27" s="232" customFormat="1" ht="12" customHeight="1">
      <c r="C26" s="123"/>
      <c r="D26" s="235" t="str">
        <f>IF(Indice_index!$Z$1=1,"novembro","November")</f>
        <v>November</v>
      </c>
      <c r="E26" s="235">
        <v>1533.6239943600003</v>
      </c>
      <c r="F26" s="235">
        <v>1531.7007738800005</v>
      </c>
      <c r="G26" s="235">
        <v>2898.6151496100006</v>
      </c>
      <c r="H26" s="235"/>
      <c r="I26" s="235">
        <v>6654.3913525100015</v>
      </c>
      <c r="J26" s="235">
        <v>7685.1043523500002</v>
      </c>
      <c r="K26" s="235">
        <v>12521.954139730002</v>
      </c>
      <c r="L26" s="235">
        <v>72.192536959999998</v>
      </c>
      <c r="M26" s="235">
        <v>240.71909632999999</v>
      </c>
      <c r="N26" s="235"/>
      <c r="O26" s="235">
        <v>347.19020809</v>
      </c>
      <c r="P26" s="235">
        <v>8.981278099999999</v>
      </c>
      <c r="Q26" s="235">
        <v>588.39022642000009</v>
      </c>
      <c r="R26" s="235">
        <v>15.036331000000001</v>
      </c>
      <c r="S26" s="235">
        <v>117.35901230000003</v>
      </c>
      <c r="T26" s="235"/>
      <c r="U26" s="235">
        <v>6993.1729489999998</v>
      </c>
      <c r="V26" s="235">
        <v>4429.4492645</v>
      </c>
      <c r="W26" s="235">
        <v>1.7062500000000001E-2</v>
      </c>
      <c r="X26" s="285"/>
      <c r="Y26" s="235">
        <f t="shared" si="1"/>
        <v>45637.897727640018</v>
      </c>
      <c r="Z26" s="430">
        <f>Z24/(Z25/100)</f>
        <v>92455.706821543019</v>
      </c>
      <c r="AA26" s="236"/>
    </row>
    <row r="27" spans="1:27" s="232" customFormat="1" ht="12" customHeight="1">
      <c r="C27" s="123"/>
      <c r="D27" s="235" t="str">
        <f>IF(Indice_index!$Z$1=1,"dezembro","December")</f>
        <v>December</v>
      </c>
      <c r="E27" s="235">
        <v>1848.0514807599995</v>
      </c>
      <c r="F27" s="235">
        <v>1820.5468678700006</v>
      </c>
      <c r="G27" s="235">
        <v>3214.2298436200003</v>
      </c>
      <c r="H27" s="235"/>
      <c r="I27" s="235">
        <v>7288.9487553100016</v>
      </c>
      <c r="J27" s="235">
        <v>8757.7346226699992</v>
      </c>
      <c r="K27" s="235">
        <v>13669.600447379999</v>
      </c>
      <c r="L27" s="235">
        <v>90.894913920000008</v>
      </c>
      <c r="M27" s="235">
        <v>290.26858649000002</v>
      </c>
      <c r="N27" s="235"/>
      <c r="O27" s="235">
        <v>446.57031962000002</v>
      </c>
      <c r="P27" s="235">
        <v>14.281819550000003</v>
      </c>
      <c r="Q27" s="235">
        <v>895.64251562000004</v>
      </c>
      <c r="R27" s="235">
        <v>16.403269999999999</v>
      </c>
      <c r="S27" s="235">
        <v>365.32847422000003</v>
      </c>
      <c r="T27" s="235"/>
      <c r="U27" s="235">
        <v>7123.179040940001</v>
      </c>
      <c r="V27" s="235">
        <v>4771.1888833800003</v>
      </c>
      <c r="W27" s="235">
        <v>4.6925729999999999E-2</v>
      </c>
      <c r="X27" s="285"/>
      <c r="Y27" s="235">
        <f>IF(SUM(E27:W27)=0,"",SUM(E27:W27))</f>
        <v>50612.916767079994</v>
      </c>
      <c r="Z27" s="236"/>
      <c r="AA27" s="236"/>
    </row>
    <row r="28" spans="1:27" s="229" customFormat="1" ht="12" customHeight="1">
      <c r="A28" s="234"/>
      <c r="B28" s="237"/>
      <c r="C28" s="286">
        <v>2018</v>
      </c>
      <c r="D28" s="123"/>
      <c r="E28" s="269"/>
      <c r="F28" s="269"/>
      <c r="G28" s="269"/>
      <c r="H28" s="270"/>
      <c r="I28" s="269"/>
      <c r="J28" s="269"/>
      <c r="K28" s="269"/>
      <c r="L28" s="269"/>
      <c r="M28" s="269"/>
      <c r="N28" s="123"/>
      <c r="O28" s="269"/>
      <c r="P28" s="269"/>
      <c r="Q28" s="269"/>
      <c r="R28" s="269"/>
      <c r="S28" s="269"/>
      <c r="T28" s="126"/>
      <c r="U28" s="126"/>
      <c r="V28" s="126"/>
      <c r="W28" s="126"/>
      <c r="X28" s="284"/>
      <c r="Y28" s="126" t="str">
        <f t="shared" ref="Y28:Y39" si="2">IF(SUM(E28:W28)=0,"",SUM(E28:W28))</f>
        <v/>
      </c>
      <c r="Z28" s="363"/>
      <c r="AA28" s="234"/>
    </row>
    <row r="29" spans="1:27" s="229" customFormat="1" ht="12" customHeight="1">
      <c r="A29" s="234"/>
      <c r="B29" s="237"/>
      <c r="C29" s="123"/>
      <c r="D29" s="123" t="str">
        <f>IF(Indice_index!$Z$1=1,"janeiro","January")</f>
        <v>January</v>
      </c>
      <c r="E29" s="126">
        <v>139.18640611000001</v>
      </c>
      <c r="F29" s="126">
        <v>80.07229267000001</v>
      </c>
      <c r="G29" s="126">
        <v>205.53172660999999</v>
      </c>
      <c r="H29" s="126"/>
      <c r="I29" s="126">
        <v>529.54864423000015</v>
      </c>
      <c r="J29" s="126">
        <v>706.83591881999996</v>
      </c>
      <c r="K29" s="126">
        <v>1104.5508572700001</v>
      </c>
      <c r="L29" s="126">
        <v>2.7009122399999992</v>
      </c>
      <c r="M29" s="126">
        <v>21.310744310000004</v>
      </c>
      <c r="N29" s="126"/>
      <c r="O29" s="126">
        <v>25.967800539999999</v>
      </c>
      <c r="P29" s="126">
        <v>0.61158792999999989</v>
      </c>
      <c r="Q29" s="126">
        <v>3.4468570300000003</v>
      </c>
      <c r="R29" s="126">
        <v>1.3783834499999998</v>
      </c>
      <c r="S29" s="126">
        <v>6.7639085699999981</v>
      </c>
      <c r="T29" s="126"/>
      <c r="U29" s="126">
        <v>154.07660000000001</v>
      </c>
      <c r="V29" s="126">
        <v>548.72007818000009</v>
      </c>
      <c r="W29" s="126">
        <v>0.1635654</v>
      </c>
      <c r="X29" s="284"/>
      <c r="Y29" s="126">
        <f t="shared" si="2"/>
        <v>3530.8662833600001</v>
      </c>
      <c r="Z29" s="236"/>
      <c r="AA29" s="218"/>
    </row>
    <row r="30" spans="1:27" s="229" customFormat="1" ht="12" customHeight="1">
      <c r="B30" s="230"/>
      <c r="C30" s="123"/>
      <c r="D30" s="123" t="str">
        <f>IF(Indice_index!$Z$1=1,"fevereiro","February")</f>
        <v>February</v>
      </c>
      <c r="E30" s="126">
        <v>272.27535635000004</v>
      </c>
      <c r="F30" s="126">
        <v>184.07979610000001</v>
      </c>
      <c r="G30" s="126">
        <v>421.34508819000001</v>
      </c>
      <c r="H30" s="126"/>
      <c r="I30" s="126">
        <v>1103.2315053799998</v>
      </c>
      <c r="J30" s="126">
        <v>1410.4377653300003</v>
      </c>
      <c r="K30" s="126">
        <v>2173.9789867600002</v>
      </c>
      <c r="L30" s="126">
        <v>13.47829705</v>
      </c>
      <c r="M30" s="126">
        <v>46.154813919999995</v>
      </c>
      <c r="N30" s="126"/>
      <c r="O30" s="126">
        <v>47.479204549999992</v>
      </c>
      <c r="P30" s="126">
        <v>1.1853100600000002</v>
      </c>
      <c r="Q30" s="126">
        <v>64.910328620000001</v>
      </c>
      <c r="R30" s="126">
        <v>2.7660213300000001</v>
      </c>
      <c r="S30" s="126">
        <v>15.190416859999999</v>
      </c>
      <c r="T30" s="126"/>
      <c r="U30" s="126">
        <v>1346.4595999999999</v>
      </c>
      <c r="V30" s="126">
        <v>1004.54096894</v>
      </c>
      <c r="W30" s="126">
        <v>0.1635654</v>
      </c>
      <c r="X30" s="284"/>
      <c r="Y30" s="126">
        <f t="shared" si="2"/>
        <v>8107.6770248400016</v>
      </c>
      <c r="Z30"/>
      <c r="AA30"/>
    </row>
    <row r="31" spans="1:27" s="234" customFormat="1" ht="12" customHeight="1">
      <c r="B31" s="237"/>
      <c r="C31" s="123"/>
      <c r="D31" s="123" t="str">
        <f>IF(Indice_index!$Z$1=1,"março","March")</f>
        <v>March</v>
      </c>
      <c r="E31" s="126">
        <v>386.10658750000005</v>
      </c>
      <c r="F31" s="126">
        <v>307.86094476000005</v>
      </c>
      <c r="G31" s="126">
        <v>652.16957648999994</v>
      </c>
      <c r="H31" s="126"/>
      <c r="I31" s="126">
        <v>1663.6869979599999</v>
      </c>
      <c r="J31" s="126">
        <v>2114.4425831500002</v>
      </c>
      <c r="K31" s="126">
        <v>3215.0575345199995</v>
      </c>
      <c r="L31" s="126">
        <v>17.987869410000005</v>
      </c>
      <c r="M31" s="126">
        <v>69.181219010000007</v>
      </c>
      <c r="N31" s="126"/>
      <c r="O31" s="126">
        <v>84.770304120000006</v>
      </c>
      <c r="P31" s="126">
        <v>2.0795992499999998</v>
      </c>
      <c r="Q31" s="126">
        <v>72.996353990000003</v>
      </c>
      <c r="R31" s="126">
        <v>4.1518020299999998</v>
      </c>
      <c r="S31" s="126">
        <v>26.483266470000004</v>
      </c>
      <c r="T31" s="126"/>
      <c r="U31" s="126">
        <v>1650.1161</v>
      </c>
      <c r="V31" s="126">
        <v>1368.7204799000001</v>
      </c>
      <c r="W31" s="126">
        <v>0.16806350999999997</v>
      </c>
      <c r="X31" s="284"/>
      <c r="Y31" s="126">
        <f t="shared" si="2"/>
        <v>11635.979282070004</v>
      </c>
      <c r="Z31"/>
      <c r="AA31" s="346"/>
    </row>
    <row r="32" spans="1:27" s="234" customFormat="1" ht="12" customHeight="1">
      <c r="B32" s="237"/>
      <c r="C32" s="123"/>
      <c r="D32" s="123" t="str">
        <f>IF(Indice_index!$Z$1=1,"abril","April")</f>
        <v>April</v>
      </c>
      <c r="E32" s="126">
        <v>527.63759288000017</v>
      </c>
      <c r="F32" s="126">
        <v>425.88488820999999</v>
      </c>
      <c r="G32" s="126">
        <v>887.2237083399998</v>
      </c>
      <c r="H32" s="126"/>
      <c r="I32" s="126">
        <v>2181.6197852899991</v>
      </c>
      <c r="J32" s="126">
        <v>2869.53920926</v>
      </c>
      <c r="K32" s="126">
        <v>4226.5418171400006</v>
      </c>
      <c r="L32" s="126">
        <v>20.961757559999999</v>
      </c>
      <c r="M32" s="126">
        <v>92.491789990000001</v>
      </c>
      <c r="N32" s="126"/>
      <c r="O32" s="126">
        <v>111.65520803999999</v>
      </c>
      <c r="P32" s="126">
        <v>2.8251168000000004</v>
      </c>
      <c r="Q32" s="126">
        <v>150.82784349000002</v>
      </c>
      <c r="R32" s="126">
        <v>4.84802629</v>
      </c>
      <c r="S32" s="126">
        <v>70.973674770000002</v>
      </c>
      <c r="T32" s="126"/>
      <c r="U32" s="126">
        <v>2971.1390999999999</v>
      </c>
      <c r="V32" s="126">
        <v>1897.6139006599999</v>
      </c>
      <c r="W32" s="126">
        <v>0.16806350999999997</v>
      </c>
      <c r="X32" s="284"/>
      <c r="Y32" s="126">
        <f t="shared" si="2"/>
        <v>16441.951482229997</v>
      </c>
      <c r="Z32"/>
      <c r="AA32"/>
    </row>
    <row r="33" spans="2:27" s="234" customFormat="1" ht="12" customHeight="1">
      <c r="B33" s="237"/>
      <c r="C33" s="123"/>
      <c r="D33" s="123" t="str">
        <f>IF(Indice_index!$Z$1=1,"maio","May")</f>
        <v>May</v>
      </c>
      <c r="E33" s="126">
        <v>672.5949481399997</v>
      </c>
      <c r="F33" s="126">
        <v>560.99137251000002</v>
      </c>
      <c r="G33" s="126">
        <v>1121.6667812199998</v>
      </c>
      <c r="H33" s="126"/>
      <c r="I33" s="126">
        <v>2756.5267906200002</v>
      </c>
      <c r="J33" s="126">
        <v>3632.8232004700003</v>
      </c>
      <c r="K33" s="126">
        <v>5269.5292530800007</v>
      </c>
      <c r="L33" s="126">
        <v>28.942143089999998</v>
      </c>
      <c r="M33" s="126">
        <v>114.69698022999999</v>
      </c>
      <c r="N33" s="126"/>
      <c r="O33" s="126">
        <v>136.55775565000002</v>
      </c>
      <c r="P33" s="126">
        <v>3.5269076799999999</v>
      </c>
      <c r="Q33" s="126">
        <v>213.29647404000002</v>
      </c>
      <c r="R33" s="126">
        <v>5.8751422699999996</v>
      </c>
      <c r="S33" s="126">
        <v>115.07428347000001</v>
      </c>
      <c r="T33" s="126"/>
      <c r="U33" s="126">
        <v>3169.23279</v>
      </c>
      <c r="V33" s="126">
        <v>2216.84804996</v>
      </c>
      <c r="W33" s="126">
        <v>0.17259386999999998</v>
      </c>
      <c r="X33" s="284"/>
      <c r="Y33" s="126">
        <f t="shared" si="2"/>
        <v>20018.355466300003</v>
      </c>
      <c r="Z33" s="218"/>
      <c r="AA33"/>
    </row>
    <row r="34" spans="2:27" s="233" customFormat="1" ht="12" customHeight="1">
      <c r="C34" s="123"/>
      <c r="D34" s="123" t="str">
        <f>IF(Indice_index!$Z$1=1,"junho","June")</f>
        <v>June</v>
      </c>
      <c r="E34" s="123">
        <v>850.15709740000011</v>
      </c>
      <c r="F34" s="123">
        <v>732.03041387000007</v>
      </c>
      <c r="G34" s="123">
        <v>1504.7046433199996</v>
      </c>
      <c r="H34" s="123"/>
      <c r="I34" s="123">
        <v>3679.389230799999</v>
      </c>
      <c r="J34" s="123">
        <v>4355.5669424900007</v>
      </c>
      <c r="K34" s="123">
        <v>6263.7312775699993</v>
      </c>
      <c r="L34" s="123">
        <v>42.682269149999989</v>
      </c>
      <c r="M34" s="123">
        <v>150.07672449000003</v>
      </c>
      <c r="N34" s="123"/>
      <c r="O34" s="123">
        <v>170.42735578000006</v>
      </c>
      <c r="P34" s="123">
        <v>4.7324514899999999</v>
      </c>
      <c r="Q34" s="123">
        <v>340.82608269999997</v>
      </c>
      <c r="R34" s="123">
        <v>7.2669958899999996</v>
      </c>
      <c r="S34" s="123">
        <v>128.55980491999998</v>
      </c>
      <c r="T34" s="123"/>
      <c r="U34" s="123">
        <v>4593.5186899999999</v>
      </c>
      <c r="V34" s="123">
        <v>2549.0879092</v>
      </c>
      <c r="W34" s="123">
        <v>0.17396386999999999</v>
      </c>
      <c r="X34" s="287"/>
      <c r="Y34" s="123">
        <f t="shared" si="2"/>
        <v>25372.931852940001</v>
      </c>
      <c r="Z34"/>
      <c r="AA34"/>
    </row>
    <row r="35" spans="2:27" s="233" customFormat="1" ht="12" customHeight="1">
      <c r="C35" s="123"/>
      <c r="D35" s="235" t="str">
        <f>IF(Indice_index!$Z$1=1,"julho","July")</f>
        <v>July</v>
      </c>
      <c r="E35" s="235">
        <v>984.88159265999991</v>
      </c>
      <c r="F35" s="235">
        <v>877.72288420999996</v>
      </c>
      <c r="G35" s="235">
        <v>1751.9256239900005</v>
      </c>
      <c r="H35" s="235"/>
      <c r="I35" s="235">
        <v>4224.7104297199976</v>
      </c>
      <c r="J35" s="235">
        <v>5105.2393774200018</v>
      </c>
      <c r="K35" s="235">
        <v>7781.1900948699995</v>
      </c>
      <c r="L35" s="235">
        <v>46.005138739999985</v>
      </c>
      <c r="M35" s="235">
        <v>181.0123036</v>
      </c>
      <c r="N35" s="235"/>
      <c r="O35" s="235">
        <v>193.43179611999994</v>
      </c>
      <c r="P35" s="235">
        <v>5.5246954600000011</v>
      </c>
      <c r="Q35" s="235">
        <v>357.97057346999998</v>
      </c>
      <c r="R35" s="235">
        <v>9.0199998099999998</v>
      </c>
      <c r="S35" s="235">
        <v>146.93024906000002</v>
      </c>
      <c r="T35" s="235"/>
      <c r="U35" s="235">
        <v>5056.5921900000003</v>
      </c>
      <c r="V35" s="235">
        <v>3069.45688346</v>
      </c>
      <c r="W35" s="235">
        <v>0.17576386999999999</v>
      </c>
      <c r="X35" s="285"/>
      <c r="Y35" s="235">
        <f t="shared" si="2"/>
        <v>29791.789596459999</v>
      </c>
      <c r="Z35"/>
      <c r="AA35"/>
    </row>
    <row r="36" spans="2:27" s="232" customFormat="1" ht="12" customHeight="1">
      <c r="C36" s="123"/>
      <c r="D36" s="235" t="str">
        <f>IF(Indice_index!$Z$1=1,"agosto","August")</f>
        <v>August</v>
      </c>
      <c r="E36" s="235">
        <v>1095.5771272499994</v>
      </c>
      <c r="F36" s="235">
        <v>1008.2857025599999</v>
      </c>
      <c r="G36" s="235">
        <v>1992.1596409299998</v>
      </c>
      <c r="H36" s="235"/>
      <c r="I36" s="235">
        <v>4755.0226126199996</v>
      </c>
      <c r="J36" s="235">
        <v>5834.5001361300019</v>
      </c>
      <c r="K36" s="235">
        <v>8834.5687752700051</v>
      </c>
      <c r="L36" s="235">
        <v>54.837495000000004</v>
      </c>
      <c r="M36" s="235">
        <v>207.83674405999997</v>
      </c>
      <c r="N36" s="235"/>
      <c r="O36" s="235">
        <v>215.46535159999999</v>
      </c>
      <c r="P36" s="235">
        <v>6.42361513</v>
      </c>
      <c r="Q36" s="235">
        <v>431.60614022000004</v>
      </c>
      <c r="R36" s="235">
        <v>11.03671192</v>
      </c>
      <c r="S36" s="235">
        <v>158.80773021000002</v>
      </c>
      <c r="T36" s="235"/>
      <c r="U36" s="235">
        <v>5251.15049</v>
      </c>
      <c r="V36" s="235">
        <v>3422.28408992</v>
      </c>
      <c r="W36" s="235">
        <v>0.97399657000000006</v>
      </c>
      <c r="X36" s="285"/>
      <c r="Y36" s="235">
        <f t="shared" si="2"/>
        <v>33280.536359390004</v>
      </c>
      <c r="Z36"/>
      <c r="AA36"/>
    </row>
    <row r="37" spans="2:27" s="232" customFormat="1" ht="12" customHeight="1">
      <c r="C37" s="123"/>
      <c r="D37" s="235" t="str">
        <f>IF(Indice_index!$Z$1=1,"setembro","September")</f>
        <v>September</v>
      </c>
      <c r="E37" s="235">
        <v>1261.9258445299997</v>
      </c>
      <c r="F37" s="235">
        <v>1129.1099213499999</v>
      </c>
      <c r="G37" s="235">
        <v>2258.1097305300009</v>
      </c>
      <c r="H37" s="235"/>
      <c r="I37" s="235">
        <v>5264.486962429999</v>
      </c>
      <c r="J37" s="235">
        <v>6538.3446065800008</v>
      </c>
      <c r="K37" s="235">
        <v>9798.0889084999981</v>
      </c>
      <c r="L37" s="235">
        <v>62.145699239999999</v>
      </c>
      <c r="M37" s="235">
        <v>238.57520965999998</v>
      </c>
      <c r="N37" s="235"/>
      <c r="O37" s="235">
        <v>240.24757600999996</v>
      </c>
      <c r="P37" s="235">
        <v>8.8337148500000016</v>
      </c>
      <c r="Q37" s="235">
        <v>564.64534662000005</v>
      </c>
      <c r="R37" s="235">
        <v>11.073213800000001</v>
      </c>
      <c r="S37" s="235">
        <v>173.92680192</v>
      </c>
      <c r="T37" s="235"/>
      <c r="U37" s="235">
        <v>5474.4099900000001</v>
      </c>
      <c r="V37" s="235">
        <v>3782.2734881300003</v>
      </c>
      <c r="W37" s="235">
        <v>0.97466836000000001</v>
      </c>
      <c r="X37" s="285"/>
      <c r="Y37" s="235">
        <f t="shared" si="2"/>
        <v>36807.171682509994</v>
      </c>
      <c r="Z37" s="218">
        <f>SUM(Y35:Y37)</f>
        <v>99879.497638359986</v>
      </c>
      <c r="AA37"/>
    </row>
    <row r="38" spans="2:27" s="232" customFormat="1" ht="12" customHeight="1">
      <c r="C38" s="123"/>
      <c r="D38" s="235" t="str">
        <f>IF(Indice_index!$Z$1=1,"outubro","October")</f>
        <v>October</v>
      </c>
      <c r="E38" s="235"/>
      <c r="F38" s="235"/>
      <c r="G38" s="235"/>
      <c r="H38" s="235"/>
      <c r="I38" s="235"/>
      <c r="J38" s="235"/>
      <c r="K38" s="235"/>
      <c r="L38" s="235"/>
      <c r="M38" s="235"/>
      <c r="N38" s="235"/>
      <c r="O38" s="235"/>
      <c r="P38" s="235"/>
      <c r="Q38" s="235"/>
      <c r="R38" s="235"/>
      <c r="S38" s="235"/>
      <c r="T38" s="235"/>
      <c r="U38" s="235"/>
      <c r="V38" s="235"/>
      <c r="W38" s="235"/>
      <c r="X38" s="285"/>
      <c r="Y38" s="235" t="str">
        <f t="shared" si="2"/>
        <v/>
      </c>
      <c r="Z38" s="429">
        <v>108.973</v>
      </c>
      <c r="AA38"/>
    </row>
    <row r="39" spans="2:27" s="232" customFormat="1" ht="12" customHeight="1">
      <c r="C39" s="123"/>
      <c r="D39" s="235" t="str">
        <f>IF(Indice_index!$Z$1=1,"novembro","November")</f>
        <v>November</v>
      </c>
      <c r="E39" s="235"/>
      <c r="F39" s="235"/>
      <c r="G39" s="235"/>
      <c r="H39" s="235"/>
      <c r="I39" s="235"/>
      <c r="J39" s="235"/>
      <c r="K39" s="235"/>
      <c r="L39" s="235"/>
      <c r="M39" s="235"/>
      <c r="N39" s="235"/>
      <c r="O39" s="235"/>
      <c r="P39" s="235"/>
      <c r="Q39" s="235"/>
      <c r="R39" s="235"/>
      <c r="S39" s="235"/>
      <c r="T39" s="235"/>
      <c r="U39" s="235"/>
      <c r="V39" s="235"/>
      <c r="W39" s="235"/>
      <c r="X39" s="285"/>
      <c r="Y39" s="235" t="str">
        <f t="shared" si="2"/>
        <v/>
      </c>
      <c r="Z39" s="430">
        <f>Z37/(Z38/100)</f>
        <v>91655.270239747435</v>
      </c>
      <c r="AA39" s="236"/>
    </row>
    <row r="40" spans="2:27" s="232" customFormat="1" ht="12" customHeight="1">
      <c r="C40" s="213"/>
      <c r="D40" s="258" t="str">
        <f>IF(Indice_index!$Z$1=1,"dezembro","December")</f>
        <v>December</v>
      </c>
      <c r="E40" s="258"/>
      <c r="F40" s="258"/>
      <c r="G40" s="258"/>
      <c r="H40" s="258"/>
      <c r="I40" s="258"/>
      <c r="J40" s="258"/>
      <c r="K40" s="258"/>
      <c r="L40" s="258"/>
      <c r="M40" s="258"/>
      <c r="N40" s="258"/>
      <c r="O40" s="258"/>
      <c r="P40" s="258"/>
      <c r="Q40" s="258"/>
      <c r="R40" s="258"/>
      <c r="S40" s="258"/>
      <c r="T40" s="258"/>
      <c r="U40" s="258"/>
      <c r="V40" s="258"/>
      <c r="W40" s="258"/>
      <c r="X40" s="285"/>
      <c r="Y40" s="258" t="str">
        <f>IF(SUM(E40:W40)=0,"",SUM(E40:W40))</f>
        <v/>
      </c>
      <c r="Z40" s="236"/>
      <c r="AA40" s="236"/>
    </row>
  </sheetData>
  <mergeCells count="4">
    <mergeCell ref="E5:G5"/>
    <mergeCell ref="I5:M5"/>
    <mergeCell ref="O5:S5"/>
    <mergeCell ref="U5:W5"/>
  </mergeCells>
  <printOptions horizontalCentered="1"/>
  <pageMargins left="0.25" right="0.25" top="0.75" bottom="0.75" header="0.3" footer="0.3"/>
  <pageSetup paperSize="9" scale="59" fitToHeight="0" orientation="landscape"/>
  <headerFooter>
    <oddHeader>&amp;L&amp;G</oddHeader>
  </headerFooter>
  <ignoredErrors>
    <ignoredError sqref="C8:C11" numberStoredAsText="1"/>
    <ignoredError sqref="Y12" formula="1"/>
  </ignoredErrors>
  <drawing r:id="rId1"/>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Q75"/>
  <sheetViews>
    <sheetView showGridLines="0" showZeros="0" zoomScale="80" zoomScaleNormal="80" workbookViewId="0">
      <pane xSplit="3" topLeftCell="D1" activePane="topRight" state="frozen"/>
      <selection activeCell="A4" sqref="A4"/>
      <selection pane="topRight" activeCell="Z40" sqref="Z40:Z41"/>
    </sheetView>
  </sheetViews>
  <sheetFormatPr baseColWidth="10" defaultColWidth="9.1640625" defaultRowHeight="12"/>
  <cols>
    <col min="1" max="1" width="2.5" style="137" customWidth="1"/>
    <col min="2" max="2" width="4" style="137" customWidth="1"/>
    <col min="3" max="3" width="36.1640625" style="137" customWidth="1"/>
    <col min="4" max="21" width="13.6640625" style="137" customWidth="1"/>
    <col min="22" max="22" width="2" style="137" customWidth="1"/>
    <col min="23" max="40" width="13.6640625" style="137" customWidth="1"/>
    <col min="41" max="41" width="2.5" style="137" customWidth="1"/>
    <col min="42" max="59" width="13.6640625" style="137" customWidth="1"/>
    <col min="60" max="60" width="12.5" style="138" bestFit="1" customWidth="1"/>
    <col min="61" max="61" width="14.83203125" style="138" bestFit="1" customWidth="1"/>
    <col min="62" max="62" width="22.33203125" style="138" customWidth="1"/>
    <col min="63" max="66" width="9.1640625" style="152"/>
    <col min="67" max="69" width="9.1640625" style="153" customWidth="1"/>
    <col min="70" max="70" width="9.1640625" style="152" customWidth="1"/>
    <col min="71" max="75" width="9.1640625" style="152"/>
    <col min="76" max="16384" width="9.1640625" style="137"/>
  </cols>
  <sheetData>
    <row r="1" spans="2:85" s="14" customFormat="1" ht="45.5" customHeight="1">
      <c r="B1" s="13"/>
      <c r="C1" s="13"/>
      <c r="H1" s="15"/>
      <c r="I1" s="15"/>
      <c r="P1" s="262"/>
      <c r="T1" s="262"/>
      <c r="BH1" s="156"/>
      <c r="BI1" s="156"/>
      <c r="BJ1" s="156"/>
      <c r="BK1" s="151"/>
      <c r="BL1" s="151"/>
      <c r="BM1" s="151"/>
      <c r="BN1" s="151"/>
      <c r="BO1" s="151"/>
      <c r="BP1" s="151"/>
      <c r="BQ1" s="151"/>
      <c r="BR1" s="151"/>
      <c r="BS1" s="151"/>
      <c r="BT1" s="151"/>
      <c r="BU1" s="151"/>
      <c r="BV1" s="151"/>
      <c r="BW1" s="151"/>
      <c r="BX1"/>
      <c r="BY1"/>
      <c r="BZ1"/>
      <c r="CA1"/>
      <c r="CB1"/>
      <c r="CC1"/>
      <c r="CD1"/>
      <c r="CE1"/>
      <c r="CF1"/>
      <c r="CG1"/>
    </row>
    <row r="2" spans="2:85" ht="20" thickBot="1">
      <c r="B2" s="103" t="s">
        <v>8</v>
      </c>
      <c r="C2" s="399" t="str">
        <f>IF(Indice_index!$Z$1=1,"4 - Despesa do subsetor Estado - Classificação Económica/Orgânica","4 - State Expenditure - Economic/Organic Classification")</f>
        <v>4 - State Expenditure - Economic/Organic Classification</v>
      </c>
      <c r="D2" s="399"/>
      <c r="E2" s="399"/>
      <c r="F2" s="399"/>
      <c r="G2" s="399"/>
      <c r="H2" s="399"/>
      <c r="I2" s="399"/>
      <c r="J2" s="399"/>
      <c r="K2" s="399"/>
      <c r="L2" s="399"/>
      <c r="M2" s="399"/>
      <c r="N2" s="399"/>
      <c r="O2" s="399"/>
      <c r="P2" s="399"/>
      <c r="Q2" s="399"/>
      <c r="R2" s="399"/>
      <c r="S2" s="399"/>
      <c r="T2" s="399"/>
      <c r="U2" s="399"/>
      <c r="V2" s="399"/>
      <c r="W2" s="399"/>
      <c r="X2" s="399"/>
      <c r="Y2" s="399"/>
      <c r="Z2" s="399"/>
      <c r="AA2" s="399"/>
      <c r="AB2" s="399"/>
      <c r="AC2" s="399"/>
      <c r="AD2" s="399"/>
      <c r="AE2" s="399"/>
      <c r="AF2" s="399"/>
      <c r="AG2" s="399"/>
      <c r="AH2" s="399"/>
      <c r="AI2" s="399"/>
      <c r="AJ2" s="399"/>
      <c r="AK2" s="399"/>
      <c r="AL2" s="399"/>
      <c r="AM2" s="399"/>
      <c r="AN2" s="399"/>
      <c r="AO2" s="399"/>
      <c r="AP2" s="399"/>
      <c r="AQ2" s="399"/>
      <c r="AR2" s="399"/>
      <c r="AS2" s="399"/>
      <c r="AT2" s="399"/>
      <c r="AU2" s="399"/>
      <c r="AV2" s="399"/>
      <c r="AW2" s="399"/>
      <c r="AX2" s="399"/>
      <c r="AY2" s="399"/>
      <c r="AZ2" s="399"/>
      <c r="BA2" s="399"/>
      <c r="BB2" s="399"/>
      <c r="BC2" s="399"/>
      <c r="BD2" s="399"/>
      <c r="BE2" s="399"/>
      <c r="BF2" s="399"/>
      <c r="BG2" s="399"/>
      <c r="BH2" s="156"/>
      <c r="BI2" s="156"/>
      <c r="BJ2" s="156"/>
      <c r="BK2" s="151"/>
      <c r="BL2" s="151"/>
      <c r="BM2" s="151"/>
      <c r="BN2" s="151"/>
      <c r="BO2" s="151"/>
      <c r="BP2" s="151"/>
      <c r="BQ2" s="151"/>
      <c r="BR2" s="151"/>
      <c r="BS2" s="151"/>
      <c r="BT2" s="151"/>
      <c r="BU2" s="151"/>
      <c r="BV2" s="151"/>
      <c r="BW2" s="151"/>
      <c r="BX2"/>
      <c r="BY2"/>
      <c r="BZ2"/>
      <c r="CA2"/>
      <c r="CB2"/>
      <c r="CC2"/>
      <c r="CD2"/>
      <c r="CE2"/>
      <c r="CF2"/>
      <c r="CG2"/>
    </row>
    <row r="3" spans="2:85" ht="13">
      <c r="D3" s="14"/>
      <c r="E3" s="14"/>
      <c r="F3" s="14"/>
      <c r="I3" s="139"/>
      <c r="BH3" s="156"/>
      <c r="BI3" s="156"/>
      <c r="BJ3" s="156"/>
      <c r="BK3" s="151"/>
      <c r="BL3" s="151"/>
      <c r="BM3" s="151"/>
      <c r="BN3" s="151"/>
      <c r="BO3" s="151"/>
      <c r="BP3" s="151"/>
      <c r="BQ3" s="151"/>
      <c r="BR3" s="151"/>
      <c r="BS3" s="151"/>
      <c r="BT3" s="151"/>
      <c r="BU3" s="151"/>
      <c r="BV3" s="151"/>
      <c r="BW3" s="151"/>
      <c r="BX3"/>
      <c r="BY3"/>
      <c r="BZ3"/>
      <c r="CA3"/>
      <c r="CB3"/>
      <c r="CC3"/>
      <c r="CD3"/>
      <c r="CE3"/>
      <c r="CF3"/>
      <c r="CG3"/>
    </row>
    <row r="4" spans="2:85" ht="13">
      <c r="F4" s="139"/>
      <c r="I4" s="139"/>
      <c r="BH4" s="156"/>
      <c r="BI4" s="156"/>
      <c r="BJ4" s="156"/>
      <c r="BK4" s="151"/>
      <c r="BL4" s="151"/>
      <c r="BM4" s="151"/>
      <c r="BN4" s="151"/>
      <c r="BO4" s="151"/>
      <c r="BP4" s="151"/>
      <c r="BQ4" s="151"/>
      <c r="BR4" s="151"/>
      <c r="BS4" s="151"/>
      <c r="BT4" s="151"/>
      <c r="BU4" s="151"/>
      <c r="BV4" s="151"/>
      <c r="BW4" s="151"/>
      <c r="BX4"/>
      <c r="BY4"/>
      <c r="BZ4"/>
      <c r="CA4"/>
      <c r="CB4"/>
      <c r="CC4"/>
      <c r="CD4"/>
      <c r="CE4"/>
      <c r="CF4"/>
      <c r="CG4"/>
    </row>
    <row r="5" spans="2:85" ht="14" customHeight="1">
      <c r="C5" s="260" t="str">
        <f>IF(Indice_index!$Z$1=1,"(Período: janeiro a setembro)","(Period: January to September)")</f>
        <v>(Period: January to September)</v>
      </c>
      <c r="D5" s="157"/>
      <c r="E5" s="157"/>
      <c r="F5" s="157"/>
      <c r="G5" s="157"/>
      <c r="H5" s="157"/>
      <c r="I5" s="157"/>
      <c r="J5" s="157"/>
      <c r="K5" s="157"/>
      <c r="L5" s="157"/>
      <c r="M5" s="157"/>
      <c r="N5" s="157"/>
      <c r="O5" s="157"/>
      <c r="P5" s="157"/>
      <c r="Q5" s="157"/>
      <c r="R5" s="157"/>
      <c r="S5" s="157"/>
      <c r="T5" s="157"/>
      <c r="U5" s="204" t="str">
        <f>IF(Indice_index!$Z$1=1,"€ Milhões","€ Million")</f>
        <v>€ Million</v>
      </c>
      <c r="V5" s="157"/>
      <c r="W5" s="157"/>
      <c r="X5" s="157"/>
      <c r="Y5" s="157"/>
      <c r="Z5" s="157"/>
      <c r="AA5" s="157"/>
      <c r="AB5" s="157"/>
      <c r="AC5" s="157"/>
      <c r="AD5" s="157"/>
      <c r="AE5" s="157"/>
      <c r="AF5" s="157"/>
      <c r="AG5" s="157"/>
      <c r="AH5" s="157"/>
      <c r="AI5" s="157"/>
      <c r="AJ5" s="157"/>
      <c r="AK5" s="157"/>
      <c r="AL5" s="157"/>
      <c r="AM5" s="157"/>
      <c r="AN5" s="204" t="str">
        <f>IF(Indice_index!$Z$1=1,"€ Milhões","€ Million")</f>
        <v>€ Million</v>
      </c>
      <c r="AO5" s="157"/>
      <c r="AP5" s="157"/>
      <c r="AQ5" s="157"/>
      <c r="AR5" s="157"/>
      <c r="AS5" s="157"/>
      <c r="AT5" s="157"/>
      <c r="AU5" s="157"/>
      <c r="AV5" s="157"/>
      <c r="AW5" s="157"/>
      <c r="AX5" s="157"/>
      <c r="AY5" s="157"/>
      <c r="AZ5" s="157"/>
      <c r="BA5" s="157"/>
      <c r="BB5" s="157"/>
      <c r="BC5" s="157"/>
      <c r="BD5" s="157"/>
      <c r="BE5" s="157"/>
      <c r="BF5" s="157"/>
      <c r="BG5" s="157"/>
      <c r="BH5" s="156"/>
      <c r="BI5" s="156"/>
      <c r="BJ5" s="156"/>
      <c r="BK5" s="151"/>
      <c r="BL5" s="151"/>
      <c r="BM5" s="151"/>
      <c r="BN5" s="151"/>
      <c r="BO5" s="151"/>
      <c r="BP5" s="151"/>
      <c r="BQ5" s="151"/>
      <c r="BR5" s="151"/>
      <c r="BS5" s="151"/>
      <c r="BT5" s="151"/>
      <c r="BU5" s="151"/>
      <c r="BV5" s="151"/>
      <c r="BW5" s="151"/>
      <c r="BX5"/>
      <c r="BY5"/>
      <c r="BZ5"/>
      <c r="CA5"/>
      <c r="CB5"/>
      <c r="CC5"/>
      <c r="CD5"/>
      <c r="CE5"/>
      <c r="CF5"/>
      <c r="CG5"/>
    </row>
    <row r="6" spans="2:85" ht="14">
      <c r="C6" s="158"/>
      <c r="D6" s="396">
        <v>2018</v>
      </c>
      <c r="E6" s="397"/>
      <c r="F6" s="397"/>
      <c r="G6" s="397"/>
      <c r="H6" s="397"/>
      <c r="I6" s="397"/>
      <c r="J6" s="397"/>
      <c r="K6" s="397"/>
      <c r="L6" s="397"/>
      <c r="M6" s="397"/>
      <c r="N6" s="397"/>
      <c r="O6" s="397"/>
      <c r="P6" s="397"/>
      <c r="Q6" s="397"/>
      <c r="R6" s="397"/>
      <c r="S6" s="397"/>
      <c r="T6" s="397"/>
      <c r="U6" s="397"/>
      <c r="V6" s="159"/>
      <c r="W6" s="396">
        <v>2017</v>
      </c>
      <c r="X6" s="397"/>
      <c r="Y6" s="397"/>
      <c r="Z6" s="397"/>
      <c r="AA6" s="397"/>
      <c r="AB6" s="397"/>
      <c r="AC6" s="397"/>
      <c r="AD6" s="397"/>
      <c r="AE6" s="397"/>
      <c r="AF6" s="397"/>
      <c r="AG6" s="397"/>
      <c r="AH6" s="397"/>
      <c r="AI6" s="397"/>
      <c r="AJ6" s="397"/>
      <c r="AK6" s="397"/>
      <c r="AL6" s="397"/>
      <c r="AM6" s="397"/>
      <c r="AN6" s="397"/>
      <c r="AO6" s="159"/>
      <c r="AP6" s="398" t="str">
        <f>IF(Indice_index!$Z$1=1,"VH (%)","YOY Change Rate (%)")</f>
        <v>YOY Change Rate (%)</v>
      </c>
      <c r="AQ6" s="398"/>
      <c r="AR6" s="398"/>
      <c r="AS6" s="398"/>
      <c r="AT6" s="398"/>
      <c r="AU6" s="398"/>
      <c r="AV6" s="398"/>
      <c r="AW6" s="398"/>
      <c r="AX6" s="398"/>
      <c r="AY6" s="398"/>
      <c r="AZ6" s="398"/>
      <c r="BA6" s="398"/>
      <c r="BB6" s="398"/>
      <c r="BC6" s="398"/>
      <c r="BD6" s="398"/>
      <c r="BE6" s="398"/>
      <c r="BF6" s="398"/>
      <c r="BG6" s="398"/>
      <c r="BH6" s="156"/>
      <c r="BI6" s="156"/>
      <c r="BJ6" s="156"/>
      <c r="BK6" s="151"/>
      <c r="BL6" s="151"/>
      <c r="BM6" s="151"/>
      <c r="BN6" s="151"/>
      <c r="BO6" s="151"/>
      <c r="BP6" s="151"/>
      <c r="BQ6" s="151"/>
      <c r="BR6" s="151"/>
      <c r="BS6" s="151"/>
      <c r="BT6" s="151"/>
      <c r="BU6" s="151"/>
      <c r="BV6" s="151"/>
      <c r="BW6" s="151"/>
      <c r="BX6"/>
      <c r="BY6"/>
      <c r="BZ6"/>
      <c r="CA6"/>
      <c r="CB6"/>
      <c r="CC6"/>
      <c r="CD6"/>
      <c r="CE6"/>
      <c r="CF6"/>
      <c r="CG6"/>
    </row>
    <row r="7" spans="2:85" ht="78.5" customHeight="1">
      <c r="C7" s="160"/>
      <c r="D7" s="161" t="s">
        <v>143</v>
      </c>
      <c r="E7" s="162" t="s">
        <v>144</v>
      </c>
      <c r="F7" s="161" t="s">
        <v>145</v>
      </c>
      <c r="G7" s="161" t="s">
        <v>118</v>
      </c>
      <c r="H7" s="161" t="s">
        <v>146</v>
      </c>
      <c r="I7" s="161" t="s">
        <v>147</v>
      </c>
      <c r="J7" s="161" t="s">
        <v>119</v>
      </c>
      <c r="K7" s="161" t="s">
        <v>120</v>
      </c>
      <c r="L7" s="161" t="s">
        <v>121</v>
      </c>
      <c r="M7" s="161" t="s">
        <v>148</v>
      </c>
      <c r="N7" s="161" t="s">
        <v>122</v>
      </c>
      <c r="O7" s="161" t="s">
        <v>123</v>
      </c>
      <c r="P7" s="262" t="s">
        <v>124</v>
      </c>
      <c r="Q7" s="262" t="s">
        <v>125</v>
      </c>
      <c r="R7" s="262" t="s">
        <v>126</v>
      </c>
      <c r="S7" s="263" t="s">
        <v>127</v>
      </c>
      <c r="T7" s="262" t="s">
        <v>128</v>
      </c>
      <c r="U7" s="161" t="s">
        <v>9</v>
      </c>
      <c r="V7" s="163"/>
      <c r="W7" s="161" t="s">
        <v>143</v>
      </c>
      <c r="X7" s="162" t="s">
        <v>144</v>
      </c>
      <c r="Y7" s="161" t="s">
        <v>145</v>
      </c>
      <c r="Z7" s="161" t="s">
        <v>118</v>
      </c>
      <c r="AA7" s="161" t="s">
        <v>146</v>
      </c>
      <c r="AB7" s="161" t="s">
        <v>147</v>
      </c>
      <c r="AC7" s="161" t="s">
        <v>119</v>
      </c>
      <c r="AD7" s="161" t="s">
        <v>120</v>
      </c>
      <c r="AE7" s="161" t="s">
        <v>121</v>
      </c>
      <c r="AF7" s="161" t="s">
        <v>148</v>
      </c>
      <c r="AG7" s="161" t="s">
        <v>122</v>
      </c>
      <c r="AH7" s="161" t="s">
        <v>123</v>
      </c>
      <c r="AI7" s="262" t="s">
        <v>124</v>
      </c>
      <c r="AJ7" s="262" t="s">
        <v>125</v>
      </c>
      <c r="AK7" s="262" t="s">
        <v>126</v>
      </c>
      <c r="AL7" s="263" t="s">
        <v>127</v>
      </c>
      <c r="AM7" s="262" t="s">
        <v>128</v>
      </c>
      <c r="AN7" s="161" t="s">
        <v>9</v>
      </c>
      <c r="AO7" s="163"/>
      <c r="AP7" s="161" t="s">
        <v>143</v>
      </c>
      <c r="AQ7" s="162" t="s">
        <v>144</v>
      </c>
      <c r="AR7" s="161" t="s">
        <v>145</v>
      </c>
      <c r="AS7" s="161" t="s">
        <v>118</v>
      </c>
      <c r="AT7" s="161" t="s">
        <v>146</v>
      </c>
      <c r="AU7" s="161" t="s">
        <v>147</v>
      </c>
      <c r="AV7" s="161" t="s">
        <v>119</v>
      </c>
      <c r="AW7" s="161" t="s">
        <v>120</v>
      </c>
      <c r="AX7" s="161" t="s">
        <v>121</v>
      </c>
      <c r="AY7" s="161" t="s">
        <v>148</v>
      </c>
      <c r="AZ7" s="161" t="s">
        <v>122</v>
      </c>
      <c r="BA7" s="161" t="s">
        <v>123</v>
      </c>
      <c r="BB7" s="262" t="s">
        <v>124</v>
      </c>
      <c r="BC7" s="262" t="s">
        <v>125</v>
      </c>
      <c r="BD7" s="262" t="s">
        <v>126</v>
      </c>
      <c r="BE7" s="263" t="s">
        <v>127</v>
      </c>
      <c r="BF7" s="262" t="s">
        <v>128</v>
      </c>
      <c r="BG7" s="164" t="s">
        <v>9</v>
      </c>
      <c r="BH7" s="165"/>
      <c r="BI7" s="165"/>
      <c r="BJ7" s="165"/>
      <c r="BK7" s="166"/>
      <c r="BL7" s="166"/>
      <c r="BM7" s="166"/>
      <c r="BN7" s="166"/>
    </row>
    <row r="8" spans="2:85" ht="14">
      <c r="C8" s="167" t="str">
        <f>IF(Indice_index!$Z$1=1,"Despesa corrente","Current Expenditure")</f>
        <v>Current Expenditure</v>
      </c>
      <c r="D8" s="267">
        <f t="shared" ref="D8:T8" si="0">+D9+D13+D16+D17+D24+D25</f>
        <v>2320.6987743199998</v>
      </c>
      <c r="E8" s="267">
        <f t="shared" si="0"/>
        <v>75.076156469999987</v>
      </c>
      <c r="F8" s="267">
        <f t="shared" si="0"/>
        <v>199.75679595</v>
      </c>
      <c r="G8" s="267">
        <f t="shared" si="0"/>
        <v>7564.1698004499995</v>
      </c>
      <c r="H8" s="267">
        <f t="shared" si="0"/>
        <v>1028.23639174</v>
      </c>
      <c r="I8" s="267">
        <f t="shared" si="0"/>
        <v>1329.8388858800001</v>
      </c>
      <c r="J8" s="267">
        <f t="shared" si="0"/>
        <v>816.73017875000028</v>
      </c>
      <c r="K8" s="267">
        <f>+K9+K13+K16+K17+K24+K25</f>
        <v>216.06963920999999</v>
      </c>
      <c r="L8" s="267">
        <f>+L9+L13+L16+L17+L24+L25</f>
        <v>989.13434290999987</v>
      </c>
      <c r="M8" s="267">
        <f>+M9+M13+M16+M17+M24+M25</f>
        <v>4351.9251453100005</v>
      </c>
      <c r="N8" s="267">
        <f>+N9+N13+N16+N17+N24+N25</f>
        <v>9793.9223762399979</v>
      </c>
      <c r="O8" s="267">
        <f t="shared" si="0"/>
        <v>6479.6726479400004</v>
      </c>
      <c r="P8" s="267">
        <f t="shared" si="0"/>
        <v>188.20725509000002</v>
      </c>
      <c r="Q8" s="267">
        <f t="shared" si="0"/>
        <v>59.596278429999998</v>
      </c>
      <c r="R8" s="267">
        <f t="shared" si="0"/>
        <v>33.455383730000001</v>
      </c>
      <c r="S8" s="267">
        <f t="shared" si="0"/>
        <v>190.72136958000002</v>
      </c>
      <c r="T8" s="267">
        <f t="shared" si="0"/>
        <v>24.503122510000004</v>
      </c>
      <c r="U8" s="267">
        <f>+U9+U13+U16+U17+U24+U25</f>
        <v>35661.714544510003</v>
      </c>
      <c r="V8" s="168"/>
      <c r="W8" s="267">
        <f t="shared" ref="W8:AM8" si="1">+W9+W13+W16+W17+W24+W25</f>
        <v>2283.92669841</v>
      </c>
      <c r="X8" s="267">
        <f t="shared" si="1"/>
        <v>76.327336619999997</v>
      </c>
      <c r="Y8" s="267">
        <f t="shared" si="1"/>
        <v>205.32870163000001</v>
      </c>
      <c r="Z8" s="267">
        <f t="shared" si="1"/>
        <v>7253.4085694899995</v>
      </c>
      <c r="AA8" s="267">
        <f t="shared" si="1"/>
        <v>1086.0624311899999</v>
      </c>
      <c r="AB8" s="267">
        <f t="shared" si="1"/>
        <v>1370.1688349900001</v>
      </c>
      <c r="AC8" s="267">
        <f t="shared" si="1"/>
        <v>826.96739816999991</v>
      </c>
      <c r="AD8" s="267">
        <f t="shared" si="1"/>
        <v>163.37766464999999</v>
      </c>
      <c r="AE8" s="267">
        <f t="shared" si="1"/>
        <v>1012.3717704100001</v>
      </c>
      <c r="AF8" s="267">
        <f t="shared" si="1"/>
        <v>4418.4722647800008</v>
      </c>
      <c r="AG8" s="267">
        <f t="shared" si="1"/>
        <v>10249.3133177</v>
      </c>
      <c r="AH8" s="267">
        <f t="shared" si="1"/>
        <v>6298.6411632599993</v>
      </c>
      <c r="AI8" s="267">
        <f t="shared" si="1"/>
        <v>152.20292298999999</v>
      </c>
      <c r="AJ8" s="267">
        <f t="shared" si="1"/>
        <v>63.789878009999995</v>
      </c>
      <c r="AK8" s="267">
        <f t="shared" si="1"/>
        <v>31.660382620000004</v>
      </c>
      <c r="AL8" s="267">
        <f t="shared" si="1"/>
        <v>182.68347658000002</v>
      </c>
      <c r="AM8" s="267">
        <f t="shared" si="1"/>
        <v>24.514814299999998</v>
      </c>
      <c r="AN8" s="267">
        <f>+AN9+AN13+AN16+AN17+AN24+AN25</f>
        <v>35699.217625799996</v>
      </c>
      <c r="AO8" s="168"/>
      <c r="AP8" s="169">
        <f t="shared" ref="AP8:AP25" si="2">IF(W8=0,"-",IF((D8/W8)&gt;3,"-",((D8-W8)/W8)*100))</f>
        <v>1.6100374821836172</v>
      </c>
      <c r="AQ8" s="169">
        <f t="shared" ref="AQ8:AQ25" si="3">IF(X8=0,"-",IF((E8/X8)&gt;3,"-",((E8-X8)/X8)*100))</f>
        <v>-1.6392294103344418</v>
      </c>
      <c r="AR8" s="169">
        <f t="shared" ref="AR8:AR25" si="4">IF(Y8=0,"-",IF((F8/Y8)&gt;3,"-",((F8-Y8)/Y8)*100))</f>
        <v>-2.7136516404026776</v>
      </c>
      <c r="AS8" s="169">
        <f t="shared" ref="AS8:AS25" si="5">IF(Z8=0,"-",IF((G8/Z8)&gt;3,"-",((G8-Z8)/Z8)*100))</f>
        <v>4.2843475309960386</v>
      </c>
      <c r="AT8" s="169">
        <f t="shared" ref="AT8:AT25" si="6">IF(AA8=0,"-",IF((H8/AA8)&gt;3,"-",((H8-AA8)/AA8)*100))</f>
        <v>-5.324375265116184</v>
      </c>
      <c r="AU8" s="169">
        <f t="shared" ref="AU8:AU25" si="7">IF(AB8=0,"-",IF((I8/AB8)&gt;3,"-",((I8-AB8)/AB8)*100))</f>
        <v>-2.9434291658147558</v>
      </c>
      <c r="AV8" s="169">
        <f t="shared" ref="AV8:AV25" si="8">IF(AC8=0,"-",IF((J8/AC8)&gt;3,"-",((J8-AC8)/AC8)*100))</f>
        <v>-1.2379229752773355</v>
      </c>
      <c r="AW8" s="169">
        <f t="shared" ref="AW8:AW25" si="9">IF(AD8=0,"-",IF((K8/AD8)&gt;3,"-",((K8-AD8)/AD8)*100))</f>
        <v>32.251638969672349</v>
      </c>
      <c r="AX8" s="169">
        <f t="shared" ref="AX8:AX25" si="10">IF(AE8=0,"-",IF((L8/AE8)&gt;3,"-",((L8-AE8)/AE8)*100))</f>
        <v>-2.2953452653652398</v>
      </c>
      <c r="AY8" s="169">
        <f t="shared" ref="AY8:AY25" si="11">IF(AF8=0,"-",IF((M8/AF8)&gt;3,"-",((M8-AF8)/AF8)*100))</f>
        <v>-1.5061115128061975</v>
      </c>
      <c r="AZ8" s="169">
        <f t="shared" ref="AZ8:AZ25" si="12">IF(AG8=0,"-",IF((N8/AG8)&gt;3,"-",((N8-AG8)/AG8)*100))</f>
        <v>-4.4431361140415815</v>
      </c>
      <c r="BA8" s="169">
        <f t="shared" ref="BA8:BA25" si="13">IF(AH8=0,"-",IF((O8/AH8)&gt;3,"-",((O8-AH8)/AH8)*100))</f>
        <v>2.8741355474567833</v>
      </c>
      <c r="BB8" s="169">
        <f t="shared" ref="BB8:BB25" si="14">IF(AI8=0,"-",IF((P8/AI8)&gt;3,"-",((P8-AI8)/AI8)*100))</f>
        <v>23.655480060895794</v>
      </c>
      <c r="BC8" s="169">
        <f t="shared" ref="BC8:BC25" si="15">IF(AJ8=0,"-",IF((Q8/AJ8)&gt;3,"-",((Q8-AJ8)/AJ8)*100))</f>
        <v>-6.574083084690316</v>
      </c>
      <c r="BD8" s="169">
        <f t="shared" ref="BD8:BD25" si="16">IF(AK8=0,"-",IF((R8/AK8)&gt;3,"-",((R8-AK8)/AK8)*100))</f>
        <v>5.6695496436170281</v>
      </c>
      <c r="BE8" s="169">
        <f t="shared" ref="BE8:BE25" si="17">IF(AL8=0,"-",IF((S8/AL8)&gt;3,"-",((S8-AL8)/AL8)*100))</f>
        <v>4.3999014856059375</v>
      </c>
      <c r="BF8" s="169">
        <f t="shared" ref="BF8:BF25" si="18">IF(AM8=0,"-",IF((T8/AM8)&gt;3,"-",((T8-AM8)/AM8)*100))</f>
        <v>-4.769275368320175E-2</v>
      </c>
      <c r="BG8" s="170">
        <f t="shared" ref="BG8:BG25" si="19">IF(AN8=0,"-",IF((U8/AN8)&gt;3,"-",((U8-AN8)/AN8)*100))</f>
        <v>-0.10505295013213253</v>
      </c>
      <c r="BH8" s="165"/>
      <c r="BI8" s="165"/>
      <c r="BJ8" s="165"/>
      <c r="BK8" s="166"/>
      <c r="BL8" s="166"/>
      <c r="BM8" s="166"/>
      <c r="BN8" s="166"/>
    </row>
    <row r="9" spans="2:85" ht="14">
      <c r="C9" s="171" t="str">
        <f>IF(Indice_index!$Z$1=1,"Despesas com o pessoal","Employees")</f>
        <v>Employees</v>
      </c>
      <c r="D9" s="255">
        <f>SUM(D10:D12)</f>
        <v>29.485837839999995</v>
      </c>
      <c r="E9" s="255">
        <f t="shared" ref="E9:T9" si="20">SUM(E10:E12)</f>
        <v>33.649159669999996</v>
      </c>
      <c r="F9" s="255">
        <f t="shared" si="20"/>
        <v>92.793164799999985</v>
      </c>
      <c r="G9" s="255">
        <f t="shared" si="20"/>
        <v>356.97288960999998</v>
      </c>
      <c r="H9" s="255">
        <f t="shared" si="20"/>
        <v>787.96377305999999</v>
      </c>
      <c r="I9" s="255">
        <f t="shared" si="20"/>
        <v>1135.5495813700002</v>
      </c>
      <c r="J9" s="255">
        <f t="shared" si="20"/>
        <v>669.05916297000022</v>
      </c>
      <c r="K9" s="255">
        <f>SUM(K10:K12)</f>
        <v>20.75965918</v>
      </c>
      <c r="L9" s="255">
        <f>SUM(L10:L12)</f>
        <v>3.8362404400000001</v>
      </c>
      <c r="M9" s="255">
        <f>SUM(M10:M12)</f>
        <v>3411.9290951500002</v>
      </c>
      <c r="N9" s="255">
        <f>SUM(N10:N12)</f>
        <v>34.320906220000005</v>
      </c>
      <c r="O9" s="255">
        <f t="shared" si="20"/>
        <v>11.599247409999998</v>
      </c>
      <c r="P9" s="255">
        <f t="shared" si="20"/>
        <v>2.0578822599999995</v>
      </c>
      <c r="Q9" s="255">
        <f t="shared" si="20"/>
        <v>29.731035899999998</v>
      </c>
      <c r="R9" s="255">
        <f t="shared" si="20"/>
        <v>15.374717860000001</v>
      </c>
      <c r="S9" s="255">
        <f t="shared" si="20"/>
        <v>68.319681209999999</v>
      </c>
      <c r="T9" s="255">
        <f t="shared" si="20"/>
        <v>9.5060906700000007</v>
      </c>
      <c r="U9" s="255">
        <f>SUM(U10:U12)</f>
        <v>6712.9081256199997</v>
      </c>
      <c r="V9" s="163"/>
      <c r="W9" s="255">
        <f t="shared" ref="W9:AN9" si="21">SUM(W10:W12)</f>
        <v>30.079777450000002</v>
      </c>
      <c r="X9" s="255">
        <f t="shared" si="21"/>
        <v>33.852097959999995</v>
      </c>
      <c r="Y9" s="255">
        <f t="shared" si="21"/>
        <v>95.12453382999999</v>
      </c>
      <c r="Z9" s="255">
        <f t="shared" si="21"/>
        <v>366.87845191999997</v>
      </c>
      <c r="AA9" s="255">
        <f t="shared" si="21"/>
        <v>845.33373771000004</v>
      </c>
      <c r="AB9" s="255">
        <f t="shared" si="21"/>
        <v>1182.9000904100001</v>
      </c>
      <c r="AC9" s="255">
        <f t="shared" si="21"/>
        <v>673.80933318999996</v>
      </c>
      <c r="AD9" s="255">
        <f t="shared" si="21"/>
        <v>20.746913030000002</v>
      </c>
      <c r="AE9" s="255">
        <f t="shared" si="21"/>
        <v>4.0132582399999999</v>
      </c>
      <c r="AF9" s="255">
        <f t="shared" si="21"/>
        <v>3459.4514581500007</v>
      </c>
      <c r="AG9" s="255">
        <f t="shared" si="21"/>
        <v>34.652414069999999</v>
      </c>
      <c r="AH9" s="255">
        <f t="shared" si="21"/>
        <v>12.266411980000001</v>
      </c>
      <c r="AI9" s="255">
        <f t="shared" si="21"/>
        <v>2.00056565</v>
      </c>
      <c r="AJ9" s="255">
        <f t="shared" si="21"/>
        <v>30.008489599999997</v>
      </c>
      <c r="AK9" s="255">
        <f t="shared" si="21"/>
        <v>15.252032320000001</v>
      </c>
      <c r="AL9" s="255">
        <f t="shared" si="21"/>
        <v>68.670003359999995</v>
      </c>
      <c r="AM9" s="255">
        <f t="shared" si="21"/>
        <v>9.1710298099999985</v>
      </c>
      <c r="AN9" s="255">
        <f t="shared" si="21"/>
        <v>6884.2105986799997</v>
      </c>
      <c r="AO9" s="163"/>
      <c r="AP9" s="172">
        <f t="shared" si="2"/>
        <v>-1.9745478868229016</v>
      </c>
      <c r="AQ9" s="172">
        <f t="shared" si="3"/>
        <v>-0.5994851197695128</v>
      </c>
      <c r="AR9" s="172">
        <f t="shared" si="4"/>
        <v>-2.4508598740325676</v>
      </c>
      <c r="AS9" s="172">
        <f t="shared" si="5"/>
        <v>-2.6999575085865115</v>
      </c>
      <c r="AT9" s="172">
        <f t="shared" si="6"/>
        <v>-6.7866644960148701</v>
      </c>
      <c r="AU9" s="172">
        <f t="shared" si="7"/>
        <v>-4.0029170192715045</v>
      </c>
      <c r="AV9" s="172">
        <f t="shared" si="8"/>
        <v>-0.70497245823401178</v>
      </c>
      <c r="AW9" s="172">
        <f t="shared" si="9"/>
        <v>6.1436368782031389E-2</v>
      </c>
      <c r="AX9" s="172">
        <f t="shared" si="10"/>
        <v>-4.4108250557033619</v>
      </c>
      <c r="AY9" s="172">
        <f t="shared" si="11"/>
        <v>-1.3736964826618459</v>
      </c>
      <c r="AZ9" s="172">
        <f t="shared" si="12"/>
        <v>-0.9566659607908643</v>
      </c>
      <c r="BA9" s="172">
        <f t="shared" si="13"/>
        <v>-5.4389545295543087</v>
      </c>
      <c r="BB9" s="172">
        <f t="shared" si="14"/>
        <v>2.8650202006617254</v>
      </c>
      <c r="BC9" s="172">
        <f t="shared" si="15"/>
        <v>-0.92458402171630394</v>
      </c>
      <c r="BD9" s="172">
        <f t="shared" si="16"/>
        <v>0.80438814595954822</v>
      </c>
      <c r="BE9" s="172">
        <f t="shared" si="17"/>
        <v>-0.51015309867315073</v>
      </c>
      <c r="BF9" s="172">
        <f t="shared" si="18"/>
        <v>3.6534704056316034</v>
      </c>
      <c r="BG9" s="173">
        <f t="shared" si="19"/>
        <v>-2.4883386497915398</v>
      </c>
      <c r="BH9" s="165"/>
      <c r="BI9" s="165"/>
      <c r="BJ9" s="165"/>
      <c r="BK9" s="166"/>
      <c r="BL9" s="166"/>
      <c r="BM9" s="166"/>
      <c r="BN9" s="166"/>
    </row>
    <row r="10" spans="2:85" ht="14">
      <c r="C10" s="174" t="str">
        <f>IF(Indice_index!$Z$1=1,"Remunerações Certas e Permanentes","Certain and permanent wages")</f>
        <v>Certain and permanent wages</v>
      </c>
      <c r="D10" s="251">
        <v>23.744412609999998</v>
      </c>
      <c r="E10" s="251">
        <v>27.376153609999999</v>
      </c>
      <c r="F10" s="251">
        <v>50.171104469999996</v>
      </c>
      <c r="G10" s="251">
        <v>237.37332161999996</v>
      </c>
      <c r="H10" s="251">
        <v>472.71356355000006</v>
      </c>
      <c r="I10" s="251">
        <v>749.67566092000015</v>
      </c>
      <c r="J10" s="251">
        <v>506.47100951000016</v>
      </c>
      <c r="K10" s="251">
        <v>16.740948120000002</v>
      </c>
      <c r="L10" s="251">
        <v>2.6333781700000003</v>
      </c>
      <c r="M10" s="251">
        <v>2597.6144687300002</v>
      </c>
      <c r="N10" s="251">
        <v>27.430595940000003</v>
      </c>
      <c r="O10" s="251">
        <v>9.2603328799999982</v>
      </c>
      <c r="P10" s="251">
        <v>1.6427832699999998</v>
      </c>
      <c r="Q10" s="251">
        <v>23.150177449999997</v>
      </c>
      <c r="R10" s="251">
        <v>12.352903550000001</v>
      </c>
      <c r="S10" s="251">
        <v>53.745034560000001</v>
      </c>
      <c r="T10" s="251">
        <v>7.2855369500000009</v>
      </c>
      <c r="U10" s="255">
        <f t="shared" ref="U10:U36" si="22">SUM(D10:T10)</f>
        <v>4819.3813859100001</v>
      </c>
      <c r="V10" s="163"/>
      <c r="W10" s="251">
        <v>24.296051950000003</v>
      </c>
      <c r="X10" s="251">
        <v>27.731902199999997</v>
      </c>
      <c r="Y10" s="251">
        <v>52.37840868</v>
      </c>
      <c r="Z10" s="251">
        <v>246.28029114</v>
      </c>
      <c r="AA10" s="251">
        <v>473.17037669999996</v>
      </c>
      <c r="AB10" s="251">
        <v>776.73101302999999</v>
      </c>
      <c r="AC10" s="251">
        <v>512.61045551999996</v>
      </c>
      <c r="AD10" s="251">
        <v>16.72702993</v>
      </c>
      <c r="AE10" s="251">
        <v>2.5879196899999997</v>
      </c>
      <c r="AF10" s="251">
        <v>2659.0673554100003</v>
      </c>
      <c r="AG10" s="251">
        <v>27.709811319999996</v>
      </c>
      <c r="AH10" s="251">
        <v>9.7705505500000012</v>
      </c>
      <c r="AI10" s="251">
        <v>1.5991658600000001</v>
      </c>
      <c r="AJ10" s="251">
        <v>23.447811009999999</v>
      </c>
      <c r="AK10" s="251">
        <v>12.197963810000001</v>
      </c>
      <c r="AL10" s="251">
        <v>54.486771299999994</v>
      </c>
      <c r="AM10" s="251">
        <v>7.0366439699999983</v>
      </c>
      <c r="AN10" s="255">
        <f>SUM(W10:AM10)</f>
        <v>4927.8295220700002</v>
      </c>
      <c r="AO10" s="163"/>
      <c r="AP10" s="172">
        <f t="shared" si="2"/>
        <v>-2.2704896299005681</v>
      </c>
      <c r="AQ10" s="172">
        <f t="shared" si="3"/>
        <v>-1.2828135172061783</v>
      </c>
      <c r="AR10" s="172">
        <f t="shared" si="4"/>
        <v>-4.214149046576197</v>
      </c>
      <c r="AS10" s="172">
        <f t="shared" si="5"/>
        <v>-3.616598583171565</v>
      </c>
      <c r="AT10" s="172">
        <f t="shared" si="6"/>
        <v>-9.6543057742926264E-2</v>
      </c>
      <c r="AU10" s="172">
        <f t="shared" si="7"/>
        <v>-3.4832331471429043</v>
      </c>
      <c r="AV10" s="172">
        <f t="shared" si="8"/>
        <v>-1.1976825567812215</v>
      </c>
      <c r="AW10" s="172">
        <f t="shared" si="9"/>
        <v>8.3207778417610734E-2</v>
      </c>
      <c r="AX10" s="172">
        <f t="shared" si="10"/>
        <v>1.756564555525316</v>
      </c>
      <c r="AY10" s="172">
        <f t="shared" si="11"/>
        <v>-2.3110692008222835</v>
      </c>
      <c r="AZ10" s="172">
        <f t="shared" si="12"/>
        <v>-1.0076408560691457</v>
      </c>
      <c r="BA10" s="172">
        <f t="shared" si="13"/>
        <v>-5.2219950901334098</v>
      </c>
      <c r="BB10" s="172">
        <f t="shared" si="14"/>
        <v>2.7275100782854222</v>
      </c>
      <c r="BC10" s="172">
        <f t="shared" si="15"/>
        <v>-1.2693447583361483</v>
      </c>
      <c r="BD10" s="172">
        <f t="shared" si="16"/>
        <v>1.2702098679205676</v>
      </c>
      <c r="BE10" s="172">
        <f t="shared" si="17"/>
        <v>-1.3613152739699834</v>
      </c>
      <c r="BF10" s="172">
        <f t="shared" si="18"/>
        <v>3.5370978134055382</v>
      </c>
      <c r="BG10" s="173">
        <f t="shared" si="19"/>
        <v>-2.2007282450478325</v>
      </c>
      <c r="BH10" s="165"/>
      <c r="BI10" s="165"/>
      <c r="BJ10" s="165"/>
      <c r="BK10" s="166"/>
      <c r="BL10" s="166"/>
      <c r="BM10" s="166"/>
      <c r="BN10" s="166"/>
    </row>
    <row r="11" spans="2:85" ht="14">
      <c r="C11" s="174" t="str">
        <f>IF(Indice_index!$Z$1=1,"Abonos Variáveis ou Eventuais","Variable or contingent bonuses")</f>
        <v>Variable or contingent bonuses</v>
      </c>
      <c r="D11" s="251">
        <v>0.60628695999999993</v>
      </c>
      <c r="E11" s="251">
        <v>0.35288077000000001</v>
      </c>
      <c r="F11" s="251">
        <v>31.152882119999997</v>
      </c>
      <c r="G11" s="251">
        <v>51.088893520000013</v>
      </c>
      <c r="H11" s="251">
        <v>56.204901700000001</v>
      </c>
      <c r="I11" s="251">
        <v>70.323706529999995</v>
      </c>
      <c r="J11" s="251">
        <v>44.624794259999994</v>
      </c>
      <c r="K11" s="251">
        <v>0.19433900000000001</v>
      </c>
      <c r="L11" s="251">
        <v>4.4309970000000004E-2</v>
      </c>
      <c r="M11" s="251">
        <v>16.19661773</v>
      </c>
      <c r="N11" s="251">
        <v>0.41710810999999992</v>
      </c>
      <c r="O11" s="251">
        <v>0.19850742000000002</v>
      </c>
      <c r="P11" s="251">
        <v>3.6142760000000003E-2</v>
      </c>
      <c r="Q11" s="251">
        <v>0.72863935000000002</v>
      </c>
      <c r="R11" s="251">
        <v>0.24338842999999999</v>
      </c>
      <c r="S11" s="251">
        <v>1.6067367400000003</v>
      </c>
      <c r="T11" s="251">
        <v>0.31754577999999994</v>
      </c>
      <c r="U11" s="256">
        <f t="shared" si="22"/>
        <v>274.33768114999992</v>
      </c>
      <c r="V11" s="163"/>
      <c r="W11" s="251">
        <v>0.56097415000000006</v>
      </c>
      <c r="X11" s="251">
        <v>0.27259018000000002</v>
      </c>
      <c r="Y11" s="251">
        <v>30.692041320000001</v>
      </c>
      <c r="Z11" s="251">
        <v>51.754380679999997</v>
      </c>
      <c r="AA11" s="251">
        <v>60.798211350000017</v>
      </c>
      <c r="AB11" s="251">
        <v>66.169503239999997</v>
      </c>
      <c r="AC11" s="251">
        <v>40.201860570000008</v>
      </c>
      <c r="AD11" s="251">
        <v>0.16776811</v>
      </c>
      <c r="AE11" s="251">
        <v>4.7571080000000002E-2</v>
      </c>
      <c r="AF11" s="251">
        <v>16.882833299999994</v>
      </c>
      <c r="AG11" s="251">
        <v>0.38524726000000004</v>
      </c>
      <c r="AH11" s="251">
        <v>0.16854196999999999</v>
      </c>
      <c r="AI11" s="251">
        <v>3.382313E-2</v>
      </c>
      <c r="AJ11" s="251">
        <v>0.62212121999999992</v>
      </c>
      <c r="AK11" s="251">
        <v>0.21473371999999996</v>
      </c>
      <c r="AL11" s="251">
        <v>1.0259652300000002</v>
      </c>
      <c r="AM11" s="251">
        <v>0.28449458999999999</v>
      </c>
      <c r="AN11" s="256">
        <f>SUM(W11:AM11)</f>
        <v>270.28266110000004</v>
      </c>
      <c r="AO11" s="163"/>
      <c r="AP11" s="172">
        <f t="shared" si="2"/>
        <v>8.0775219321603089</v>
      </c>
      <c r="AQ11" s="172">
        <f t="shared" si="3"/>
        <v>29.454689086745528</v>
      </c>
      <c r="AR11" s="172">
        <f t="shared" si="4"/>
        <v>1.501499346997478</v>
      </c>
      <c r="AS11" s="172">
        <f t="shared" si="5"/>
        <v>-1.2858566777462281</v>
      </c>
      <c r="AT11" s="172">
        <f t="shared" si="6"/>
        <v>-7.5550078661977205</v>
      </c>
      <c r="AU11" s="172">
        <f t="shared" si="7"/>
        <v>6.2781237376567587</v>
      </c>
      <c r="AV11" s="172">
        <f t="shared" si="8"/>
        <v>11.001813416816161</v>
      </c>
      <c r="AW11" s="172">
        <f t="shared" si="9"/>
        <v>15.837866922384721</v>
      </c>
      <c r="AX11" s="172">
        <f t="shared" si="10"/>
        <v>-6.8552364167473119</v>
      </c>
      <c r="AY11" s="172">
        <f t="shared" si="11"/>
        <v>-4.0645758789787658</v>
      </c>
      <c r="AZ11" s="172">
        <f t="shared" si="12"/>
        <v>8.2702340309960629</v>
      </c>
      <c r="BA11" s="172">
        <f t="shared" si="13"/>
        <v>17.779221401055199</v>
      </c>
      <c r="BB11" s="172">
        <f t="shared" si="14"/>
        <v>6.8581175071615288</v>
      </c>
      <c r="BC11" s="172">
        <f t="shared" si="15"/>
        <v>17.121764468988875</v>
      </c>
      <c r="BD11" s="172">
        <f t="shared" si="16"/>
        <v>13.344299162702548</v>
      </c>
      <c r="BE11" s="172">
        <f t="shared" si="17"/>
        <v>56.60732869085632</v>
      </c>
      <c r="BF11" s="172">
        <f t="shared" si="18"/>
        <v>11.617510898889133</v>
      </c>
      <c r="BG11" s="173">
        <f t="shared" si="19"/>
        <v>1.5002886361621226</v>
      </c>
      <c r="BH11" s="165"/>
      <c r="BI11" s="175"/>
      <c r="BJ11" s="165"/>
      <c r="BK11" s="166"/>
      <c r="BL11" s="166"/>
      <c r="BM11" s="166"/>
      <c r="BN11" s="166"/>
    </row>
    <row r="12" spans="2:85" ht="14">
      <c r="C12" s="174" t="str">
        <f>IF(Indice_index!$Z$1=1,"Segurança social","Social security")</f>
        <v>Social security</v>
      </c>
      <c r="D12" s="251">
        <v>5.1351382700000006</v>
      </c>
      <c r="E12" s="251">
        <v>5.9201252899999997</v>
      </c>
      <c r="F12" s="251">
        <v>11.469178209999997</v>
      </c>
      <c r="G12" s="251">
        <v>68.510674470000026</v>
      </c>
      <c r="H12" s="251">
        <v>259.04530781</v>
      </c>
      <c r="I12" s="251">
        <v>315.55021392000003</v>
      </c>
      <c r="J12" s="251">
        <v>117.9633592</v>
      </c>
      <c r="K12" s="251">
        <v>3.82437206</v>
      </c>
      <c r="L12" s="251">
        <v>1.1585523</v>
      </c>
      <c r="M12" s="251">
        <v>798.11800868999978</v>
      </c>
      <c r="N12" s="251">
        <v>6.4732021699999986</v>
      </c>
      <c r="O12" s="251">
        <v>2.1404071100000004</v>
      </c>
      <c r="P12" s="251">
        <v>0.37895623000000001</v>
      </c>
      <c r="Q12" s="251">
        <v>5.8522191000000001</v>
      </c>
      <c r="R12" s="251">
        <v>2.7784258799999999</v>
      </c>
      <c r="S12" s="251">
        <v>12.967909909999999</v>
      </c>
      <c r="T12" s="251">
        <v>1.90300794</v>
      </c>
      <c r="U12" s="257">
        <f t="shared" si="22"/>
        <v>1619.1890585599997</v>
      </c>
      <c r="V12" s="163"/>
      <c r="W12" s="251">
        <v>5.2227513499999993</v>
      </c>
      <c r="X12" s="251">
        <v>5.8476055799999989</v>
      </c>
      <c r="Y12" s="251">
        <v>12.05408383</v>
      </c>
      <c r="Z12" s="251">
        <v>68.843780100000018</v>
      </c>
      <c r="AA12" s="251">
        <v>311.36514966000004</v>
      </c>
      <c r="AB12" s="251">
        <v>339.99957413999999</v>
      </c>
      <c r="AC12" s="251">
        <v>120.99701710000001</v>
      </c>
      <c r="AD12" s="251">
        <v>3.8521149899999996</v>
      </c>
      <c r="AE12" s="251">
        <v>1.3777674700000002</v>
      </c>
      <c r="AF12" s="251">
        <v>783.50126943999999</v>
      </c>
      <c r="AG12" s="251">
        <v>6.55735549</v>
      </c>
      <c r="AH12" s="251">
        <v>2.32731946</v>
      </c>
      <c r="AI12" s="251">
        <v>0.36757666</v>
      </c>
      <c r="AJ12" s="251">
        <v>5.9385573699999989</v>
      </c>
      <c r="AK12" s="251">
        <v>2.8393347900000001</v>
      </c>
      <c r="AL12" s="251">
        <v>13.157266829999999</v>
      </c>
      <c r="AM12" s="251">
        <v>1.8498912500000002</v>
      </c>
      <c r="AN12" s="257">
        <f>SUM(W12:AM12)</f>
        <v>1686.0984155099998</v>
      </c>
      <c r="AO12" s="163"/>
      <c r="AP12" s="172">
        <f t="shared" si="2"/>
        <v>-1.6775273056029902</v>
      </c>
      <c r="AQ12" s="172">
        <f t="shared" si="3"/>
        <v>1.2401607633735243</v>
      </c>
      <c r="AR12" s="172">
        <f t="shared" si="4"/>
        <v>-4.8523440540897784</v>
      </c>
      <c r="AS12" s="172">
        <f t="shared" si="5"/>
        <v>-0.48385726280011671</v>
      </c>
      <c r="AT12" s="172">
        <f t="shared" si="6"/>
        <v>-16.803371188821711</v>
      </c>
      <c r="AU12" s="172">
        <f t="shared" si="7"/>
        <v>-7.190997306935615</v>
      </c>
      <c r="AV12" s="172">
        <f t="shared" si="8"/>
        <v>-2.5072170973378554</v>
      </c>
      <c r="AW12" s="172">
        <f t="shared" si="9"/>
        <v>-0.72019994397933618</v>
      </c>
      <c r="AX12" s="172">
        <f t="shared" si="10"/>
        <v>-15.910897504351748</v>
      </c>
      <c r="AY12" s="172">
        <f t="shared" si="11"/>
        <v>1.865566760401929</v>
      </c>
      <c r="AZ12" s="172">
        <f t="shared" si="12"/>
        <v>-1.2833423493409126</v>
      </c>
      <c r="BA12" s="172">
        <f t="shared" si="13"/>
        <v>-8.0312287682241781</v>
      </c>
      <c r="BB12" s="172">
        <f t="shared" si="14"/>
        <v>3.0958358455077115</v>
      </c>
      <c r="BC12" s="172">
        <f t="shared" si="15"/>
        <v>-1.4538593234134041</v>
      </c>
      <c r="BD12" s="172">
        <f t="shared" si="16"/>
        <v>-2.1451823932323317</v>
      </c>
      <c r="BE12" s="172">
        <f t="shared" si="17"/>
        <v>-1.4391812710543002</v>
      </c>
      <c r="BF12" s="172">
        <f t="shared" si="18"/>
        <v>2.8713412207339073</v>
      </c>
      <c r="BG12" s="173">
        <f t="shared" si="19"/>
        <v>-3.9682948714332178</v>
      </c>
      <c r="BH12" s="165"/>
      <c r="BI12" s="176"/>
      <c r="BJ12" s="165"/>
      <c r="BK12" s="166"/>
      <c r="BL12" s="166"/>
      <c r="BM12" s="166"/>
      <c r="BN12" s="166"/>
    </row>
    <row r="13" spans="2:85" ht="11.25" customHeight="1">
      <c r="C13" s="171" t="str">
        <f>IF(Indice_index!$Z$1=1,"Aquisição de bens e serviços correntes","Purchase of current goods and services")</f>
        <v>Purchase of current goods and services</v>
      </c>
      <c r="D13" s="252">
        <f t="shared" ref="D13:T13" si="23">SUM(D14:D15)</f>
        <v>1.4376496699999999</v>
      </c>
      <c r="E13" s="252">
        <f t="shared" si="23"/>
        <v>6.1754497799999992</v>
      </c>
      <c r="F13" s="252">
        <f t="shared" si="23"/>
        <v>20.110621170000005</v>
      </c>
      <c r="G13" s="252">
        <f t="shared" si="23"/>
        <v>91.683015460000007</v>
      </c>
      <c r="H13" s="252">
        <f t="shared" si="23"/>
        <v>205.33122904999999</v>
      </c>
      <c r="I13" s="252">
        <f t="shared" si="23"/>
        <v>115.57434915000002</v>
      </c>
      <c r="J13" s="252">
        <f t="shared" si="23"/>
        <v>92.849620219999991</v>
      </c>
      <c r="K13" s="252">
        <f>SUM(K14:K15)</f>
        <v>5.3366842400000012</v>
      </c>
      <c r="L13" s="252">
        <f>SUM(L14:L15)</f>
        <v>1.2597319699999998</v>
      </c>
      <c r="M13" s="252">
        <f>SUM(M14:M15)</f>
        <v>41.523446120000003</v>
      </c>
      <c r="N13" s="252">
        <f>SUM(N14:N15)</f>
        <v>5.1908197400000002</v>
      </c>
      <c r="O13" s="252">
        <f t="shared" si="23"/>
        <v>5.3195665599999993</v>
      </c>
      <c r="P13" s="252">
        <f t="shared" si="23"/>
        <v>0.40769868999999997</v>
      </c>
      <c r="Q13" s="252">
        <f t="shared" si="23"/>
        <v>8.1863468400000006</v>
      </c>
      <c r="R13" s="252">
        <f t="shared" si="23"/>
        <v>2.75452173</v>
      </c>
      <c r="S13" s="252">
        <f t="shared" si="23"/>
        <v>15.790211860000001</v>
      </c>
      <c r="T13" s="252">
        <f t="shared" si="23"/>
        <v>3.3182152399999998</v>
      </c>
      <c r="U13" s="252">
        <f>SUM(U14:U15)</f>
        <v>622.24917748999997</v>
      </c>
      <c r="V13" s="163"/>
      <c r="W13" s="252">
        <f t="shared" ref="W13:AN13" si="24">SUM(W14:W15)</f>
        <v>1.4975285800000002</v>
      </c>
      <c r="X13" s="252">
        <f t="shared" si="24"/>
        <v>6.2242541500000002</v>
      </c>
      <c r="Y13" s="252">
        <f t="shared" si="24"/>
        <v>20.482163320000005</v>
      </c>
      <c r="Z13" s="252">
        <f t="shared" si="24"/>
        <v>95.439442470000017</v>
      </c>
      <c r="AA13" s="252">
        <f t="shared" si="24"/>
        <v>197.61308778</v>
      </c>
      <c r="AB13" s="252">
        <f t="shared" si="24"/>
        <v>114.13880541</v>
      </c>
      <c r="AC13" s="252">
        <f t="shared" si="24"/>
        <v>90.98768333000001</v>
      </c>
      <c r="AD13" s="252">
        <f t="shared" si="24"/>
        <v>4.3278573799999993</v>
      </c>
      <c r="AE13" s="252">
        <f t="shared" si="24"/>
        <v>1.30570809</v>
      </c>
      <c r="AF13" s="252">
        <f t="shared" si="24"/>
        <v>42.99790024</v>
      </c>
      <c r="AG13" s="252">
        <f t="shared" si="24"/>
        <v>4.2520414999999998</v>
      </c>
      <c r="AH13" s="252">
        <f t="shared" si="24"/>
        <v>7.1946448499999978</v>
      </c>
      <c r="AI13" s="252">
        <f t="shared" si="24"/>
        <v>0.24072739999999998</v>
      </c>
      <c r="AJ13" s="252">
        <f t="shared" si="24"/>
        <v>7.2528127099999997</v>
      </c>
      <c r="AK13" s="252">
        <f t="shared" si="24"/>
        <v>2.1063498000000003</v>
      </c>
      <c r="AL13" s="252">
        <f t="shared" si="24"/>
        <v>15.400923560000001</v>
      </c>
      <c r="AM13" s="252">
        <f t="shared" si="24"/>
        <v>2.6591619900000003</v>
      </c>
      <c r="AN13" s="252">
        <f t="shared" si="24"/>
        <v>614.12109256000008</v>
      </c>
      <c r="AO13" s="163"/>
      <c r="AP13" s="172">
        <f t="shared" si="2"/>
        <v>-3.9985153405219376</v>
      </c>
      <c r="AQ13" s="172">
        <f t="shared" si="3"/>
        <v>-0.78409989090822918</v>
      </c>
      <c r="AR13" s="172">
        <f t="shared" si="4"/>
        <v>-1.813979042131765</v>
      </c>
      <c r="AS13" s="172">
        <f t="shared" si="5"/>
        <v>-3.9359272359337045</v>
      </c>
      <c r="AT13" s="172">
        <f t="shared" si="6"/>
        <v>3.9056832503890089</v>
      </c>
      <c r="AU13" s="172">
        <f t="shared" si="7"/>
        <v>1.2577175088203985</v>
      </c>
      <c r="AV13" s="172">
        <f t="shared" si="8"/>
        <v>2.0463614654820788</v>
      </c>
      <c r="AW13" s="172">
        <f t="shared" si="9"/>
        <v>23.310076359309281</v>
      </c>
      <c r="AX13" s="172">
        <f t="shared" si="10"/>
        <v>-3.5211637541435601</v>
      </c>
      <c r="AY13" s="172">
        <f t="shared" si="11"/>
        <v>-3.4291305197930222</v>
      </c>
      <c r="AZ13" s="172">
        <f t="shared" si="12"/>
        <v>22.078294391058989</v>
      </c>
      <c r="BA13" s="172">
        <f t="shared" si="13"/>
        <v>-26.062138286089258</v>
      </c>
      <c r="BB13" s="172">
        <f t="shared" si="14"/>
        <v>69.361148751658519</v>
      </c>
      <c r="BC13" s="172">
        <f t="shared" si="15"/>
        <v>12.871339262805821</v>
      </c>
      <c r="BD13" s="172">
        <f t="shared" si="16"/>
        <v>30.772283407058016</v>
      </c>
      <c r="BE13" s="172">
        <f t="shared" si="17"/>
        <v>2.5276945144450833</v>
      </c>
      <c r="BF13" s="172">
        <f t="shared" si="18"/>
        <v>24.784246032337407</v>
      </c>
      <c r="BG13" s="173">
        <f t="shared" si="19"/>
        <v>1.3235313081525151</v>
      </c>
      <c r="BH13" s="165"/>
      <c r="BI13" s="176"/>
      <c r="BJ13" s="165"/>
      <c r="BK13" s="166"/>
      <c r="BL13" s="166"/>
      <c r="BM13" s="166"/>
      <c r="BN13" s="166"/>
    </row>
    <row r="14" spans="2:85" ht="13.25" customHeight="1">
      <c r="C14" s="177" t="str">
        <f>IF(Indice_index!$Z$1=1,"Aquisição de bens","Purchase of goods")</f>
        <v>Purchase of goods</v>
      </c>
      <c r="D14" s="251">
        <v>0.17662348999999999</v>
      </c>
      <c r="E14" s="251">
        <v>0.43257427999999998</v>
      </c>
      <c r="F14" s="251">
        <v>0.23121485</v>
      </c>
      <c r="G14" s="251">
        <v>14.580879959999999</v>
      </c>
      <c r="H14" s="251">
        <v>58.619589699999985</v>
      </c>
      <c r="I14" s="251">
        <v>20.360939010000003</v>
      </c>
      <c r="J14" s="251">
        <v>29.950762750000003</v>
      </c>
      <c r="K14" s="251">
        <v>0.38617496000000001</v>
      </c>
      <c r="L14" s="251">
        <v>6.3898049999999998E-2</v>
      </c>
      <c r="M14" s="251">
        <v>25.684504410000002</v>
      </c>
      <c r="N14" s="251">
        <v>0.38269769999999997</v>
      </c>
      <c r="O14" s="251">
        <v>1.08825982</v>
      </c>
      <c r="P14" s="251">
        <v>6.4956970000000003E-2</v>
      </c>
      <c r="Q14" s="251">
        <v>0.72043785999999999</v>
      </c>
      <c r="R14" s="251">
        <v>0.21561908000000002</v>
      </c>
      <c r="S14" s="251">
        <v>1.53806205</v>
      </c>
      <c r="T14" s="251">
        <v>0.16182379</v>
      </c>
      <c r="U14" s="252">
        <f t="shared" si="22"/>
        <v>154.65901872999999</v>
      </c>
      <c r="V14" s="163"/>
      <c r="W14" s="251">
        <v>0.13919007</v>
      </c>
      <c r="X14" s="251">
        <v>0.50916095000000006</v>
      </c>
      <c r="Y14" s="251">
        <v>0.41253846</v>
      </c>
      <c r="Z14" s="251">
        <v>8.4369171399999985</v>
      </c>
      <c r="AA14" s="251">
        <v>62.848405689999993</v>
      </c>
      <c r="AB14" s="251">
        <v>22.392774860000006</v>
      </c>
      <c r="AC14" s="251">
        <v>30.53752604000001</v>
      </c>
      <c r="AD14" s="251">
        <v>0.37920803000000003</v>
      </c>
      <c r="AE14" s="251">
        <v>7.1417979999999992E-2</v>
      </c>
      <c r="AF14" s="251">
        <v>27.871232169999999</v>
      </c>
      <c r="AG14" s="251">
        <v>0.33288943999999998</v>
      </c>
      <c r="AH14" s="251">
        <v>0.89133174999999998</v>
      </c>
      <c r="AI14" s="251">
        <v>6.2976879999999999E-2</v>
      </c>
      <c r="AJ14" s="251">
        <v>0.82555052000000007</v>
      </c>
      <c r="AK14" s="251">
        <v>0.17634305</v>
      </c>
      <c r="AL14" s="251">
        <v>1.3692295900000002</v>
      </c>
      <c r="AM14" s="251">
        <v>0.14796274000000001</v>
      </c>
      <c r="AN14" s="252">
        <f>SUM(W14:AM14)</f>
        <v>157.40465536000005</v>
      </c>
      <c r="AO14" s="163"/>
      <c r="AP14" s="172">
        <f t="shared" si="2"/>
        <v>26.893743210273545</v>
      </c>
      <c r="AQ14" s="172">
        <f t="shared" si="3"/>
        <v>-15.041740730509689</v>
      </c>
      <c r="AR14" s="172">
        <f t="shared" si="4"/>
        <v>-43.953140756864215</v>
      </c>
      <c r="AS14" s="172">
        <f t="shared" si="5"/>
        <v>72.822367673507841</v>
      </c>
      <c r="AT14" s="172">
        <f t="shared" si="6"/>
        <v>-6.7285970798665273</v>
      </c>
      <c r="AU14" s="172">
        <f t="shared" si="7"/>
        <v>-9.0736224639557825</v>
      </c>
      <c r="AV14" s="172">
        <f t="shared" si="8"/>
        <v>-1.9214499865883941</v>
      </c>
      <c r="AW14" s="172">
        <f t="shared" si="9"/>
        <v>1.8372316641079518</v>
      </c>
      <c r="AX14" s="172">
        <f t="shared" si="10"/>
        <v>-10.529463308819425</v>
      </c>
      <c r="AY14" s="172">
        <f t="shared" si="11"/>
        <v>-7.8458237750742272</v>
      </c>
      <c r="AZ14" s="172">
        <f t="shared" si="12"/>
        <v>14.962403133004157</v>
      </c>
      <c r="BA14" s="172">
        <f t="shared" si="13"/>
        <v>22.093689583031235</v>
      </c>
      <c r="BB14" s="172">
        <f t="shared" si="14"/>
        <v>3.1441538545574241</v>
      </c>
      <c r="BC14" s="172">
        <f t="shared" si="15"/>
        <v>-12.732432171443616</v>
      </c>
      <c r="BD14" s="172">
        <f t="shared" si="16"/>
        <v>22.272513716871757</v>
      </c>
      <c r="BE14" s="172">
        <f t="shared" si="17"/>
        <v>12.330471181242855</v>
      </c>
      <c r="BF14" s="172">
        <f t="shared" si="18"/>
        <v>9.36793276469467</v>
      </c>
      <c r="BG14" s="173">
        <f t="shared" si="19"/>
        <v>-1.7443172971730223</v>
      </c>
      <c r="BH14" s="165"/>
      <c r="BI14" s="165"/>
      <c r="BJ14" s="165"/>
      <c r="BK14" s="166"/>
      <c r="BL14" s="166"/>
      <c r="BM14" s="166"/>
      <c r="BN14" s="166"/>
    </row>
    <row r="15" spans="2:85" ht="13.25" customHeight="1">
      <c r="C15" s="177" t="str">
        <f>IF(Indice_index!$Z$1=1,"Aquisição de serviços","Purchase of services")</f>
        <v>Purchase of services</v>
      </c>
      <c r="D15" s="251">
        <v>1.26102618</v>
      </c>
      <c r="E15" s="251">
        <v>5.7428754999999994</v>
      </c>
      <c r="F15" s="251">
        <v>19.879406320000005</v>
      </c>
      <c r="G15" s="251">
        <v>77.102135500000003</v>
      </c>
      <c r="H15" s="251">
        <v>146.71163935000001</v>
      </c>
      <c r="I15" s="251">
        <v>95.213410140000008</v>
      </c>
      <c r="J15" s="251">
        <v>62.898857469999996</v>
      </c>
      <c r="K15" s="251">
        <v>4.9505092800000012</v>
      </c>
      <c r="L15" s="251">
        <v>1.1958339199999999</v>
      </c>
      <c r="M15" s="251">
        <v>15.838941710000002</v>
      </c>
      <c r="N15" s="251">
        <v>4.8081220400000007</v>
      </c>
      <c r="O15" s="251">
        <v>4.2313067399999991</v>
      </c>
      <c r="P15" s="251">
        <v>0.34274171999999997</v>
      </c>
      <c r="Q15" s="251">
        <v>7.46590898</v>
      </c>
      <c r="R15" s="251">
        <v>2.5389026499999998</v>
      </c>
      <c r="S15" s="251">
        <v>14.252149810000001</v>
      </c>
      <c r="T15" s="251">
        <v>3.1563914499999997</v>
      </c>
      <c r="U15" s="252">
        <f t="shared" si="22"/>
        <v>467.59015876000001</v>
      </c>
      <c r="V15" s="163"/>
      <c r="W15" s="251">
        <v>1.3583385100000003</v>
      </c>
      <c r="X15" s="251">
        <v>5.7150932000000001</v>
      </c>
      <c r="Y15" s="251">
        <v>20.069624860000005</v>
      </c>
      <c r="Z15" s="251">
        <v>87.002525330000012</v>
      </c>
      <c r="AA15" s="251">
        <v>134.76468209000001</v>
      </c>
      <c r="AB15" s="251">
        <v>91.74603055</v>
      </c>
      <c r="AC15" s="251">
        <v>60.450157290000007</v>
      </c>
      <c r="AD15" s="251">
        <v>3.9486493499999988</v>
      </c>
      <c r="AE15" s="251">
        <v>1.2342901099999999</v>
      </c>
      <c r="AF15" s="251">
        <v>15.126668069999999</v>
      </c>
      <c r="AG15" s="251">
        <v>3.91915206</v>
      </c>
      <c r="AH15" s="251">
        <v>6.3033130999999978</v>
      </c>
      <c r="AI15" s="251">
        <v>0.17775051999999997</v>
      </c>
      <c r="AJ15" s="251">
        <v>6.4272621899999995</v>
      </c>
      <c r="AK15" s="251">
        <v>1.9300067500000002</v>
      </c>
      <c r="AL15" s="251">
        <v>14.031693970000001</v>
      </c>
      <c r="AM15" s="251">
        <v>2.5111992500000002</v>
      </c>
      <c r="AN15" s="252">
        <f>SUM(W15:AM15)</f>
        <v>456.71643720000009</v>
      </c>
      <c r="AO15" s="163"/>
      <c r="AP15" s="172">
        <f t="shared" si="2"/>
        <v>-7.1640706115296879</v>
      </c>
      <c r="AQ15" s="172">
        <f t="shared" si="3"/>
        <v>0.48612155616288566</v>
      </c>
      <c r="AR15" s="172">
        <f t="shared" si="4"/>
        <v>-0.94779320155165081</v>
      </c>
      <c r="AS15" s="172">
        <f t="shared" si="5"/>
        <v>-11.379428117112573</v>
      </c>
      <c r="AT15" s="172">
        <f t="shared" si="6"/>
        <v>8.8650506013299974</v>
      </c>
      <c r="AU15" s="172">
        <f t="shared" si="7"/>
        <v>3.7793238238360027</v>
      </c>
      <c r="AV15" s="172">
        <f t="shared" si="8"/>
        <v>4.0507755310755265</v>
      </c>
      <c r="AW15" s="172">
        <f t="shared" si="9"/>
        <v>25.372218224441802</v>
      </c>
      <c r="AX15" s="172">
        <f t="shared" si="10"/>
        <v>-3.1156524457609085</v>
      </c>
      <c r="AY15" s="172">
        <f t="shared" si="11"/>
        <v>4.7087279016363244</v>
      </c>
      <c r="AZ15" s="172">
        <f t="shared" si="12"/>
        <v>22.682712137482124</v>
      </c>
      <c r="BA15" s="172">
        <f t="shared" si="13"/>
        <v>-32.871702977914893</v>
      </c>
      <c r="BB15" s="172">
        <f t="shared" si="14"/>
        <v>92.821781899709791</v>
      </c>
      <c r="BC15" s="172">
        <f t="shared" si="15"/>
        <v>16.16001898313721</v>
      </c>
      <c r="BD15" s="172">
        <f t="shared" si="16"/>
        <v>31.548900023277099</v>
      </c>
      <c r="BE15" s="172">
        <f t="shared" si="17"/>
        <v>1.5711277659799163</v>
      </c>
      <c r="BF15" s="172">
        <f t="shared" si="18"/>
        <v>25.692592891623374</v>
      </c>
      <c r="BG15" s="173">
        <f t="shared" si="19"/>
        <v>2.3808474305553018</v>
      </c>
      <c r="BH15" s="165"/>
      <c r="BI15" s="165"/>
      <c r="BJ15" s="165"/>
      <c r="BK15" s="166"/>
      <c r="BL15" s="166"/>
      <c r="BM15" s="166"/>
      <c r="BN15" s="166"/>
    </row>
    <row r="16" spans="2:85" ht="14">
      <c r="C16" s="171" t="str">
        <f>IF(Indice_index!$Z$1=1,"Juros e outros encargos","Interests and other charges")</f>
        <v>Interests and other charges</v>
      </c>
      <c r="D16" s="251">
        <v>1.1800000000000001E-5</v>
      </c>
      <c r="E16" s="251">
        <v>0</v>
      </c>
      <c r="F16" s="251">
        <v>0</v>
      </c>
      <c r="G16" s="251">
        <v>5474.6609965499993</v>
      </c>
      <c r="H16" s="251">
        <v>9.1701839999999993E-2</v>
      </c>
      <c r="I16" s="251">
        <v>4.4118009999999999E-2</v>
      </c>
      <c r="J16" s="251">
        <v>6.7265320000000003E-2</v>
      </c>
      <c r="K16" s="251">
        <v>2.48672E-3</v>
      </c>
      <c r="L16" s="251">
        <v>0</v>
      </c>
      <c r="M16" s="251">
        <v>0.33689271999999998</v>
      </c>
      <c r="N16" s="251">
        <v>1.43561E-2</v>
      </c>
      <c r="O16" s="251">
        <v>1.5925120000000001E-2</v>
      </c>
      <c r="P16" s="251">
        <v>0</v>
      </c>
      <c r="Q16" s="251">
        <v>5.7157000000000009E-4</v>
      </c>
      <c r="R16" s="251">
        <v>7.0568999999999992E-4</v>
      </c>
      <c r="S16" s="251">
        <v>1.4132499999999998E-3</v>
      </c>
      <c r="T16" s="251">
        <v>3.1517000000000003E-4</v>
      </c>
      <c r="U16" s="252">
        <f t="shared" si="22"/>
        <v>5475.2367598599994</v>
      </c>
      <c r="V16" s="163"/>
      <c r="W16" s="251">
        <v>4.0855999999999998E-4</v>
      </c>
      <c r="X16" s="251">
        <v>1.8660000000000001E-5</v>
      </c>
      <c r="Y16" s="251">
        <v>5.6512999999999995E-4</v>
      </c>
      <c r="Z16" s="251">
        <v>5374.8060686600002</v>
      </c>
      <c r="AA16" s="251">
        <v>3.3173849999999998E-2</v>
      </c>
      <c r="AB16" s="251">
        <v>3.8977610000000003E-2</v>
      </c>
      <c r="AC16" s="251">
        <v>5.1446319999999997E-2</v>
      </c>
      <c r="AD16" s="251">
        <v>2.2090600000000001E-3</v>
      </c>
      <c r="AE16" s="251">
        <v>1.1589999999999999E-5</v>
      </c>
      <c r="AF16" s="251">
        <v>2.8940000000000001E-5</v>
      </c>
      <c r="AG16" s="251">
        <v>7.47747E-3</v>
      </c>
      <c r="AH16" s="251">
        <v>2.8774000000000003E-4</v>
      </c>
      <c r="AI16" s="251">
        <v>0</v>
      </c>
      <c r="AJ16" s="251">
        <v>4.0008199999999996E-3</v>
      </c>
      <c r="AK16" s="251">
        <v>3.1482999999999999E-4</v>
      </c>
      <c r="AL16" s="251">
        <v>3.59158E-3</v>
      </c>
      <c r="AM16" s="251">
        <v>3.3650999999999999E-4</v>
      </c>
      <c r="AN16" s="252">
        <f>SUM(W16:AM16)</f>
        <v>5374.9489173300008</v>
      </c>
      <c r="AO16" s="163"/>
      <c r="AP16" s="172">
        <f t="shared" si="2"/>
        <v>-97.111807323281766</v>
      </c>
      <c r="AQ16" s="172">
        <f t="shared" si="3"/>
        <v>-100</v>
      </c>
      <c r="AR16" s="172">
        <f t="shared" si="4"/>
        <v>-100</v>
      </c>
      <c r="AS16" s="172">
        <f t="shared" si="5"/>
        <v>1.8578331313615946</v>
      </c>
      <c r="AT16" s="172">
        <f t="shared" si="6"/>
        <v>176.42809019755018</v>
      </c>
      <c r="AU16" s="172">
        <f t="shared" si="7"/>
        <v>13.188084133429411</v>
      </c>
      <c r="AV16" s="172">
        <f t="shared" si="8"/>
        <v>30.748554998686021</v>
      </c>
      <c r="AW16" s="172">
        <f t="shared" si="9"/>
        <v>12.569147058024674</v>
      </c>
      <c r="AX16" s="172">
        <f t="shared" si="10"/>
        <v>-100</v>
      </c>
      <c r="AY16" s="172" t="str">
        <f t="shared" si="11"/>
        <v>-</v>
      </c>
      <c r="AZ16" s="172">
        <f t="shared" si="12"/>
        <v>91.991408858878742</v>
      </c>
      <c r="BA16" s="172" t="str">
        <f t="shared" si="13"/>
        <v>-</v>
      </c>
      <c r="BB16" s="172" t="str">
        <f t="shared" si="14"/>
        <v>-</v>
      </c>
      <c r="BC16" s="172">
        <f t="shared" si="15"/>
        <v>-85.713678695867344</v>
      </c>
      <c r="BD16" s="172">
        <f t="shared" si="16"/>
        <v>124.14954102213891</v>
      </c>
      <c r="BE16" s="172">
        <f t="shared" si="17"/>
        <v>-60.651022669688551</v>
      </c>
      <c r="BF16" s="172">
        <f t="shared" si="18"/>
        <v>-6.3415648866303993</v>
      </c>
      <c r="BG16" s="173">
        <f t="shared" si="19"/>
        <v>1.8658380586027323</v>
      </c>
      <c r="BH16" s="165"/>
      <c r="BI16" s="165"/>
      <c r="BJ16" s="165"/>
      <c r="BK16" s="166"/>
      <c r="BL16" s="166"/>
      <c r="BM16" s="166"/>
      <c r="BN16" s="166"/>
    </row>
    <row r="17" spans="3:69" ht="14">
      <c r="C17" s="171" t="str">
        <f>IF(Indice_index!$Z$1=1,"Transferências correntes","Current transfers")</f>
        <v>Current transfers</v>
      </c>
      <c r="D17" s="252">
        <f>+D18+D23</f>
        <v>2289.7745439199998</v>
      </c>
      <c r="E17" s="252">
        <f t="shared" ref="E17:T17" si="25">+E18+E23</f>
        <v>35.069738439999995</v>
      </c>
      <c r="F17" s="252">
        <f t="shared" si="25"/>
        <v>76.198716590000004</v>
      </c>
      <c r="G17" s="252">
        <f t="shared" si="25"/>
        <v>1575.3606064800001</v>
      </c>
      <c r="H17" s="252">
        <f t="shared" si="25"/>
        <v>27.336215059999997</v>
      </c>
      <c r="I17" s="252">
        <f t="shared" si="25"/>
        <v>77.705385589999992</v>
      </c>
      <c r="J17" s="252">
        <f t="shared" si="25"/>
        <v>53.963409149999997</v>
      </c>
      <c r="K17" s="252">
        <f>+K18+K23</f>
        <v>187.35558225</v>
      </c>
      <c r="L17" s="252">
        <f>+L18+L23</f>
        <v>984.01687159999994</v>
      </c>
      <c r="M17" s="252">
        <f>+M18+M23</f>
        <v>547.45720930999994</v>
      </c>
      <c r="N17" s="252">
        <f>+N18+N23</f>
        <v>9754.3455395499986</v>
      </c>
      <c r="O17" s="252">
        <f t="shared" si="25"/>
        <v>6462.6821356400005</v>
      </c>
      <c r="P17" s="252">
        <f t="shared" si="25"/>
        <v>185.74119403</v>
      </c>
      <c r="Q17" s="252">
        <f t="shared" si="25"/>
        <v>21.548421260000001</v>
      </c>
      <c r="R17" s="252">
        <f t="shared" si="25"/>
        <v>15.262660480000001</v>
      </c>
      <c r="S17" s="252">
        <f t="shared" si="25"/>
        <v>105.83029165000001</v>
      </c>
      <c r="T17" s="252">
        <f t="shared" si="25"/>
        <v>11.626032960000002</v>
      </c>
      <c r="U17" s="252">
        <f>+U18+U23</f>
        <v>22411.27455396</v>
      </c>
      <c r="V17" s="163"/>
      <c r="W17" s="252">
        <f t="shared" ref="W17:AN17" si="26">+W18+W23</f>
        <v>2252.3350022899995</v>
      </c>
      <c r="X17" s="252">
        <f t="shared" si="26"/>
        <v>36.127122150000005</v>
      </c>
      <c r="Y17" s="252">
        <f t="shared" si="26"/>
        <v>79.42889366</v>
      </c>
      <c r="Z17" s="252">
        <f t="shared" si="26"/>
        <v>1360.5312483299997</v>
      </c>
      <c r="AA17" s="252">
        <f t="shared" si="26"/>
        <v>32.451392689999999</v>
      </c>
      <c r="AB17" s="252">
        <f t="shared" si="26"/>
        <v>71.827401819999992</v>
      </c>
      <c r="AC17" s="252">
        <f t="shared" si="26"/>
        <v>61.170882339999999</v>
      </c>
      <c r="AD17" s="252">
        <f t="shared" si="26"/>
        <v>136.50916379999998</v>
      </c>
      <c r="AE17" s="252">
        <f t="shared" si="26"/>
        <v>1007.0396300300001</v>
      </c>
      <c r="AF17" s="252">
        <f t="shared" si="26"/>
        <v>581.62926901000003</v>
      </c>
      <c r="AG17" s="252">
        <f t="shared" si="26"/>
        <v>10210.309062979999</v>
      </c>
      <c r="AH17" s="252">
        <f t="shared" si="26"/>
        <v>6279.1388889999998</v>
      </c>
      <c r="AI17" s="252">
        <f t="shared" si="26"/>
        <v>149.96158493999999</v>
      </c>
      <c r="AJ17" s="252">
        <f t="shared" si="26"/>
        <v>26.431770929999999</v>
      </c>
      <c r="AK17" s="252">
        <f t="shared" si="26"/>
        <v>14.21861416</v>
      </c>
      <c r="AL17" s="252">
        <f t="shared" si="26"/>
        <v>98.250878950000015</v>
      </c>
      <c r="AM17" s="252">
        <f t="shared" si="26"/>
        <v>12.5999037</v>
      </c>
      <c r="AN17" s="252">
        <f t="shared" si="26"/>
        <v>22409.960710779997</v>
      </c>
      <c r="AO17" s="163"/>
      <c r="AP17" s="172">
        <f t="shared" si="2"/>
        <v>1.6622545754487998</v>
      </c>
      <c r="AQ17" s="172">
        <f t="shared" si="3"/>
        <v>-2.9268417938460409</v>
      </c>
      <c r="AR17" s="172">
        <f t="shared" si="4"/>
        <v>-4.0667531941549591</v>
      </c>
      <c r="AS17" s="172">
        <f t="shared" si="5"/>
        <v>15.790108342876746</v>
      </c>
      <c r="AT17" s="172">
        <f t="shared" si="6"/>
        <v>-15.762582761436491</v>
      </c>
      <c r="AU17" s="172">
        <f t="shared" si="7"/>
        <v>8.1834837695094009</v>
      </c>
      <c r="AV17" s="172">
        <f t="shared" si="8"/>
        <v>-11.782522851214445</v>
      </c>
      <c r="AW17" s="172">
        <f t="shared" si="9"/>
        <v>37.247622822226987</v>
      </c>
      <c r="AX17" s="172">
        <f t="shared" si="10"/>
        <v>-2.2861819677656898</v>
      </c>
      <c r="AY17" s="172">
        <f t="shared" si="11"/>
        <v>-5.8752304123492394</v>
      </c>
      <c r="AZ17" s="172">
        <f t="shared" si="12"/>
        <v>-4.4657171552544765</v>
      </c>
      <c r="BA17" s="172">
        <f t="shared" si="13"/>
        <v>2.9230639723790426</v>
      </c>
      <c r="BB17" s="172">
        <f t="shared" si="14"/>
        <v>23.859183072995339</v>
      </c>
      <c r="BC17" s="172">
        <f t="shared" si="15"/>
        <v>-18.475302630810134</v>
      </c>
      <c r="BD17" s="172">
        <f t="shared" si="16"/>
        <v>7.3428134996245049</v>
      </c>
      <c r="BE17" s="172">
        <f t="shared" si="17"/>
        <v>7.7143459488613466</v>
      </c>
      <c r="BF17" s="172">
        <f t="shared" si="18"/>
        <v>-7.7291919302526004</v>
      </c>
      <c r="BG17" s="173">
        <f t="shared" si="19"/>
        <v>5.8627643169916572E-3</v>
      </c>
      <c r="BH17" s="165"/>
      <c r="BI17" s="165"/>
      <c r="BJ17" s="165"/>
      <c r="BK17" s="166"/>
      <c r="BL17" s="166"/>
      <c r="BM17" s="166"/>
      <c r="BN17" s="166"/>
    </row>
    <row r="18" spans="3:69" ht="14">
      <c r="C18" s="174" t="str">
        <f>IF(Indice_index!$Z$1=1,"Administrações Públicas","General Government")</f>
        <v>General Government</v>
      </c>
      <c r="D18" s="252">
        <f t="shared" ref="D18:T18" si="27">+SUM(D19:D22)</f>
        <v>2289.4009412700002</v>
      </c>
      <c r="E18" s="252">
        <f t="shared" si="27"/>
        <v>31.805243190000002</v>
      </c>
      <c r="F18" s="252">
        <f t="shared" si="27"/>
        <v>32.789779600000003</v>
      </c>
      <c r="G18" s="252">
        <f t="shared" si="27"/>
        <v>54.942559920000008</v>
      </c>
      <c r="H18" s="252">
        <f t="shared" si="27"/>
        <v>17.924722339999999</v>
      </c>
      <c r="I18" s="252">
        <f t="shared" si="27"/>
        <v>73.443313079999996</v>
      </c>
      <c r="J18" s="252">
        <f t="shared" si="27"/>
        <v>52.324379809999996</v>
      </c>
      <c r="K18" s="252">
        <f>+SUM(K19:K22)</f>
        <v>168.90231551999997</v>
      </c>
      <c r="L18" s="252">
        <f>+SUM(L19:L22)</f>
        <v>870.94707200999994</v>
      </c>
      <c r="M18" s="252">
        <f>+SUM(M19:M22)</f>
        <v>410.52622494999997</v>
      </c>
      <c r="N18" s="252">
        <f>+SUM(N19:N22)</f>
        <v>9751.4979899999998</v>
      </c>
      <c r="O18" s="252">
        <f t="shared" si="27"/>
        <v>6457.6941734600005</v>
      </c>
      <c r="P18" s="252">
        <f t="shared" si="27"/>
        <v>185.74119403</v>
      </c>
      <c r="Q18" s="252">
        <f t="shared" si="27"/>
        <v>21.212664</v>
      </c>
      <c r="R18" s="252">
        <f t="shared" si="27"/>
        <v>14.673147759999999</v>
      </c>
      <c r="S18" s="252">
        <f t="shared" si="27"/>
        <v>103.07202600000001</v>
      </c>
      <c r="T18" s="252">
        <f t="shared" si="27"/>
        <v>11.39546009</v>
      </c>
      <c r="U18" s="252">
        <f>+SUM(U19:U22)</f>
        <v>20548.293207030001</v>
      </c>
      <c r="V18" s="163"/>
      <c r="W18" s="252">
        <f t="shared" ref="W18:AN18" si="28">+SUM(W19:W22)</f>
        <v>2251.9807873399996</v>
      </c>
      <c r="X18" s="252">
        <f t="shared" si="28"/>
        <v>33.204931450000004</v>
      </c>
      <c r="Y18" s="252">
        <f t="shared" si="28"/>
        <v>32.499257</v>
      </c>
      <c r="Z18" s="252">
        <f t="shared" si="28"/>
        <v>43.448278680000001</v>
      </c>
      <c r="AA18" s="252">
        <f t="shared" si="28"/>
        <v>22.542155339999997</v>
      </c>
      <c r="AB18" s="252">
        <f t="shared" si="28"/>
        <v>67.072891190000007</v>
      </c>
      <c r="AC18" s="252">
        <f t="shared" si="28"/>
        <v>59.175896619999996</v>
      </c>
      <c r="AD18" s="252">
        <f t="shared" si="28"/>
        <v>124.70003876999999</v>
      </c>
      <c r="AE18" s="252">
        <f t="shared" si="28"/>
        <v>888.51476465000007</v>
      </c>
      <c r="AF18" s="252">
        <f t="shared" si="28"/>
        <v>402.28687745999991</v>
      </c>
      <c r="AG18" s="252">
        <f t="shared" si="28"/>
        <v>10207.632068819999</v>
      </c>
      <c r="AH18" s="252">
        <f t="shared" si="28"/>
        <v>6274.12112024</v>
      </c>
      <c r="AI18" s="252">
        <f t="shared" si="28"/>
        <v>149.96158493999999</v>
      </c>
      <c r="AJ18" s="252">
        <f t="shared" si="28"/>
        <v>26.384322339999997</v>
      </c>
      <c r="AK18" s="252">
        <f t="shared" si="28"/>
        <v>13.6442645</v>
      </c>
      <c r="AL18" s="252">
        <f t="shared" si="28"/>
        <v>95.27595543000001</v>
      </c>
      <c r="AM18" s="252">
        <f t="shared" si="28"/>
        <v>11.994092330000001</v>
      </c>
      <c r="AN18" s="252">
        <f t="shared" si="28"/>
        <v>20704.439287099998</v>
      </c>
      <c r="AO18" s="163"/>
      <c r="AP18" s="172">
        <f t="shared" si="2"/>
        <v>1.6616551144826013</v>
      </c>
      <c r="AQ18" s="172">
        <f t="shared" si="3"/>
        <v>-4.215302362866348</v>
      </c>
      <c r="AR18" s="172">
        <f t="shared" si="4"/>
        <v>0.89393612906289743</v>
      </c>
      <c r="AS18" s="172">
        <f t="shared" si="5"/>
        <v>26.455090027055604</v>
      </c>
      <c r="AT18" s="172">
        <f t="shared" si="6"/>
        <v>-20.483547071501988</v>
      </c>
      <c r="AU18" s="172">
        <f t="shared" si="7"/>
        <v>9.4977594926603732</v>
      </c>
      <c r="AV18" s="172">
        <f t="shared" si="8"/>
        <v>-11.578222217733758</v>
      </c>
      <c r="AW18" s="172">
        <f t="shared" si="9"/>
        <v>35.446882924814332</v>
      </c>
      <c r="AX18" s="172">
        <f t="shared" si="10"/>
        <v>-1.9771976042424373</v>
      </c>
      <c r="AY18" s="172">
        <f t="shared" si="11"/>
        <v>2.04812733192355</v>
      </c>
      <c r="AZ18" s="172">
        <f t="shared" si="12"/>
        <v>-4.4685591696951565</v>
      </c>
      <c r="BA18" s="172">
        <f t="shared" si="13"/>
        <v>2.9258767834080062</v>
      </c>
      <c r="BB18" s="172">
        <f t="shared" si="14"/>
        <v>23.859183072995339</v>
      </c>
      <c r="BC18" s="172">
        <f t="shared" si="15"/>
        <v>-19.601255144459387</v>
      </c>
      <c r="BD18" s="172">
        <f t="shared" si="16"/>
        <v>7.5407748068794689</v>
      </c>
      <c r="BE18" s="172">
        <f t="shared" si="17"/>
        <v>8.1826212445886526</v>
      </c>
      <c r="BF18" s="172">
        <f t="shared" si="18"/>
        <v>-4.9910591275229956</v>
      </c>
      <c r="BG18" s="173">
        <f t="shared" si="19"/>
        <v>-0.75416715181117966</v>
      </c>
      <c r="BH18" s="165"/>
      <c r="BI18" s="165"/>
      <c r="BJ18" s="165"/>
      <c r="BK18" s="166"/>
      <c r="BL18" s="166"/>
      <c r="BM18" s="166"/>
      <c r="BN18" s="166"/>
    </row>
    <row r="19" spans="3:69" ht="14">
      <c r="C19" s="178" t="str">
        <f>IF(Indice_index!$Z$1=1,"Administração Central","Central Government")</f>
        <v>Central Government</v>
      </c>
      <c r="D19" s="251">
        <v>186.94870555</v>
      </c>
      <c r="E19" s="251">
        <v>31.805243190000002</v>
      </c>
      <c r="F19" s="251">
        <v>32.505586000000001</v>
      </c>
      <c r="G19" s="251">
        <v>50.814321160000006</v>
      </c>
      <c r="H19" s="251">
        <v>17.8981292</v>
      </c>
      <c r="I19" s="251">
        <v>73.136573459999994</v>
      </c>
      <c r="J19" s="251">
        <v>52.309971689999998</v>
      </c>
      <c r="K19" s="251">
        <v>168.35520374999999</v>
      </c>
      <c r="L19" s="251">
        <v>870.94707200999994</v>
      </c>
      <c r="M19" s="251">
        <v>167.89503193999997</v>
      </c>
      <c r="N19" s="251">
        <v>3723.6410000000001</v>
      </c>
      <c r="O19" s="251">
        <v>6457.6941734600005</v>
      </c>
      <c r="P19" s="251">
        <v>185.74119403</v>
      </c>
      <c r="Q19" s="251">
        <v>21.212664</v>
      </c>
      <c r="R19" s="251">
        <v>14.673147759999999</v>
      </c>
      <c r="S19" s="251">
        <v>103.03593100000001</v>
      </c>
      <c r="T19" s="251">
        <v>11.39546009</v>
      </c>
      <c r="U19" s="252">
        <f t="shared" si="22"/>
        <v>12170.009408290003</v>
      </c>
      <c r="V19" s="163"/>
      <c r="W19" s="251">
        <v>187.17588203</v>
      </c>
      <c r="X19" s="251">
        <v>33.204931450000004</v>
      </c>
      <c r="Y19" s="251">
        <v>32.499257</v>
      </c>
      <c r="Z19" s="251">
        <v>38.19065243</v>
      </c>
      <c r="AA19" s="251">
        <v>22.054364689999996</v>
      </c>
      <c r="AB19" s="251">
        <v>66.568443549999998</v>
      </c>
      <c r="AC19" s="251">
        <v>59.175896619999996</v>
      </c>
      <c r="AD19" s="251">
        <v>124.14705794999999</v>
      </c>
      <c r="AE19" s="251">
        <v>888.51476465000007</v>
      </c>
      <c r="AF19" s="251">
        <v>161.48027024999996</v>
      </c>
      <c r="AG19" s="251">
        <v>3718.9018000000001</v>
      </c>
      <c r="AH19" s="251">
        <v>6274.12112024</v>
      </c>
      <c r="AI19" s="251">
        <v>149.96158493999999</v>
      </c>
      <c r="AJ19" s="251">
        <v>26.383683999999999</v>
      </c>
      <c r="AK19" s="251">
        <v>13.6442645</v>
      </c>
      <c r="AL19" s="251">
        <v>95.27595543000001</v>
      </c>
      <c r="AM19" s="251">
        <v>11.994092330000001</v>
      </c>
      <c r="AN19" s="252">
        <f t="shared" ref="AN19:AN25" si="29">SUM(W19:AM19)</f>
        <v>11903.294022059999</v>
      </c>
      <c r="AO19" s="163"/>
      <c r="AP19" s="172">
        <f t="shared" si="2"/>
        <v>-0.12137059408304857</v>
      </c>
      <c r="AQ19" s="172">
        <f t="shared" si="3"/>
        <v>-4.215302362866348</v>
      </c>
      <c r="AR19" s="172">
        <f t="shared" si="4"/>
        <v>1.9474291366110053E-2</v>
      </c>
      <c r="AS19" s="172">
        <f t="shared" si="5"/>
        <v>33.054341643254318</v>
      </c>
      <c r="AT19" s="172">
        <f t="shared" si="6"/>
        <v>-18.845410187147845</v>
      </c>
      <c r="AU19" s="172">
        <f t="shared" si="7"/>
        <v>9.8667319824995303</v>
      </c>
      <c r="AV19" s="172">
        <f t="shared" si="8"/>
        <v>-11.602570171584837</v>
      </c>
      <c r="AW19" s="172">
        <f t="shared" si="9"/>
        <v>35.609499355034856</v>
      </c>
      <c r="AX19" s="172">
        <f t="shared" si="10"/>
        <v>-1.9771976042424373</v>
      </c>
      <c r="AY19" s="172">
        <f t="shared" si="11"/>
        <v>3.9724739623415433</v>
      </c>
      <c r="AZ19" s="172">
        <f t="shared" si="12"/>
        <v>0.12743547033159044</v>
      </c>
      <c r="BA19" s="172">
        <f t="shared" si="13"/>
        <v>2.9258767834080062</v>
      </c>
      <c r="BB19" s="172">
        <f t="shared" si="14"/>
        <v>23.859183072995339</v>
      </c>
      <c r="BC19" s="172">
        <f t="shared" si="15"/>
        <v>-19.599309937156612</v>
      </c>
      <c r="BD19" s="172">
        <f t="shared" si="16"/>
        <v>7.5407748068794689</v>
      </c>
      <c r="BE19" s="172">
        <f t="shared" si="17"/>
        <v>8.1447365549656539</v>
      </c>
      <c r="BF19" s="172">
        <f t="shared" si="18"/>
        <v>-4.9910591275229956</v>
      </c>
      <c r="BG19" s="173">
        <f t="shared" si="19"/>
        <v>2.2406855256680092</v>
      </c>
      <c r="BH19" s="165"/>
      <c r="BI19" s="165"/>
      <c r="BJ19" s="165"/>
      <c r="BK19" s="166"/>
      <c r="BL19" s="166"/>
      <c r="BM19" s="166"/>
      <c r="BN19" s="166"/>
    </row>
    <row r="20" spans="3:69" ht="14">
      <c r="C20" s="178" t="str">
        <f>IF(Indice_index!$Z$1=1,"Administração Regional","Regional Government")</f>
        <v>Regional Government</v>
      </c>
      <c r="D20" s="251">
        <v>271.94696625</v>
      </c>
      <c r="E20" s="251">
        <v>0</v>
      </c>
      <c r="F20" s="251">
        <v>0</v>
      </c>
      <c r="G20" s="251">
        <v>0</v>
      </c>
      <c r="H20" s="251">
        <v>0</v>
      </c>
      <c r="I20" s="251">
        <v>0</v>
      </c>
      <c r="J20" s="251">
        <v>0</v>
      </c>
      <c r="K20" s="251">
        <v>0</v>
      </c>
      <c r="L20" s="251">
        <v>0</v>
      </c>
      <c r="M20" s="251">
        <v>0</v>
      </c>
      <c r="N20" s="251">
        <v>0</v>
      </c>
      <c r="O20" s="251">
        <v>0</v>
      </c>
      <c r="P20" s="251">
        <v>0</v>
      </c>
      <c r="Q20" s="251">
        <v>0</v>
      </c>
      <c r="R20" s="251">
        <v>0</v>
      </c>
      <c r="S20" s="251">
        <v>0</v>
      </c>
      <c r="T20" s="251">
        <v>0</v>
      </c>
      <c r="U20" s="252">
        <f t="shared" si="22"/>
        <v>271.94696625</v>
      </c>
      <c r="V20" s="163"/>
      <c r="W20" s="251">
        <v>263.76420827999999</v>
      </c>
      <c r="X20" s="251">
        <v>0</v>
      </c>
      <c r="Y20" s="251">
        <v>0</v>
      </c>
      <c r="Z20" s="251">
        <v>0</v>
      </c>
      <c r="AA20" s="251">
        <v>0</v>
      </c>
      <c r="AB20" s="251">
        <v>0</v>
      </c>
      <c r="AC20" s="251">
        <v>0</v>
      </c>
      <c r="AD20" s="251">
        <v>0</v>
      </c>
      <c r="AE20" s="251">
        <v>0</v>
      </c>
      <c r="AF20" s="251">
        <v>0</v>
      </c>
      <c r="AG20" s="251">
        <v>0</v>
      </c>
      <c r="AH20" s="251">
        <v>0</v>
      </c>
      <c r="AI20" s="251">
        <v>0</v>
      </c>
      <c r="AJ20" s="251">
        <v>0</v>
      </c>
      <c r="AK20" s="251">
        <v>0</v>
      </c>
      <c r="AL20" s="251">
        <v>0</v>
      </c>
      <c r="AM20" s="251">
        <v>0</v>
      </c>
      <c r="AN20" s="252">
        <f t="shared" si="29"/>
        <v>263.76420827999999</v>
      </c>
      <c r="AO20" s="163"/>
      <c r="AP20" s="172">
        <f t="shared" si="2"/>
        <v>3.1023003550631749</v>
      </c>
      <c r="AQ20" s="172" t="str">
        <f t="shared" si="3"/>
        <v>-</v>
      </c>
      <c r="AR20" s="172" t="str">
        <f t="shared" si="4"/>
        <v>-</v>
      </c>
      <c r="AS20" s="172" t="str">
        <f t="shared" si="5"/>
        <v>-</v>
      </c>
      <c r="AT20" s="172" t="str">
        <f t="shared" si="6"/>
        <v>-</v>
      </c>
      <c r="AU20" s="172" t="str">
        <f t="shared" si="7"/>
        <v>-</v>
      </c>
      <c r="AV20" s="172" t="str">
        <f t="shared" si="8"/>
        <v>-</v>
      </c>
      <c r="AW20" s="172" t="str">
        <f t="shared" si="9"/>
        <v>-</v>
      </c>
      <c r="AX20" s="172" t="str">
        <f t="shared" si="10"/>
        <v>-</v>
      </c>
      <c r="AY20" s="172" t="str">
        <f t="shared" si="11"/>
        <v>-</v>
      </c>
      <c r="AZ20" s="172" t="str">
        <f t="shared" si="12"/>
        <v>-</v>
      </c>
      <c r="BA20" s="172" t="str">
        <f t="shared" si="13"/>
        <v>-</v>
      </c>
      <c r="BB20" s="172" t="str">
        <f t="shared" si="14"/>
        <v>-</v>
      </c>
      <c r="BC20" s="172" t="str">
        <f t="shared" si="15"/>
        <v>-</v>
      </c>
      <c r="BD20" s="172" t="str">
        <f t="shared" si="16"/>
        <v>-</v>
      </c>
      <c r="BE20" s="172" t="str">
        <f t="shared" si="17"/>
        <v>-</v>
      </c>
      <c r="BF20" s="172" t="str">
        <f t="shared" si="18"/>
        <v>-</v>
      </c>
      <c r="BG20" s="173">
        <f t="shared" si="19"/>
        <v>3.1023003550631749</v>
      </c>
      <c r="BH20" s="165"/>
      <c r="BI20" s="165"/>
      <c r="BJ20" s="165"/>
      <c r="BK20" s="166"/>
      <c r="BL20" s="166"/>
      <c r="BM20" s="166"/>
      <c r="BN20" s="166"/>
    </row>
    <row r="21" spans="3:69" ht="14">
      <c r="C21" s="178" t="str">
        <f>IF(Indice_index!$Z$1=1,"Administração Local","Local Government")</f>
        <v>Local Government</v>
      </c>
      <c r="D21" s="251">
        <v>1830.50409147</v>
      </c>
      <c r="E21" s="251">
        <v>0</v>
      </c>
      <c r="F21" s="251">
        <v>0</v>
      </c>
      <c r="G21" s="251">
        <v>0</v>
      </c>
      <c r="H21" s="251">
        <v>0</v>
      </c>
      <c r="I21" s="251">
        <v>0.30673961999999999</v>
      </c>
      <c r="J21" s="251">
        <v>1.440812E-2</v>
      </c>
      <c r="K21" s="251">
        <v>0.54711177</v>
      </c>
      <c r="L21" s="251">
        <v>0</v>
      </c>
      <c r="M21" s="251">
        <v>224.91114261000001</v>
      </c>
      <c r="N21" s="251">
        <v>3.7271735099999996</v>
      </c>
      <c r="O21" s="251">
        <v>0</v>
      </c>
      <c r="P21" s="251">
        <v>0</v>
      </c>
      <c r="Q21" s="251">
        <v>0</v>
      </c>
      <c r="R21" s="251">
        <v>0</v>
      </c>
      <c r="S21" s="251">
        <v>3.6095000000000002E-2</v>
      </c>
      <c r="T21" s="251">
        <v>0</v>
      </c>
      <c r="U21" s="252">
        <f t="shared" si="22"/>
        <v>2060.0467620999998</v>
      </c>
      <c r="V21" s="163"/>
      <c r="W21" s="251">
        <v>1801.0406970299998</v>
      </c>
      <c r="X21" s="251">
        <v>0</v>
      </c>
      <c r="Y21" s="251">
        <v>0</v>
      </c>
      <c r="Z21" s="251">
        <v>0</v>
      </c>
      <c r="AA21" s="251">
        <v>0</v>
      </c>
      <c r="AB21" s="251">
        <v>0.49925427999999994</v>
      </c>
      <c r="AC21" s="251">
        <v>0</v>
      </c>
      <c r="AD21" s="251">
        <v>0.55018206999999997</v>
      </c>
      <c r="AE21" s="251">
        <v>0</v>
      </c>
      <c r="AF21" s="251">
        <v>222.60565246999997</v>
      </c>
      <c r="AG21" s="251">
        <v>3.0610333500000002</v>
      </c>
      <c r="AH21" s="251">
        <v>0</v>
      </c>
      <c r="AI21" s="251">
        <v>0</v>
      </c>
      <c r="AJ21" s="251">
        <v>0</v>
      </c>
      <c r="AK21" s="251">
        <v>0</v>
      </c>
      <c r="AL21" s="251">
        <v>0</v>
      </c>
      <c r="AM21" s="251">
        <v>0</v>
      </c>
      <c r="AN21" s="252">
        <f t="shared" si="29"/>
        <v>2027.7568191999997</v>
      </c>
      <c r="AO21" s="163"/>
      <c r="AP21" s="172">
        <f t="shared" si="2"/>
        <v>1.6359094210689822</v>
      </c>
      <c r="AQ21" s="172" t="str">
        <f t="shared" si="3"/>
        <v>-</v>
      </c>
      <c r="AR21" s="172" t="str">
        <f t="shared" si="4"/>
        <v>-</v>
      </c>
      <c r="AS21" s="172" t="str">
        <f t="shared" si="5"/>
        <v>-</v>
      </c>
      <c r="AT21" s="172" t="str">
        <f t="shared" si="6"/>
        <v>-</v>
      </c>
      <c r="AU21" s="172">
        <f t="shared" si="7"/>
        <v>-38.560442586491192</v>
      </c>
      <c r="AV21" s="172" t="str">
        <f t="shared" si="8"/>
        <v>-</v>
      </c>
      <c r="AW21" s="172">
        <f t="shared" si="9"/>
        <v>-0.55805162825461951</v>
      </c>
      <c r="AX21" s="172" t="str">
        <f t="shared" si="10"/>
        <v>-</v>
      </c>
      <c r="AY21" s="172">
        <f t="shared" si="11"/>
        <v>1.0356835571867391</v>
      </c>
      <c r="AZ21" s="172">
        <f t="shared" si="12"/>
        <v>21.761937353606399</v>
      </c>
      <c r="BA21" s="172" t="str">
        <f t="shared" si="13"/>
        <v>-</v>
      </c>
      <c r="BB21" s="172" t="str">
        <f t="shared" si="14"/>
        <v>-</v>
      </c>
      <c r="BC21" s="172" t="str">
        <f t="shared" si="15"/>
        <v>-</v>
      </c>
      <c r="BD21" s="172" t="str">
        <f t="shared" si="16"/>
        <v>-</v>
      </c>
      <c r="BE21" s="172" t="str">
        <f t="shared" si="17"/>
        <v>-</v>
      </c>
      <c r="BF21" s="172" t="str">
        <f t="shared" si="18"/>
        <v>-</v>
      </c>
      <c r="BG21" s="173">
        <f t="shared" si="19"/>
        <v>1.592397204352114</v>
      </c>
      <c r="BH21" s="165"/>
      <c r="BI21" s="165"/>
      <c r="BJ21" s="165"/>
      <c r="BK21" s="166"/>
      <c r="BL21" s="166"/>
      <c r="BM21" s="166"/>
      <c r="BN21" s="166"/>
      <c r="BO21" s="154"/>
      <c r="BP21" s="154"/>
      <c r="BQ21" s="154"/>
    </row>
    <row r="22" spans="3:69" ht="14">
      <c r="C22" s="178" t="str">
        <f>IF(Indice_index!$Z$1=1,"Segurança Social","Social Security")</f>
        <v>Social Security</v>
      </c>
      <c r="D22" s="251">
        <v>1.178E-3</v>
      </c>
      <c r="E22" s="251">
        <v>0</v>
      </c>
      <c r="F22" s="251">
        <v>0.28419359999999999</v>
      </c>
      <c r="G22" s="251">
        <v>4.1282387600000003</v>
      </c>
      <c r="H22" s="251">
        <v>2.6593139999999998E-2</v>
      </c>
      <c r="I22" s="251">
        <v>0</v>
      </c>
      <c r="J22" s="251">
        <v>0</v>
      </c>
      <c r="K22" s="251">
        <v>0</v>
      </c>
      <c r="L22" s="251">
        <v>0</v>
      </c>
      <c r="M22" s="251">
        <v>17.720050399999998</v>
      </c>
      <c r="N22" s="251">
        <v>6024.1298164899999</v>
      </c>
      <c r="O22" s="251">
        <v>0</v>
      </c>
      <c r="P22" s="251">
        <v>0</v>
      </c>
      <c r="Q22" s="251">
        <v>0</v>
      </c>
      <c r="R22" s="251">
        <v>0</v>
      </c>
      <c r="S22" s="251">
        <v>0</v>
      </c>
      <c r="T22" s="251">
        <v>0</v>
      </c>
      <c r="U22" s="252">
        <f t="shared" si="22"/>
        <v>6046.2900703899995</v>
      </c>
      <c r="V22" s="163"/>
      <c r="W22" s="251">
        <v>0</v>
      </c>
      <c r="X22" s="251">
        <v>0</v>
      </c>
      <c r="Y22" s="251">
        <v>0</v>
      </c>
      <c r="Z22" s="251">
        <v>5.2576262500000004</v>
      </c>
      <c r="AA22" s="251">
        <v>0.48779065000000005</v>
      </c>
      <c r="AB22" s="251">
        <v>5.1933599999999993E-3</v>
      </c>
      <c r="AC22" s="251">
        <v>0</v>
      </c>
      <c r="AD22" s="251">
        <v>2.79875E-3</v>
      </c>
      <c r="AE22" s="251">
        <v>0</v>
      </c>
      <c r="AF22" s="251">
        <v>18.200954739999997</v>
      </c>
      <c r="AG22" s="251">
        <v>6485.6692354699999</v>
      </c>
      <c r="AH22" s="251">
        <v>0</v>
      </c>
      <c r="AI22" s="251">
        <v>0</v>
      </c>
      <c r="AJ22" s="251">
        <v>6.3833999999999994E-4</v>
      </c>
      <c r="AK22" s="251">
        <v>0</v>
      </c>
      <c r="AL22" s="251">
        <v>0</v>
      </c>
      <c r="AM22" s="251">
        <v>0</v>
      </c>
      <c r="AN22" s="252">
        <f t="shared" si="29"/>
        <v>6509.6242375599995</v>
      </c>
      <c r="AO22" s="163"/>
      <c r="AP22" s="172" t="str">
        <f t="shared" si="2"/>
        <v>-</v>
      </c>
      <c r="AQ22" s="172" t="str">
        <f t="shared" si="3"/>
        <v>-</v>
      </c>
      <c r="AR22" s="172" t="str">
        <f t="shared" si="4"/>
        <v>-</v>
      </c>
      <c r="AS22" s="172">
        <f t="shared" si="5"/>
        <v>-21.480939045448505</v>
      </c>
      <c r="AT22" s="172">
        <f t="shared" si="6"/>
        <v>-94.548247286002706</v>
      </c>
      <c r="AU22" s="172">
        <f t="shared" si="7"/>
        <v>-100</v>
      </c>
      <c r="AV22" s="172" t="str">
        <f t="shared" si="8"/>
        <v>-</v>
      </c>
      <c r="AW22" s="172">
        <f t="shared" si="9"/>
        <v>-100</v>
      </c>
      <c r="AX22" s="172" t="str">
        <f t="shared" si="10"/>
        <v>-</v>
      </c>
      <c r="AY22" s="172">
        <f t="shared" si="11"/>
        <v>-2.6421929336658452</v>
      </c>
      <c r="AZ22" s="172">
        <f t="shared" si="12"/>
        <v>-7.1162959784604771</v>
      </c>
      <c r="BA22" s="172" t="str">
        <f t="shared" si="13"/>
        <v>-</v>
      </c>
      <c r="BB22" s="172" t="str">
        <f t="shared" si="14"/>
        <v>-</v>
      </c>
      <c r="BC22" s="172">
        <f t="shared" si="15"/>
        <v>-100</v>
      </c>
      <c r="BD22" s="172" t="str">
        <f t="shared" si="16"/>
        <v>-</v>
      </c>
      <c r="BE22" s="172" t="str">
        <f t="shared" si="17"/>
        <v>-</v>
      </c>
      <c r="BF22" s="172" t="str">
        <f t="shared" si="18"/>
        <v>-</v>
      </c>
      <c r="BG22" s="173">
        <f t="shared" si="19"/>
        <v>-7.1176791510729576</v>
      </c>
      <c r="BH22" s="165"/>
      <c r="BI22" s="165"/>
      <c r="BJ22" s="165"/>
      <c r="BK22" s="166"/>
      <c r="BL22" s="166"/>
      <c r="BM22" s="166"/>
      <c r="BN22" s="166"/>
    </row>
    <row r="23" spans="3:69" ht="14">
      <c r="C23" s="174" t="str">
        <f>IF(Indice_index!$Z$1=1,"Outras transferências correntes","Other current transfers")</f>
        <v>Other current transfers</v>
      </c>
      <c r="D23" s="251">
        <v>0.37360264999961146</v>
      </c>
      <c r="E23" s="251">
        <v>3.2644952499999924</v>
      </c>
      <c r="F23" s="251">
        <v>43.408936990000001</v>
      </c>
      <c r="G23" s="251">
        <v>1520.4180465600002</v>
      </c>
      <c r="H23" s="251">
        <v>9.4114927199999983</v>
      </c>
      <c r="I23" s="251">
        <v>4.2620725099999959</v>
      </c>
      <c r="J23" s="251">
        <v>1.6390293400000004</v>
      </c>
      <c r="K23" s="251">
        <v>18.453266730000024</v>
      </c>
      <c r="L23" s="251">
        <v>113.06979959</v>
      </c>
      <c r="M23" s="251">
        <v>136.93098435999997</v>
      </c>
      <c r="N23" s="251">
        <v>2.8475495499988028</v>
      </c>
      <c r="O23" s="251">
        <v>4.9879621800000677</v>
      </c>
      <c r="P23" s="251">
        <v>0</v>
      </c>
      <c r="Q23" s="251">
        <v>0.33575726000000117</v>
      </c>
      <c r="R23" s="251">
        <v>0.58951272000000188</v>
      </c>
      <c r="S23" s="251">
        <v>2.7582656499999985</v>
      </c>
      <c r="T23" s="251">
        <v>0.23057287000000137</v>
      </c>
      <c r="U23" s="252">
        <f t="shared" si="22"/>
        <v>1862.9813469299986</v>
      </c>
      <c r="V23" s="163"/>
      <c r="W23" s="251">
        <v>0.3542149499999141</v>
      </c>
      <c r="X23" s="251">
        <v>2.9221907000000016</v>
      </c>
      <c r="Y23" s="251">
        <v>46.92963666</v>
      </c>
      <c r="Z23" s="251">
        <v>1317.0829696499998</v>
      </c>
      <c r="AA23" s="251">
        <v>9.9092373500000015</v>
      </c>
      <c r="AB23" s="251">
        <v>4.7545106299999844</v>
      </c>
      <c r="AC23" s="251">
        <v>1.9949857200000025</v>
      </c>
      <c r="AD23" s="251">
        <v>11.80912502999999</v>
      </c>
      <c r="AE23" s="251">
        <v>118.52486538000005</v>
      </c>
      <c r="AF23" s="251">
        <v>179.34239155000012</v>
      </c>
      <c r="AG23" s="251">
        <v>2.6769941599995946</v>
      </c>
      <c r="AH23" s="251">
        <v>5.0177687599998535</v>
      </c>
      <c r="AI23" s="251">
        <v>0</v>
      </c>
      <c r="AJ23" s="251">
        <v>4.74485900000019E-2</v>
      </c>
      <c r="AK23" s="251">
        <v>0.57434965999999932</v>
      </c>
      <c r="AL23" s="251">
        <v>2.9749235200000044</v>
      </c>
      <c r="AM23" s="251">
        <v>0.60581136999999963</v>
      </c>
      <c r="AN23" s="252">
        <f t="shared" si="29"/>
        <v>1705.5214236799993</v>
      </c>
      <c r="AO23" s="163"/>
      <c r="AP23" s="172">
        <f t="shared" si="2"/>
        <v>5.4734279283531269</v>
      </c>
      <c r="AQ23" s="172">
        <f t="shared" si="3"/>
        <v>11.713970275793111</v>
      </c>
      <c r="AR23" s="172">
        <f t="shared" si="4"/>
        <v>-7.5020816707085904</v>
      </c>
      <c r="AS23" s="172">
        <f t="shared" si="5"/>
        <v>15.438289127983676</v>
      </c>
      <c r="AT23" s="172">
        <f t="shared" si="6"/>
        <v>-5.0230367123056467</v>
      </c>
      <c r="AU23" s="172">
        <f t="shared" si="7"/>
        <v>-10.357282974462297</v>
      </c>
      <c r="AV23" s="172">
        <f t="shared" si="8"/>
        <v>-17.842552777771342</v>
      </c>
      <c r="AW23" s="172">
        <f t="shared" si="9"/>
        <v>56.262777158521118</v>
      </c>
      <c r="AX23" s="172">
        <f t="shared" si="10"/>
        <v>-4.6024652907309189</v>
      </c>
      <c r="AY23" s="172">
        <f t="shared" si="11"/>
        <v>-23.648289076247753</v>
      </c>
      <c r="AZ23" s="172">
        <f t="shared" si="12"/>
        <v>6.3711528604617538</v>
      </c>
      <c r="BA23" s="172">
        <f t="shared" si="13"/>
        <v>-0.5940205981071679</v>
      </c>
      <c r="BB23" s="172" t="str">
        <f t="shared" si="14"/>
        <v>-</v>
      </c>
      <c r="BC23" s="172" t="str">
        <f t="shared" si="15"/>
        <v>-</v>
      </c>
      <c r="BD23" s="172">
        <f t="shared" si="16"/>
        <v>2.6400398670041136</v>
      </c>
      <c r="BE23" s="172">
        <f t="shared" si="17"/>
        <v>-7.2828047021526663</v>
      </c>
      <c r="BF23" s="172">
        <f t="shared" si="18"/>
        <v>-61.939824602499371</v>
      </c>
      <c r="BG23" s="173">
        <f t="shared" si="19"/>
        <v>9.2323626700770731</v>
      </c>
      <c r="BH23" s="165"/>
      <c r="BI23" s="165"/>
      <c r="BJ23" s="165"/>
      <c r="BK23" s="166"/>
      <c r="BL23" s="166"/>
      <c r="BM23" s="166"/>
      <c r="BN23" s="166"/>
    </row>
    <row r="24" spans="3:69" ht="14">
      <c r="C24" s="171" t="str">
        <f>IF(Indice_index!$Z$1=1,"Subsídios","Subsidies")</f>
        <v>Subsidies</v>
      </c>
      <c r="D24" s="251">
        <v>0</v>
      </c>
      <c r="E24" s="251">
        <v>0</v>
      </c>
      <c r="F24" s="251">
        <v>0</v>
      </c>
      <c r="G24" s="251">
        <v>41.08544835</v>
      </c>
      <c r="H24" s="251">
        <v>0.85621079</v>
      </c>
      <c r="I24" s="251">
        <v>0</v>
      </c>
      <c r="J24" s="251">
        <v>0</v>
      </c>
      <c r="K24" s="251">
        <v>2.5497021900000001</v>
      </c>
      <c r="L24" s="251">
        <v>0</v>
      </c>
      <c r="M24" s="251">
        <v>0</v>
      </c>
      <c r="N24" s="251">
        <v>0</v>
      </c>
      <c r="O24" s="251">
        <v>0</v>
      </c>
      <c r="P24" s="251">
        <v>0</v>
      </c>
      <c r="Q24" s="251">
        <v>0</v>
      </c>
      <c r="R24" s="251">
        <v>0</v>
      </c>
      <c r="S24" s="251">
        <v>0</v>
      </c>
      <c r="T24" s="251">
        <v>0</v>
      </c>
      <c r="U24" s="252">
        <f t="shared" si="22"/>
        <v>44.491361329999997</v>
      </c>
      <c r="V24" s="163"/>
      <c r="W24" s="251">
        <v>1E-3</v>
      </c>
      <c r="X24" s="251">
        <v>0</v>
      </c>
      <c r="Y24" s="251">
        <v>0</v>
      </c>
      <c r="Z24" s="251">
        <v>36.259023920000004</v>
      </c>
      <c r="AA24" s="251">
        <v>0.87251266999999999</v>
      </c>
      <c r="AB24" s="251">
        <v>0</v>
      </c>
      <c r="AC24" s="251">
        <v>0</v>
      </c>
      <c r="AD24" s="251">
        <v>1.68899347</v>
      </c>
      <c r="AE24" s="251">
        <v>0</v>
      </c>
      <c r="AF24" s="251">
        <v>0</v>
      </c>
      <c r="AG24" s="251">
        <v>0</v>
      </c>
      <c r="AH24" s="251">
        <v>0</v>
      </c>
      <c r="AI24" s="251">
        <v>0</v>
      </c>
      <c r="AJ24" s="251">
        <v>0</v>
      </c>
      <c r="AK24" s="251">
        <v>0</v>
      </c>
      <c r="AL24" s="251">
        <v>0</v>
      </c>
      <c r="AM24" s="251">
        <v>0</v>
      </c>
      <c r="AN24" s="252">
        <f t="shared" si="29"/>
        <v>38.821530060000001</v>
      </c>
      <c r="AO24" s="163"/>
      <c r="AP24" s="172">
        <f t="shared" si="2"/>
        <v>-100</v>
      </c>
      <c r="AQ24" s="172" t="str">
        <f t="shared" si="3"/>
        <v>-</v>
      </c>
      <c r="AR24" s="172" t="str">
        <f t="shared" si="4"/>
        <v>-</v>
      </c>
      <c r="AS24" s="172">
        <f t="shared" si="5"/>
        <v>13.310960716010348</v>
      </c>
      <c r="AT24" s="172">
        <f t="shared" si="6"/>
        <v>-1.868383183478584</v>
      </c>
      <c r="AU24" s="172" t="str">
        <f t="shared" si="7"/>
        <v>-</v>
      </c>
      <c r="AV24" s="172" t="str">
        <f t="shared" si="8"/>
        <v>-</v>
      </c>
      <c r="AW24" s="172">
        <f t="shared" si="9"/>
        <v>50.95986072699263</v>
      </c>
      <c r="AX24" s="172" t="str">
        <f t="shared" si="10"/>
        <v>-</v>
      </c>
      <c r="AY24" s="172" t="str">
        <f t="shared" si="11"/>
        <v>-</v>
      </c>
      <c r="AZ24" s="172" t="str">
        <f t="shared" si="12"/>
        <v>-</v>
      </c>
      <c r="BA24" s="172" t="str">
        <f t="shared" si="13"/>
        <v>-</v>
      </c>
      <c r="BB24" s="172" t="str">
        <f t="shared" si="14"/>
        <v>-</v>
      </c>
      <c r="BC24" s="172" t="str">
        <f t="shared" si="15"/>
        <v>-</v>
      </c>
      <c r="BD24" s="172" t="str">
        <f t="shared" si="16"/>
        <v>-</v>
      </c>
      <c r="BE24" s="172" t="str">
        <f t="shared" si="17"/>
        <v>-</v>
      </c>
      <c r="BF24" s="172" t="str">
        <f t="shared" si="18"/>
        <v>-</v>
      </c>
      <c r="BG24" s="173">
        <f t="shared" si="19"/>
        <v>14.60486297484174</v>
      </c>
      <c r="BH24" s="165"/>
      <c r="BI24" s="165"/>
      <c r="BJ24" s="165"/>
      <c r="BK24" s="166"/>
      <c r="BL24" s="166"/>
      <c r="BM24" s="166"/>
      <c r="BN24" s="166"/>
    </row>
    <row r="25" spans="3:69" ht="14">
      <c r="C25" s="171" t="str">
        <f>IF(Indice_index!$Z$1=1,"Outras despesas correntes","Other current expenditure")</f>
        <v>Other current expenditure</v>
      </c>
      <c r="D25" s="251">
        <v>7.3109E-4</v>
      </c>
      <c r="E25" s="251">
        <v>0.18180858</v>
      </c>
      <c r="F25" s="251">
        <v>10.654293390000001</v>
      </c>
      <c r="G25" s="251">
        <v>24.406843999999996</v>
      </c>
      <c r="H25" s="251">
        <v>6.6572619400000006</v>
      </c>
      <c r="I25" s="251">
        <v>0.9654517600000001</v>
      </c>
      <c r="J25" s="251">
        <v>0.79072109000000002</v>
      </c>
      <c r="K25" s="251">
        <v>6.552463E-2</v>
      </c>
      <c r="L25" s="251">
        <v>2.1498900000000001E-2</v>
      </c>
      <c r="M25" s="251">
        <v>350.67850201000016</v>
      </c>
      <c r="N25" s="251">
        <v>5.0754630000000002E-2</v>
      </c>
      <c r="O25" s="251">
        <v>5.5773209999999997E-2</v>
      </c>
      <c r="P25" s="251">
        <v>4.8011000000000001E-4</v>
      </c>
      <c r="Q25" s="251">
        <v>0.12990286000000001</v>
      </c>
      <c r="R25" s="251">
        <v>6.2777970000000002E-2</v>
      </c>
      <c r="S25" s="251">
        <v>0.77977160999999995</v>
      </c>
      <c r="T25" s="251">
        <v>5.246847000000001E-2</v>
      </c>
      <c r="U25" s="252">
        <f t="shared" si="22"/>
        <v>395.55456625000016</v>
      </c>
      <c r="V25" s="163"/>
      <c r="W25" s="251">
        <v>1.298153E-2</v>
      </c>
      <c r="X25" s="251">
        <v>0.1238437</v>
      </c>
      <c r="Y25" s="251">
        <v>10.292545690000001</v>
      </c>
      <c r="Z25" s="251">
        <v>19.49433419</v>
      </c>
      <c r="AA25" s="251">
        <v>9.7585264899999995</v>
      </c>
      <c r="AB25" s="251">
        <v>1.26355974</v>
      </c>
      <c r="AC25" s="251">
        <v>0.94805298999999998</v>
      </c>
      <c r="AD25" s="251">
        <v>0.10252790999999999</v>
      </c>
      <c r="AE25" s="251">
        <v>1.3162459999999999E-2</v>
      </c>
      <c r="AF25" s="251">
        <v>334.39360843999998</v>
      </c>
      <c r="AG25" s="251">
        <v>9.2321679999999989E-2</v>
      </c>
      <c r="AH25" s="251">
        <v>4.0929690000000005E-2</v>
      </c>
      <c r="AI25" s="251">
        <v>4.5000000000000003E-5</v>
      </c>
      <c r="AJ25" s="251">
        <v>9.2803950000000024E-2</v>
      </c>
      <c r="AK25" s="251">
        <v>8.3071510000000001E-2</v>
      </c>
      <c r="AL25" s="251">
        <v>0.35807913000000002</v>
      </c>
      <c r="AM25" s="251">
        <v>8.4382289999999999E-2</v>
      </c>
      <c r="AN25" s="252">
        <f t="shared" si="29"/>
        <v>377.15477639000005</v>
      </c>
      <c r="AO25" s="163"/>
      <c r="AP25" s="172">
        <f t="shared" si="2"/>
        <v>-94.368229322737761</v>
      </c>
      <c r="AQ25" s="172">
        <f t="shared" si="3"/>
        <v>46.804867748621845</v>
      </c>
      <c r="AR25" s="172">
        <f t="shared" si="4"/>
        <v>3.5146572179073847</v>
      </c>
      <c r="AS25" s="172">
        <f t="shared" si="5"/>
        <v>25.199679876832953</v>
      </c>
      <c r="AT25" s="172">
        <f t="shared" si="6"/>
        <v>-31.780049510323146</v>
      </c>
      <c r="AU25" s="172">
        <f t="shared" si="7"/>
        <v>-23.592709593612085</v>
      </c>
      <c r="AV25" s="172">
        <f t="shared" si="8"/>
        <v>-16.595264363862189</v>
      </c>
      <c r="AW25" s="172">
        <f t="shared" si="9"/>
        <v>-36.090933678449105</v>
      </c>
      <c r="AX25" s="172">
        <f t="shared" si="10"/>
        <v>63.334969299052027</v>
      </c>
      <c r="AY25" s="172">
        <f t="shared" si="11"/>
        <v>4.8699775231864715</v>
      </c>
      <c r="AZ25" s="172">
        <f t="shared" si="12"/>
        <v>-45.024148174080011</v>
      </c>
      <c r="BA25" s="172">
        <f t="shared" si="13"/>
        <v>36.265898911034974</v>
      </c>
      <c r="BB25" s="172" t="str">
        <f t="shared" si="14"/>
        <v>-</v>
      </c>
      <c r="BC25" s="172">
        <f t="shared" si="15"/>
        <v>39.975572160452195</v>
      </c>
      <c r="BD25" s="172">
        <f t="shared" si="16"/>
        <v>-24.429000989629294</v>
      </c>
      <c r="BE25" s="172">
        <f t="shared" si="17"/>
        <v>117.76516548171905</v>
      </c>
      <c r="BF25" s="172">
        <f t="shared" si="18"/>
        <v>-37.820518973827319</v>
      </c>
      <c r="BG25" s="173">
        <f t="shared" si="19"/>
        <v>4.8785779769559792</v>
      </c>
      <c r="BH25" s="165"/>
      <c r="BI25" s="165"/>
      <c r="BJ25" s="165"/>
      <c r="BK25" s="166"/>
      <c r="BL25" s="166"/>
      <c r="BM25" s="166"/>
      <c r="BN25" s="166"/>
    </row>
    <row r="26" spans="3:69" ht="14">
      <c r="C26" s="179"/>
      <c r="D26" s="251"/>
      <c r="E26" s="251"/>
      <c r="F26" s="251"/>
      <c r="G26" s="251"/>
      <c r="H26" s="251"/>
      <c r="I26" s="251"/>
      <c r="J26" s="251"/>
      <c r="K26" s="251"/>
      <c r="L26" s="251"/>
      <c r="M26" s="251"/>
      <c r="N26" s="251"/>
      <c r="O26" s="251"/>
      <c r="P26" s="251"/>
      <c r="Q26" s="251"/>
      <c r="R26" s="251"/>
      <c r="S26" s="251"/>
      <c r="T26" s="251"/>
      <c r="U26" s="252">
        <f>SUM(D26:T26)</f>
        <v>0</v>
      </c>
      <c r="V26" s="163"/>
      <c r="W26" s="251"/>
      <c r="X26" s="251"/>
      <c r="Y26" s="251"/>
      <c r="Z26" s="251"/>
      <c r="AA26" s="251"/>
      <c r="AB26" s="251"/>
      <c r="AC26" s="251"/>
      <c r="AD26" s="251"/>
      <c r="AE26" s="251"/>
      <c r="AF26" s="251"/>
      <c r="AG26" s="251"/>
      <c r="AH26" s="251"/>
      <c r="AI26" s="251"/>
      <c r="AJ26" s="251"/>
      <c r="AK26" s="251"/>
      <c r="AL26" s="251"/>
      <c r="AM26" s="251"/>
      <c r="AN26" s="252">
        <f>SUM(W26:AM26)</f>
        <v>0</v>
      </c>
      <c r="AO26" s="163"/>
      <c r="AP26" s="172"/>
      <c r="AQ26" s="172"/>
      <c r="AR26" s="172"/>
      <c r="AS26" s="172"/>
      <c r="AT26" s="172"/>
      <c r="AU26" s="172"/>
      <c r="AV26" s="172"/>
      <c r="AW26" s="172"/>
      <c r="AX26" s="172"/>
      <c r="AY26" s="172"/>
      <c r="AZ26" s="172"/>
      <c r="BA26" s="172"/>
      <c r="BB26" s="172"/>
      <c r="BC26" s="172"/>
      <c r="BD26" s="172"/>
      <c r="BE26" s="172"/>
      <c r="BF26" s="172"/>
      <c r="BG26" s="173"/>
      <c r="BH26" s="165"/>
      <c r="BI26" s="165"/>
      <c r="BJ26" s="165"/>
      <c r="BK26" s="166"/>
      <c r="BL26" s="166"/>
      <c r="BM26" s="166"/>
      <c r="BN26" s="166"/>
    </row>
    <row r="27" spans="3:69" ht="14">
      <c r="C27" s="180" t="str">
        <f>IF(Indice_index!$Z$1=1,"Despesa de capital","Capital expenditure")</f>
        <v>Capital expenditure</v>
      </c>
      <c r="D27" s="253">
        <f t="shared" ref="D27:T27" si="30">+D28+D29+D36</f>
        <v>259.67931162999997</v>
      </c>
      <c r="E27" s="253">
        <f t="shared" si="30"/>
        <v>2.2804784900000001</v>
      </c>
      <c r="F27" s="253">
        <f t="shared" si="30"/>
        <v>2.2704672399999999</v>
      </c>
      <c r="G27" s="253">
        <f t="shared" si="30"/>
        <v>97.394443269999996</v>
      </c>
      <c r="H27" s="253">
        <f t="shared" si="30"/>
        <v>134.09960399000002</v>
      </c>
      <c r="I27" s="253">
        <f t="shared" si="30"/>
        <v>14.584628390000001</v>
      </c>
      <c r="J27" s="253">
        <f t="shared" si="30"/>
        <v>14.710247759999998</v>
      </c>
      <c r="K27" s="253">
        <f>+K28+K29+K36</f>
        <v>1.48516227</v>
      </c>
      <c r="L27" s="253">
        <f>+L28+L29+L36</f>
        <v>169.93083390999999</v>
      </c>
      <c r="M27" s="253">
        <f>+M28+M29+M36</f>
        <v>11.188227560000001</v>
      </c>
      <c r="N27" s="253">
        <f>+N28+N29+N36</f>
        <v>1.15961158</v>
      </c>
      <c r="O27" s="253">
        <f t="shared" si="30"/>
        <v>0.53963443999999994</v>
      </c>
      <c r="P27" s="253">
        <f t="shared" si="30"/>
        <v>385.93983056000002</v>
      </c>
      <c r="Q27" s="253">
        <f t="shared" si="30"/>
        <v>2.4717408700000001</v>
      </c>
      <c r="R27" s="253">
        <f t="shared" si="30"/>
        <v>9.1839578799999995</v>
      </c>
      <c r="S27" s="253">
        <f t="shared" si="30"/>
        <v>33.345125999999993</v>
      </c>
      <c r="T27" s="253">
        <f t="shared" si="30"/>
        <v>5.1938321599999995</v>
      </c>
      <c r="U27" s="253">
        <f>+U28+U29+U36</f>
        <v>1145.457138</v>
      </c>
      <c r="V27" s="181"/>
      <c r="W27" s="253">
        <f t="shared" ref="W27:AN27" si="31">+W28+W29+W36</f>
        <v>259.75270704000002</v>
      </c>
      <c r="X27" s="253">
        <f t="shared" si="31"/>
        <v>0.54334955000000007</v>
      </c>
      <c r="Y27" s="253">
        <f t="shared" si="31"/>
        <v>2.5968011600000001</v>
      </c>
      <c r="Z27" s="253">
        <f t="shared" si="31"/>
        <v>73.073298710000003</v>
      </c>
      <c r="AA27" s="253">
        <f t="shared" si="31"/>
        <v>125.4239941</v>
      </c>
      <c r="AB27" s="253">
        <f t="shared" si="31"/>
        <v>19.892035700000001</v>
      </c>
      <c r="AC27" s="253">
        <f t="shared" si="31"/>
        <v>3.0623396600000001</v>
      </c>
      <c r="AD27" s="253">
        <f t="shared" si="31"/>
        <v>4.8302426399999998</v>
      </c>
      <c r="AE27" s="253">
        <f t="shared" si="31"/>
        <v>156.40632540999999</v>
      </c>
      <c r="AF27" s="253">
        <f t="shared" si="31"/>
        <v>35.815660020000003</v>
      </c>
      <c r="AG27" s="253">
        <f t="shared" si="31"/>
        <v>0.96524617999999995</v>
      </c>
      <c r="AH27" s="253">
        <f t="shared" si="31"/>
        <v>0.89818541000000007</v>
      </c>
      <c r="AI27" s="253">
        <f t="shared" si="31"/>
        <v>287.72931063999999</v>
      </c>
      <c r="AJ27" s="253">
        <f t="shared" si="31"/>
        <v>1.8534453500000001</v>
      </c>
      <c r="AK27" s="253">
        <f t="shared" si="31"/>
        <v>7.1540560300000005</v>
      </c>
      <c r="AL27" s="253">
        <f t="shared" si="31"/>
        <v>25.658980459999999</v>
      </c>
      <c r="AM27" s="253">
        <f t="shared" si="31"/>
        <v>3.8622639599999999</v>
      </c>
      <c r="AN27" s="253">
        <f t="shared" si="31"/>
        <v>1009.5182420199999</v>
      </c>
      <c r="AO27" s="181"/>
      <c r="AP27" s="182">
        <f t="shared" ref="AP27:AP36" si="32">IF(W27=0,"-",IF((D27/W27)&gt;3,"-",((D27-W27)/W27)*100))</f>
        <v>-2.825587876885674E-2</v>
      </c>
      <c r="AQ27" s="182" t="str">
        <f t="shared" ref="AQ27:AQ36" si="33">IF(X27=0,"-",IF((E27/X27)&gt;3,"-",((E27-X27)/X27)*100))</f>
        <v>-</v>
      </c>
      <c r="AR27" s="182">
        <f t="shared" ref="AR27:AR36" si="34">IF(Y27=0,"-",IF((F27/Y27)&gt;3,"-",((F27-Y27)/Y27)*100))</f>
        <v>-12.566765797347385</v>
      </c>
      <c r="AS27" s="182">
        <f t="shared" ref="AS27:AS36" si="35">IF(Z27=0,"-",IF((G27/Z27)&gt;3,"-",((G27-Z27)/Z27)*100))</f>
        <v>33.283216974398982</v>
      </c>
      <c r="AT27" s="182">
        <f t="shared" ref="AT27:AT36" si="36">IF(AA27=0,"-",IF((H27/AA27)&gt;3,"-",((H27-AA27)/AA27)*100))</f>
        <v>6.9170256873521279</v>
      </c>
      <c r="AU27" s="182">
        <f t="shared" ref="AU27:AU36" si="37">IF(AB27=0,"-",IF((I27/AB27)&gt;3,"-",((I27-AB27)/AB27)*100))</f>
        <v>-26.681066684391684</v>
      </c>
      <c r="AV27" s="182" t="str">
        <f t="shared" ref="AV27:AV36" si="38">IF(AC27=0,"-",IF((J27/AC27)&gt;3,"-",((J27-AC27)/AC27)*100))</f>
        <v>-</v>
      </c>
      <c r="AW27" s="182">
        <f t="shared" ref="AW27:AW36" si="39">IF(AD27=0,"-",IF((K27/AD27)&gt;3,"-",((K27-AD27)/AD27)*100))</f>
        <v>-69.252843372688204</v>
      </c>
      <c r="AX27" s="182">
        <f t="shared" ref="AX27:AX36" si="40">IF(AE27=0,"-",IF((L27/AE27)&gt;3,"-",((L27-AE27)/AE27)*100))</f>
        <v>8.6470342325012464</v>
      </c>
      <c r="AY27" s="182">
        <f t="shared" ref="AY27:AY36" si="41">IF(AF27=0,"-",IF((M27/AF27)&gt;3,"-",((M27-AF27)/AF27)*100))</f>
        <v>-68.761632331353582</v>
      </c>
      <c r="AZ27" s="182">
        <f t="shared" ref="AZ27:AZ36" si="42">IF(AG27=0,"-",IF((N27/AG27)&gt;3,"-",((N27-AG27)/AG27)*100))</f>
        <v>20.136355266383962</v>
      </c>
      <c r="BA27" s="182">
        <f t="shared" ref="BA27:BA36" si="43">IF(AH27=0,"-",IF((O27/AH27)&gt;3,"-",((O27-AH27)/AH27)*100))</f>
        <v>-39.919482771380146</v>
      </c>
      <c r="BB27" s="182">
        <f t="shared" ref="BB27:BB36" si="44">IF(AI27=0,"-",IF((P27/AI27)&gt;3,"-",((P27-AI27)/AI27)*100))</f>
        <v>34.132956319795547</v>
      </c>
      <c r="BC27" s="182">
        <f t="shared" ref="BC27:BC36" si="45">IF(AJ27=0,"-",IF((Q27/AJ27)&gt;3,"-",((Q27-AJ27)/AJ27)*100))</f>
        <v>33.359252809908853</v>
      </c>
      <c r="BD27" s="182">
        <f t="shared" ref="BD27:BD36" si="46">IF(AK27=0,"-",IF((R27/AK27)&gt;3,"-",((R27-AK27)/AK27)*100))</f>
        <v>28.374139669688876</v>
      </c>
      <c r="BE27" s="182">
        <f t="shared" ref="BE27:BE36" si="47">IF(AL27=0,"-",IF((S27/AL27)&gt;3,"-",((S27-AL27)/AL27)*100))</f>
        <v>29.954991984120305</v>
      </c>
      <c r="BF27" s="182">
        <f t="shared" ref="BF27:BF36" si="48">IF(AM27=0,"-",IF((T27/AM27)&gt;3,"-",((T27-AM27)/AM27)*100))</f>
        <v>34.476364479241852</v>
      </c>
      <c r="BG27" s="183">
        <f t="shared" ref="BG27:BG36" si="49">IF(AN27=0,"-",IF((U27/AN27)&gt;3,"-",((U27-AN27)/AN27)*100))</f>
        <v>13.465719619686373</v>
      </c>
      <c r="BH27" s="184"/>
      <c r="BI27" s="165"/>
      <c r="BJ27" s="165"/>
      <c r="BK27" s="166"/>
      <c r="BL27" s="166"/>
      <c r="BM27" s="166"/>
      <c r="BN27" s="166"/>
    </row>
    <row r="28" spans="3:69" ht="14">
      <c r="C28" s="171" t="str">
        <f>IF(Indice_index!$Z$1=1,"Investimento","Investment")</f>
        <v>Investment</v>
      </c>
      <c r="D28" s="251">
        <v>0.13036758000000001</v>
      </c>
      <c r="E28" s="251">
        <v>1.4618854699999999</v>
      </c>
      <c r="F28" s="251">
        <v>2.2638002399999997</v>
      </c>
      <c r="G28" s="251">
        <v>8.8245093800000003</v>
      </c>
      <c r="H28" s="251">
        <v>124.48817681000001</v>
      </c>
      <c r="I28" s="251">
        <v>13.141513210000001</v>
      </c>
      <c r="J28" s="251">
        <v>7.1858707599999985</v>
      </c>
      <c r="K28" s="251">
        <v>0.84004513000000014</v>
      </c>
      <c r="L28" s="251">
        <v>0.11926891000000001</v>
      </c>
      <c r="M28" s="251">
        <v>3.9876483599999997</v>
      </c>
      <c r="N28" s="251">
        <v>0.59609338000000001</v>
      </c>
      <c r="O28" s="251">
        <v>0.22540772000000001</v>
      </c>
      <c r="P28" s="251">
        <v>4.9241750000000008E-2</v>
      </c>
      <c r="Q28" s="251">
        <v>0.82434487000000001</v>
      </c>
      <c r="R28" s="251">
        <v>0.33927880999999993</v>
      </c>
      <c r="S28" s="251">
        <v>8.5719367599999998</v>
      </c>
      <c r="T28" s="251">
        <v>1.5245381599999999</v>
      </c>
      <c r="U28" s="252">
        <f>SUM(D28:T28)</f>
        <v>174.57392729999998</v>
      </c>
      <c r="V28" s="163"/>
      <c r="W28" s="251">
        <v>0.11805134</v>
      </c>
      <c r="X28" s="251">
        <v>0.15526486</v>
      </c>
      <c r="Y28" s="251">
        <v>2.0968011600000001</v>
      </c>
      <c r="Z28" s="251">
        <v>10.23287141</v>
      </c>
      <c r="AA28" s="251">
        <v>112.24032386</v>
      </c>
      <c r="AB28" s="251">
        <v>10.42886723</v>
      </c>
      <c r="AC28" s="251">
        <v>3.0623396600000001</v>
      </c>
      <c r="AD28" s="251">
        <v>0.59400243999999991</v>
      </c>
      <c r="AE28" s="251">
        <v>0.17078659000000002</v>
      </c>
      <c r="AF28" s="251">
        <v>3.1973504899999994</v>
      </c>
      <c r="AG28" s="251">
        <v>0.20100049</v>
      </c>
      <c r="AH28" s="251">
        <v>0.26614353000000002</v>
      </c>
      <c r="AI28" s="251">
        <v>2.01187E-2</v>
      </c>
      <c r="AJ28" s="251">
        <v>0.26284635000000006</v>
      </c>
      <c r="AK28" s="251">
        <v>0.32690903000000004</v>
      </c>
      <c r="AL28" s="251">
        <v>1.8143124600000002</v>
      </c>
      <c r="AM28" s="251">
        <v>1.2953441399999999</v>
      </c>
      <c r="AN28" s="252">
        <f>SUM(W28:AM28)</f>
        <v>146.48333373999998</v>
      </c>
      <c r="AO28" s="163"/>
      <c r="AP28" s="172">
        <f t="shared" si="32"/>
        <v>10.432952307021678</v>
      </c>
      <c r="AQ28" s="172" t="str">
        <f t="shared" si="33"/>
        <v>-</v>
      </c>
      <c r="AR28" s="172">
        <f t="shared" si="34"/>
        <v>7.9644690772681379</v>
      </c>
      <c r="AS28" s="172">
        <f t="shared" si="35"/>
        <v>-13.763116661699545</v>
      </c>
      <c r="AT28" s="172">
        <f t="shared" si="36"/>
        <v>10.912168219754109</v>
      </c>
      <c r="AU28" s="172">
        <f t="shared" si="37"/>
        <v>26.010935993093483</v>
      </c>
      <c r="AV28" s="172">
        <f t="shared" si="38"/>
        <v>134.65296334894472</v>
      </c>
      <c r="AW28" s="172">
        <f t="shared" si="39"/>
        <v>41.421158135310058</v>
      </c>
      <c r="AX28" s="172">
        <f t="shared" si="40"/>
        <v>-30.164944449092872</v>
      </c>
      <c r="AY28" s="172">
        <f t="shared" si="41"/>
        <v>24.717273644904676</v>
      </c>
      <c r="AZ28" s="172">
        <f t="shared" si="42"/>
        <v>196.5631476818788</v>
      </c>
      <c r="BA28" s="172">
        <f t="shared" si="43"/>
        <v>-15.305955399329079</v>
      </c>
      <c r="BB28" s="172">
        <f t="shared" si="44"/>
        <v>144.75612241347605</v>
      </c>
      <c r="BC28" s="172" t="str">
        <f t="shared" si="45"/>
        <v>-</v>
      </c>
      <c r="BD28" s="172">
        <f t="shared" si="46"/>
        <v>3.7838599930995738</v>
      </c>
      <c r="BE28" s="172" t="str">
        <f t="shared" si="47"/>
        <v>-</v>
      </c>
      <c r="BF28" s="172">
        <f t="shared" si="48"/>
        <v>17.693677913268672</v>
      </c>
      <c r="BG28" s="173">
        <f t="shared" si="49"/>
        <v>19.17664818433153</v>
      </c>
      <c r="BH28" s="184"/>
      <c r="BI28" s="165"/>
      <c r="BJ28" s="165"/>
      <c r="BK28" s="166"/>
      <c r="BL28" s="166"/>
      <c r="BM28" s="166"/>
      <c r="BN28" s="166"/>
    </row>
    <row r="29" spans="3:69" ht="14">
      <c r="C29" s="171" t="str">
        <f>IF(Indice_index!$Z$1=1,"Transferências de capital","Capital transfers")</f>
        <v>Capital transfers</v>
      </c>
      <c r="D29" s="252">
        <f t="shared" ref="D29:T29" si="50">+D30+D35</f>
        <v>259.54894404999999</v>
      </c>
      <c r="E29" s="252">
        <f t="shared" si="50"/>
        <v>0.81859302</v>
      </c>
      <c r="F29" s="252">
        <f t="shared" si="50"/>
        <v>6.6670000000000002E-3</v>
      </c>
      <c r="G29" s="252">
        <f t="shared" si="50"/>
        <v>88.569933890000001</v>
      </c>
      <c r="H29" s="252">
        <f t="shared" si="50"/>
        <v>9.6114271799999997</v>
      </c>
      <c r="I29" s="252">
        <f t="shared" si="50"/>
        <v>1.4431151799999999</v>
      </c>
      <c r="J29" s="252">
        <f t="shared" si="50"/>
        <v>7.5243770000000003</v>
      </c>
      <c r="K29" s="252">
        <f>+K30+K35</f>
        <v>0.64511713999999998</v>
      </c>
      <c r="L29" s="252">
        <f>+L30+L35</f>
        <v>169.811565</v>
      </c>
      <c r="M29" s="252">
        <f>+M30+M35</f>
        <v>1.1528915999999998</v>
      </c>
      <c r="N29" s="252">
        <f>+N30+N35</f>
        <v>0.56351819999999997</v>
      </c>
      <c r="O29" s="252">
        <f t="shared" si="50"/>
        <v>0.31422671999999996</v>
      </c>
      <c r="P29" s="252">
        <f t="shared" si="50"/>
        <v>385.89058881</v>
      </c>
      <c r="Q29" s="252">
        <f t="shared" si="50"/>
        <v>1.6473960000000001</v>
      </c>
      <c r="R29" s="252">
        <f t="shared" si="50"/>
        <v>8.8446790699999998</v>
      </c>
      <c r="S29" s="252">
        <f t="shared" si="50"/>
        <v>24.773189239999997</v>
      </c>
      <c r="T29" s="252">
        <f t="shared" si="50"/>
        <v>3.6692939999999998</v>
      </c>
      <c r="U29" s="252">
        <f>+U30+U35</f>
        <v>964.83552310000005</v>
      </c>
      <c r="V29" s="163"/>
      <c r="W29" s="252">
        <f t="shared" ref="W29:AN29" si="51">+W30+W35</f>
        <v>259.6346557</v>
      </c>
      <c r="X29" s="252">
        <f t="shared" si="51"/>
        <v>0.38808469000000001</v>
      </c>
      <c r="Y29" s="252">
        <f t="shared" si="51"/>
        <v>0.5</v>
      </c>
      <c r="Z29" s="252">
        <f t="shared" si="51"/>
        <v>62.840427300000002</v>
      </c>
      <c r="AA29" s="252">
        <f t="shared" si="51"/>
        <v>13.183670239999998</v>
      </c>
      <c r="AB29" s="252">
        <f t="shared" si="51"/>
        <v>9.4631684700000012</v>
      </c>
      <c r="AC29" s="252">
        <f t="shared" si="51"/>
        <v>0</v>
      </c>
      <c r="AD29" s="252">
        <f t="shared" si="51"/>
        <v>4.2362402000000001</v>
      </c>
      <c r="AE29" s="252">
        <f t="shared" si="51"/>
        <v>156.23553881999999</v>
      </c>
      <c r="AF29" s="252">
        <f t="shared" si="51"/>
        <v>3.4404479800000001</v>
      </c>
      <c r="AG29" s="252">
        <f t="shared" si="51"/>
        <v>0.76424568999999998</v>
      </c>
      <c r="AH29" s="252">
        <f t="shared" si="51"/>
        <v>0.63204188000000006</v>
      </c>
      <c r="AI29" s="252">
        <f t="shared" si="51"/>
        <v>287.70919193999998</v>
      </c>
      <c r="AJ29" s="252">
        <f t="shared" si="51"/>
        <v>1.5905990000000001</v>
      </c>
      <c r="AK29" s="252">
        <f t="shared" si="51"/>
        <v>6.8271470000000001</v>
      </c>
      <c r="AL29" s="252">
        <f t="shared" si="51"/>
        <v>23.844667999999999</v>
      </c>
      <c r="AM29" s="252">
        <f t="shared" si="51"/>
        <v>2.5669198199999999</v>
      </c>
      <c r="AN29" s="252">
        <f t="shared" si="51"/>
        <v>833.85704672999998</v>
      </c>
      <c r="AO29" s="163"/>
      <c r="AP29" s="172">
        <f t="shared" si="32"/>
        <v>-3.3012407287817805E-2</v>
      </c>
      <c r="AQ29" s="172">
        <f t="shared" si="33"/>
        <v>110.93154177249301</v>
      </c>
      <c r="AR29" s="172">
        <f t="shared" si="34"/>
        <v>-98.666600000000003</v>
      </c>
      <c r="AS29" s="172">
        <f t="shared" si="35"/>
        <v>40.944194200283548</v>
      </c>
      <c r="AT29" s="172">
        <f t="shared" si="36"/>
        <v>-27.095967928275478</v>
      </c>
      <c r="AU29" s="172">
        <f t="shared" si="37"/>
        <v>-84.750190334506442</v>
      </c>
      <c r="AV29" s="172" t="str">
        <f t="shared" si="38"/>
        <v>-</v>
      </c>
      <c r="AW29" s="172">
        <f t="shared" si="39"/>
        <v>-84.771469285429092</v>
      </c>
      <c r="AX29" s="172">
        <f t="shared" si="40"/>
        <v>8.6894609782995946</v>
      </c>
      <c r="AY29" s="172">
        <f t="shared" si="41"/>
        <v>-66.490073190991836</v>
      </c>
      <c r="AZ29" s="172">
        <f t="shared" si="42"/>
        <v>-26.264785346712259</v>
      </c>
      <c r="BA29" s="172">
        <f t="shared" si="43"/>
        <v>-50.28387675829331</v>
      </c>
      <c r="BB29" s="172">
        <f t="shared" si="44"/>
        <v>34.125220750845934</v>
      </c>
      <c r="BC29" s="172">
        <f t="shared" si="45"/>
        <v>3.5707931414517411</v>
      </c>
      <c r="BD29" s="172">
        <f t="shared" si="46"/>
        <v>29.551613140891792</v>
      </c>
      <c r="BE29" s="172">
        <f t="shared" si="47"/>
        <v>3.8940413848496385</v>
      </c>
      <c r="BF29" s="172">
        <f t="shared" si="48"/>
        <v>42.945407620873802</v>
      </c>
      <c r="BG29" s="173">
        <f t="shared" si="49"/>
        <v>15.707545661889746</v>
      </c>
      <c r="BH29" s="184"/>
      <c r="BI29" s="165"/>
      <c r="BJ29" s="165"/>
      <c r="BK29" s="166"/>
      <c r="BL29" s="166"/>
      <c r="BM29" s="166"/>
      <c r="BN29" s="166"/>
    </row>
    <row r="30" spans="3:69" ht="14">
      <c r="C30" s="174" t="str">
        <f>IF(Indice_index!$Z$1=1,"Administrações Públicas","General Government")</f>
        <v>General Government</v>
      </c>
      <c r="D30" s="252">
        <f t="shared" ref="D30:T30" si="52">SUM(D31:D34)</f>
        <v>259.54894404999999</v>
      </c>
      <c r="E30" s="252">
        <f t="shared" si="52"/>
        <v>0.81859302</v>
      </c>
      <c r="F30" s="252">
        <f t="shared" si="52"/>
        <v>6.6670000000000002E-3</v>
      </c>
      <c r="G30" s="252">
        <f t="shared" si="52"/>
        <v>31.8705997</v>
      </c>
      <c r="H30" s="252">
        <f t="shared" si="52"/>
        <v>9.6114271799999997</v>
      </c>
      <c r="I30" s="252">
        <f t="shared" si="52"/>
        <v>1.0742901600000001</v>
      </c>
      <c r="J30" s="252">
        <f t="shared" si="52"/>
        <v>7.5243770000000003</v>
      </c>
      <c r="K30" s="252">
        <f>SUM(K31:K34)</f>
        <v>0.64511714000000009</v>
      </c>
      <c r="L30" s="252">
        <f>SUM(L31:L34)</f>
        <v>169.803797</v>
      </c>
      <c r="M30" s="252">
        <f>SUM(M31:M34)</f>
        <v>1.1421819</v>
      </c>
      <c r="N30" s="252">
        <f>SUM(N31:N34)</f>
        <v>0.56351819999999997</v>
      </c>
      <c r="O30" s="252">
        <f t="shared" si="52"/>
        <v>0.31422671999999996</v>
      </c>
      <c r="P30" s="252">
        <f t="shared" si="52"/>
        <v>385.89058881</v>
      </c>
      <c r="Q30" s="252">
        <f t="shared" si="52"/>
        <v>1.496996</v>
      </c>
      <c r="R30" s="252">
        <f t="shared" si="52"/>
        <v>8.8446790699999998</v>
      </c>
      <c r="S30" s="252">
        <f t="shared" si="52"/>
        <v>23.973998999999999</v>
      </c>
      <c r="T30" s="252">
        <f t="shared" si="52"/>
        <v>3.6692939999999998</v>
      </c>
      <c r="U30" s="252">
        <f>SUM(U31:U34)</f>
        <v>906.7992959500001</v>
      </c>
      <c r="V30" s="163"/>
      <c r="W30" s="252">
        <f t="shared" ref="W30:AN30" si="53">SUM(W31:W34)</f>
        <v>259.6346557</v>
      </c>
      <c r="X30" s="252">
        <f t="shared" si="53"/>
        <v>0.38808469000000001</v>
      </c>
      <c r="Y30" s="252">
        <f t="shared" si="53"/>
        <v>0.5</v>
      </c>
      <c r="Z30" s="252">
        <f t="shared" si="53"/>
        <v>9.8363060000000002E-2</v>
      </c>
      <c r="AA30" s="252">
        <f t="shared" si="53"/>
        <v>13.183670239999998</v>
      </c>
      <c r="AB30" s="252">
        <f t="shared" si="53"/>
        <v>8.9690281399999989</v>
      </c>
      <c r="AC30" s="252">
        <f t="shared" si="53"/>
        <v>0</v>
      </c>
      <c r="AD30" s="252">
        <f t="shared" si="53"/>
        <v>3.2264622200000002</v>
      </c>
      <c r="AE30" s="252">
        <f t="shared" si="53"/>
        <v>156.23042082000001</v>
      </c>
      <c r="AF30" s="252">
        <f t="shared" si="53"/>
        <v>3.4404479800000001</v>
      </c>
      <c r="AG30" s="252">
        <f t="shared" si="53"/>
        <v>0.76424568999999998</v>
      </c>
      <c r="AH30" s="252">
        <f t="shared" si="53"/>
        <v>0.63204188000000006</v>
      </c>
      <c r="AI30" s="252">
        <f t="shared" si="53"/>
        <v>287.70919193999998</v>
      </c>
      <c r="AJ30" s="252">
        <f t="shared" si="53"/>
        <v>1.4609989999999999</v>
      </c>
      <c r="AK30" s="252">
        <f t="shared" si="53"/>
        <v>6.8271470000000001</v>
      </c>
      <c r="AL30" s="252">
        <f t="shared" si="53"/>
        <v>23.562667999999999</v>
      </c>
      <c r="AM30" s="252">
        <f t="shared" si="53"/>
        <v>2.5254436499999997</v>
      </c>
      <c r="AN30" s="252">
        <f t="shared" si="53"/>
        <v>769.15287001000002</v>
      </c>
      <c r="AO30" s="163"/>
      <c r="AP30" s="172">
        <f t="shared" si="32"/>
        <v>-3.3012407287817805E-2</v>
      </c>
      <c r="AQ30" s="172">
        <f t="shared" si="33"/>
        <v>110.93154177249301</v>
      </c>
      <c r="AR30" s="172">
        <f t="shared" si="34"/>
        <v>-98.666600000000003</v>
      </c>
      <c r="AS30" s="172" t="str">
        <f t="shared" si="35"/>
        <v>-</v>
      </c>
      <c r="AT30" s="172">
        <f t="shared" si="36"/>
        <v>-27.095967928275478</v>
      </c>
      <c r="AU30" s="172">
        <f t="shared" si="37"/>
        <v>-88.022223330876955</v>
      </c>
      <c r="AV30" s="172" t="str">
        <f t="shared" si="38"/>
        <v>-</v>
      </c>
      <c r="AW30" s="172">
        <f t="shared" si="39"/>
        <v>-80.005433319470271</v>
      </c>
      <c r="AX30" s="172">
        <f t="shared" si="40"/>
        <v>8.6880494264548425</v>
      </c>
      <c r="AY30" s="172">
        <f t="shared" si="41"/>
        <v>-66.801361141347655</v>
      </c>
      <c r="AZ30" s="172">
        <f t="shared" si="42"/>
        <v>-26.264785346712259</v>
      </c>
      <c r="BA30" s="172">
        <f t="shared" si="43"/>
        <v>-50.28387675829331</v>
      </c>
      <c r="BB30" s="172">
        <f t="shared" si="44"/>
        <v>34.125220750845934</v>
      </c>
      <c r="BC30" s="172">
        <f t="shared" si="45"/>
        <v>2.4638620560315276</v>
      </c>
      <c r="BD30" s="172">
        <f t="shared" si="46"/>
        <v>29.551613140891792</v>
      </c>
      <c r="BE30" s="172">
        <f t="shared" si="47"/>
        <v>1.7456894100447393</v>
      </c>
      <c r="BF30" s="172">
        <f t="shared" si="48"/>
        <v>45.293045837708569</v>
      </c>
      <c r="BG30" s="173">
        <f t="shared" si="49"/>
        <v>17.895847666564709</v>
      </c>
      <c r="BH30" s="184"/>
      <c r="BI30" s="165"/>
      <c r="BJ30" s="165"/>
      <c r="BK30" s="166"/>
      <c r="BL30" s="166"/>
      <c r="BM30" s="166"/>
      <c r="BN30" s="166"/>
    </row>
    <row r="31" spans="3:69" ht="14">
      <c r="C31" s="178" t="str">
        <f>IF(Indice_index!$Z$1=1,"Administração Central","Central Government")</f>
        <v>Central Government</v>
      </c>
      <c r="D31" s="251">
        <v>3.7273091900000006</v>
      </c>
      <c r="E31" s="251">
        <v>0.81859302</v>
      </c>
      <c r="F31" s="251">
        <v>6.6670000000000002E-3</v>
      </c>
      <c r="G31" s="251">
        <v>31.8705997</v>
      </c>
      <c r="H31" s="251">
        <v>9.6114271799999997</v>
      </c>
      <c r="I31" s="251">
        <v>1.0241847800000001</v>
      </c>
      <c r="J31" s="251">
        <v>7.5243770000000003</v>
      </c>
      <c r="K31" s="251">
        <v>0.60414542000000004</v>
      </c>
      <c r="L31" s="251">
        <v>169.803797</v>
      </c>
      <c r="M31" s="251">
        <v>0.61403326000000003</v>
      </c>
      <c r="N31" s="251">
        <v>0</v>
      </c>
      <c r="O31" s="251">
        <v>0.31422671999999996</v>
      </c>
      <c r="P31" s="251">
        <v>385.89058881</v>
      </c>
      <c r="Q31" s="251">
        <v>1.496996</v>
      </c>
      <c r="R31" s="251">
        <v>8.8446790699999998</v>
      </c>
      <c r="S31" s="251">
        <v>23.973998999999999</v>
      </c>
      <c r="T31" s="251">
        <v>3.6692939999999998</v>
      </c>
      <c r="U31" s="252">
        <f t="shared" si="22"/>
        <v>649.79491715000006</v>
      </c>
      <c r="V31" s="163"/>
      <c r="W31" s="251">
        <v>6.0949608799999995</v>
      </c>
      <c r="X31" s="251">
        <v>0.38808469000000001</v>
      </c>
      <c r="Y31" s="251">
        <v>0.5</v>
      </c>
      <c r="Z31" s="251">
        <v>9.8363060000000002E-2</v>
      </c>
      <c r="AA31" s="251">
        <v>13.183670239999998</v>
      </c>
      <c r="AB31" s="251">
        <v>8.4510790099999991</v>
      </c>
      <c r="AC31" s="251">
        <v>0</v>
      </c>
      <c r="AD31" s="251">
        <v>3.2264622200000002</v>
      </c>
      <c r="AE31" s="251">
        <v>156.23042082000001</v>
      </c>
      <c r="AF31" s="251">
        <v>2.1752403599999997</v>
      </c>
      <c r="AG31" s="251">
        <v>0</v>
      </c>
      <c r="AH31" s="251">
        <v>0.63204188000000006</v>
      </c>
      <c r="AI31" s="251">
        <v>287.70919193999998</v>
      </c>
      <c r="AJ31" s="251">
        <v>1.4609989999999999</v>
      </c>
      <c r="AK31" s="251">
        <v>6.8271470000000001</v>
      </c>
      <c r="AL31" s="251">
        <v>23.562667999999999</v>
      </c>
      <c r="AM31" s="251">
        <v>2.5254436499999997</v>
      </c>
      <c r="AN31" s="252">
        <f t="shared" ref="AN31:AN36" si="54">SUM(W31:AM31)</f>
        <v>513.06577274999995</v>
      </c>
      <c r="AO31" s="163"/>
      <c r="AP31" s="172">
        <f t="shared" si="32"/>
        <v>-38.846052281799039</v>
      </c>
      <c r="AQ31" s="172">
        <f t="shared" si="33"/>
        <v>110.93154177249301</v>
      </c>
      <c r="AR31" s="172">
        <f t="shared" si="34"/>
        <v>-98.666600000000003</v>
      </c>
      <c r="AS31" s="172" t="str">
        <f t="shared" si="35"/>
        <v>-</v>
      </c>
      <c r="AT31" s="172">
        <f t="shared" si="36"/>
        <v>-27.095967928275478</v>
      </c>
      <c r="AU31" s="172">
        <f t="shared" si="37"/>
        <v>-87.881017574346401</v>
      </c>
      <c r="AV31" s="172" t="str">
        <f t="shared" si="38"/>
        <v>-</v>
      </c>
      <c r="AW31" s="172">
        <f t="shared" si="39"/>
        <v>-81.275298490865339</v>
      </c>
      <c r="AX31" s="172">
        <f t="shared" si="40"/>
        <v>8.6880494264548425</v>
      </c>
      <c r="AY31" s="172">
        <f t="shared" si="41"/>
        <v>-71.771705265711418</v>
      </c>
      <c r="AZ31" s="172" t="str">
        <f t="shared" si="42"/>
        <v>-</v>
      </c>
      <c r="BA31" s="172">
        <f t="shared" si="43"/>
        <v>-50.28387675829331</v>
      </c>
      <c r="BB31" s="172">
        <f t="shared" si="44"/>
        <v>34.125220750845934</v>
      </c>
      <c r="BC31" s="172">
        <f t="shared" si="45"/>
        <v>2.4638620560315276</v>
      </c>
      <c r="BD31" s="172">
        <f t="shared" si="46"/>
        <v>29.551613140891792</v>
      </c>
      <c r="BE31" s="172">
        <f t="shared" si="47"/>
        <v>1.7456894100447393</v>
      </c>
      <c r="BF31" s="172">
        <f t="shared" si="48"/>
        <v>45.293045837708569</v>
      </c>
      <c r="BG31" s="173">
        <f t="shared" si="49"/>
        <v>26.649437881451455</v>
      </c>
      <c r="BH31" s="184"/>
      <c r="BI31" s="165"/>
      <c r="BJ31" s="165"/>
      <c r="BK31" s="166"/>
      <c r="BL31" s="166"/>
      <c r="BM31" s="166"/>
      <c r="BN31" s="166"/>
    </row>
    <row r="32" spans="3:69" ht="14">
      <c r="C32" s="178" t="str">
        <f>IF(Indice_index!$Z$1=1,"Administração Regional","Regional Government")</f>
        <v>Regional Government</v>
      </c>
      <c r="D32" s="251">
        <v>108.77878722</v>
      </c>
      <c r="E32" s="251">
        <v>0</v>
      </c>
      <c r="F32" s="251">
        <v>0</v>
      </c>
      <c r="G32" s="251">
        <v>0</v>
      </c>
      <c r="H32" s="251">
        <v>0</v>
      </c>
      <c r="I32" s="251">
        <v>0</v>
      </c>
      <c r="J32" s="251">
        <v>0</v>
      </c>
      <c r="K32" s="251">
        <v>0</v>
      </c>
      <c r="L32" s="251">
        <v>0</v>
      </c>
      <c r="M32" s="251">
        <v>0</v>
      </c>
      <c r="N32" s="251">
        <v>0</v>
      </c>
      <c r="O32" s="251">
        <v>0</v>
      </c>
      <c r="P32" s="251">
        <v>0</v>
      </c>
      <c r="Q32" s="251">
        <v>0</v>
      </c>
      <c r="R32" s="251">
        <v>0</v>
      </c>
      <c r="S32" s="251">
        <v>0</v>
      </c>
      <c r="T32" s="251">
        <v>0</v>
      </c>
      <c r="U32" s="252">
        <f t="shared" si="22"/>
        <v>108.77878722</v>
      </c>
      <c r="V32" s="163"/>
      <c r="W32" s="251">
        <v>105.50568275000001</v>
      </c>
      <c r="X32" s="251">
        <v>0</v>
      </c>
      <c r="Y32" s="251">
        <v>0</v>
      </c>
      <c r="Z32" s="251">
        <v>0</v>
      </c>
      <c r="AA32" s="251">
        <v>0</v>
      </c>
      <c r="AB32" s="251">
        <v>0</v>
      </c>
      <c r="AC32" s="251">
        <v>0</v>
      </c>
      <c r="AD32" s="251">
        <v>0</v>
      </c>
      <c r="AE32" s="251">
        <v>0</v>
      </c>
      <c r="AF32" s="251">
        <v>0</v>
      </c>
      <c r="AG32" s="251">
        <v>0</v>
      </c>
      <c r="AH32" s="251">
        <v>0</v>
      </c>
      <c r="AI32" s="251">
        <v>0</v>
      </c>
      <c r="AJ32" s="251">
        <v>0</v>
      </c>
      <c r="AK32" s="251">
        <v>0</v>
      </c>
      <c r="AL32" s="251">
        <v>0</v>
      </c>
      <c r="AM32" s="251">
        <v>0</v>
      </c>
      <c r="AN32" s="252">
        <f t="shared" si="54"/>
        <v>105.50568275000001</v>
      </c>
      <c r="AO32" s="163"/>
      <c r="AP32" s="172">
        <f t="shared" si="32"/>
        <v>3.1023015866886965</v>
      </c>
      <c r="AQ32" s="172" t="str">
        <f t="shared" si="33"/>
        <v>-</v>
      </c>
      <c r="AR32" s="172" t="str">
        <f t="shared" si="34"/>
        <v>-</v>
      </c>
      <c r="AS32" s="172" t="str">
        <f t="shared" si="35"/>
        <v>-</v>
      </c>
      <c r="AT32" s="172" t="str">
        <f t="shared" si="36"/>
        <v>-</v>
      </c>
      <c r="AU32" s="172" t="str">
        <f t="shared" si="37"/>
        <v>-</v>
      </c>
      <c r="AV32" s="172" t="str">
        <f t="shared" si="38"/>
        <v>-</v>
      </c>
      <c r="AW32" s="172" t="str">
        <f t="shared" si="39"/>
        <v>-</v>
      </c>
      <c r="AX32" s="172" t="str">
        <f t="shared" si="40"/>
        <v>-</v>
      </c>
      <c r="AY32" s="172" t="str">
        <f t="shared" si="41"/>
        <v>-</v>
      </c>
      <c r="AZ32" s="172" t="str">
        <f t="shared" si="42"/>
        <v>-</v>
      </c>
      <c r="BA32" s="172" t="str">
        <f t="shared" si="43"/>
        <v>-</v>
      </c>
      <c r="BB32" s="172" t="str">
        <f t="shared" si="44"/>
        <v>-</v>
      </c>
      <c r="BC32" s="172" t="str">
        <f t="shared" si="45"/>
        <v>-</v>
      </c>
      <c r="BD32" s="172" t="str">
        <f t="shared" si="46"/>
        <v>-</v>
      </c>
      <c r="BE32" s="172" t="str">
        <f t="shared" si="47"/>
        <v>-</v>
      </c>
      <c r="BF32" s="172" t="str">
        <f t="shared" si="48"/>
        <v>-</v>
      </c>
      <c r="BG32" s="173">
        <f t="shared" si="49"/>
        <v>3.1023015866886965</v>
      </c>
      <c r="BH32" s="184"/>
      <c r="BI32" s="165"/>
      <c r="BJ32" s="165"/>
      <c r="BK32" s="166"/>
      <c r="BL32" s="166"/>
      <c r="BM32" s="166"/>
      <c r="BN32" s="166"/>
    </row>
    <row r="33" spans="3:199" ht="14">
      <c r="C33" s="178" t="str">
        <f>IF(Indice_index!$Z$1=1,"Administração Local","Local Government")</f>
        <v>Local Government</v>
      </c>
      <c r="D33" s="251">
        <v>147.04284763999999</v>
      </c>
      <c r="E33" s="251">
        <v>0</v>
      </c>
      <c r="F33" s="251">
        <v>0</v>
      </c>
      <c r="G33" s="251">
        <v>0</v>
      </c>
      <c r="H33" s="251">
        <v>0</v>
      </c>
      <c r="I33" s="251">
        <v>5.0105379999999998E-2</v>
      </c>
      <c r="J33" s="251">
        <v>0</v>
      </c>
      <c r="K33" s="251">
        <v>4.0971720000000003E-2</v>
      </c>
      <c r="L33" s="251">
        <v>0</v>
      </c>
      <c r="M33" s="251">
        <v>0.52814863999999995</v>
      </c>
      <c r="N33" s="251">
        <v>0</v>
      </c>
      <c r="O33" s="251">
        <v>0</v>
      </c>
      <c r="P33" s="251">
        <v>0</v>
      </c>
      <c r="Q33" s="251">
        <v>0</v>
      </c>
      <c r="R33" s="251">
        <v>0</v>
      </c>
      <c r="S33" s="251">
        <v>0</v>
      </c>
      <c r="T33" s="251">
        <v>0</v>
      </c>
      <c r="U33" s="252">
        <f t="shared" si="22"/>
        <v>147.66207337999998</v>
      </c>
      <c r="V33" s="163"/>
      <c r="W33" s="251">
        <v>148.03401206999999</v>
      </c>
      <c r="X33" s="251">
        <v>0</v>
      </c>
      <c r="Y33" s="251">
        <v>0</v>
      </c>
      <c r="Z33" s="251">
        <v>0</v>
      </c>
      <c r="AA33" s="251">
        <v>0</v>
      </c>
      <c r="AB33" s="251">
        <v>0.51794912999999998</v>
      </c>
      <c r="AC33" s="251">
        <v>0</v>
      </c>
      <c r="AD33" s="251">
        <v>0</v>
      </c>
      <c r="AE33" s="251">
        <v>0</v>
      </c>
      <c r="AF33" s="251">
        <v>1.2652076200000002</v>
      </c>
      <c r="AG33" s="251">
        <v>0</v>
      </c>
      <c r="AH33" s="251">
        <v>0</v>
      </c>
      <c r="AI33" s="251">
        <v>0</v>
      </c>
      <c r="AJ33" s="251">
        <v>0</v>
      </c>
      <c r="AK33" s="251">
        <v>0</v>
      </c>
      <c r="AL33" s="251">
        <v>0</v>
      </c>
      <c r="AM33" s="251">
        <v>0</v>
      </c>
      <c r="AN33" s="252">
        <f t="shared" si="54"/>
        <v>149.81716882000001</v>
      </c>
      <c r="AO33" s="163"/>
      <c r="AP33" s="172">
        <f t="shared" si="32"/>
        <v>-0.66955182538139379</v>
      </c>
      <c r="AQ33" s="172" t="str">
        <f t="shared" si="33"/>
        <v>-</v>
      </c>
      <c r="AR33" s="172" t="str">
        <f t="shared" si="34"/>
        <v>-</v>
      </c>
      <c r="AS33" s="172" t="str">
        <f t="shared" si="35"/>
        <v>-</v>
      </c>
      <c r="AT33" s="172" t="str">
        <f t="shared" si="36"/>
        <v>-</v>
      </c>
      <c r="AU33" s="172">
        <f t="shared" si="37"/>
        <v>-90.32619670584252</v>
      </c>
      <c r="AV33" s="172" t="str">
        <f t="shared" si="38"/>
        <v>-</v>
      </c>
      <c r="AW33" s="172" t="str">
        <f t="shared" si="39"/>
        <v>-</v>
      </c>
      <c r="AX33" s="172" t="str">
        <f t="shared" si="40"/>
        <v>-</v>
      </c>
      <c r="AY33" s="172">
        <f t="shared" si="41"/>
        <v>-58.255970668276568</v>
      </c>
      <c r="AZ33" s="172" t="str">
        <f t="shared" si="42"/>
        <v>-</v>
      </c>
      <c r="BA33" s="172" t="str">
        <f t="shared" si="43"/>
        <v>-</v>
      </c>
      <c r="BB33" s="172" t="str">
        <f t="shared" si="44"/>
        <v>-</v>
      </c>
      <c r="BC33" s="172" t="str">
        <f t="shared" si="45"/>
        <v>-</v>
      </c>
      <c r="BD33" s="172" t="str">
        <f t="shared" si="46"/>
        <v>-</v>
      </c>
      <c r="BE33" s="172" t="str">
        <f t="shared" si="47"/>
        <v>-</v>
      </c>
      <c r="BF33" s="172" t="str">
        <f t="shared" si="48"/>
        <v>-</v>
      </c>
      <c r="BG33" s="173">
        <f t="shared" si="49"/>
        <v>-1.4384836243897356</v>
      </c>
      <c r="BH33" s="184"/>
      <c r="BI33" s="165"/>
      <c r="BJ33" s="165"/>
      <c r="BK33" s="166"/>
      <c r="BL33" s="166"/>
      <c r="BM33" s="166"/>
      <c r="BN33" s="166"/>
    </row>
    <row r="34" spans="3:199" ht="14">
      <c r="C34" s="178" t="str">
        <f>IF(Indice_index!$Z$1=1,"Segurança Social","Social Security")</f>
        <v>Social Security</v>
      </c>
      <c r="D34" s="251">
        <v>0</v>
      </c>
      <c r="E34" s="251">
        <v>0</v>
      </c>
      <c r="F34" s="251">
        <v>0</v>
      </c>
      <c r="G34" s="251">
        <v>0</v>
      </c>
      <c r="H34" s="251">
        <v>0</v>
      </c>
      <c r="I34" s="251">
        <v>0</v>
      </c>
      <c r="J34" s="251">
        <v>0</v>
      </c>
      <c r="K34" s="251">
        <v>0</v>
      </c>
      <c r="L34" s="251">
        <v>0</v>
      </c>
      <c r="M34" s="251">
        <v>0</v>
      </c>
      <c r="N34" s="251">
        <v>0.56351819999999997</v>
      </c>
      <c r="O34" s="251">
        <v>0</v>
      </c>
      <c r="P34" s="251">
        <v>0</v>
      </c>
      <c r="Q34" s="251">
        <v>0</v>
      </c>
      <c r="R34" s="251">
        <v>0</v>
      </c>
      <c r="S34" s="251">
        <v>0</v>
      </c>
      <c r="T34" s="251">
        <v>0</v>
      </c>
      <c r="U34" s="252">
        <f t="shared" si="22"/>
        <v>0.56351819999999997</v>
      </c>
      <c r="V34" s="163"/>
      <c r="W34" s="251">
        <v>0</v>
      </c>
      <c r="X34" s="251">
        <v>0</v>
      </c>
      <c r="Y34" s="251">
        <v>0</v>
      </c>
      <c r="Z34" s="251">
        <v>0</v>
      </c>
      <c r="AA34" s="251">
        <v>0</v>
      </c>
      <c r="AB34" s="251">
        <v>0</v>
      </c>
      <c r="AC34" s="251">
        <v>0</v>
      </c>
      <c r="AD34" s="251">
        <v>0</v>
      </c>
      <c r="AE34" s="251">
        <v>0</v>
      </c>
      <c r="AF34" s="251">
        <v>0</v>
      </c>
      <c r="AG34" s="251">
        <v>0.76424568999999998</v>
      </c>
      <c r="AH34" s="251">
        <v>0</v>
      </c>
      <c r="AI34" s="251">
        <v>0</v>
      </c>
      <c r="AJ34" s="251">
        <v>0</v>
      </c>
      <c r="AK34" s="251">
        <v>0</v>
      </c>
      <c r="AL34" s="251">
        <v>0</v>
      </c>
      <c r="AM34" s="251">
        <v>0</v>
      </c>
      <c r="AN34" s="252">
        <f t="shared" si="54"/>
        <v>0.76424568999999998</v>
      </c>
      <c r="AO34" s="163"/>
      <c r="AP34" s="172" t="str">
        <f t="shared" si="32"/>
        <v>-</v>
      </c>
      <c r="AQ34" s="172" t="str">
        <f t="shared" si="33"/>
        <v>-</v>
      </c>
      <c r="AR34" s="172" t="str">
        <f t="shared" si="34"/>
        <v>-</v>
      </c>
      <c r="AS34" s="172" t="str">
        <f t="shared" si="35"/>
        <v>-</v>
      </c>
      <c r="AT34" s="172" t="str">
        <f t="shared" si="36"/>
        <v>-</v>
      </c>
      <c r="AU34" s="172" t="str">
        <f t="shared" si="37"/>
        <v>-</v>
      </c>
      <c r="AV34" s="172" t="str">
        <f t="shared" si="38"/>
        <v>-</v>
      </c>
      <c r="AW34" s="172" t="str">
        <f t="shared" si="39"/>
        <v>-</v>
      </c>
      <c r="AX34" s="172" t="str">
        <f t="shared" si="40"/>
        <v>-</v>
      </c>
      <c r="AY34" s="172" t="str">
        <f t="shared" si="41"/>
        <v>-</v>
      </c>
      <c r="AZ34" s="172">
        <f t="shared" si="42"/>
        <v>-26.264785346712259</v>
      </c>
      <c r="BA34" s="172" t="str">
        <f t="shared" si="43"/>
        <v>-</v>
      </c>
      <c r="BB34" s="172" t="str">
        <f t="shared" si="44"/>
        <v>-</v>
      </c>
      <c r="BC34" s="172" t="str">
        <f t="shared" si="45"/>
        <v>-</v>
      </c>
      <c r="BD34" s="172" t="str">
        <f t="shared" si="46"/>
        <v>-</v>
      </c>
      <c r="BE34" s="172" t="str">
        <f t="shared" si="47"/>
        <v>-</v>
      </c>
      <c r="BF34" s="172" t="str">
        <f t="shared" si="48"/>
        <v>-</v>
      </c>
      <c r="BG34" s="173">
        <f t="shared" si="49"/>
        <v>-26.264785346712259</v>
      </c>
      <c r="BH34" s="184"/>
      <c r="BI34" s="165"/>
      <c r="BJ34" s="165"/>
      <c r="BK34" s="166"/>
      <c r="BL34" s="166"/>
      <c r="BM34" s="166"/>
      <c r="BN34" s="166"/>
    </row>
    <row r="35" spans="3:199" ht="14">
      <c r="C35" s="185" t="str">
        <f>IF(Indice_index!$Z$1=1,"Outras transferências de capital","Other capital transfers")</f>
        <v>Other capital transfers</v>
      </c>
      <c r="D35" s="251">
        <v>0</v>
      </c>
      <c r="E35" s="251">
        <v>0</v>
      </c>
      <c r="F35" s="251">
        <v>0</v>
      </c>
      <c r="G35" s="251">
        <v>56.699334190000002</v>
      </c>
      <c r="H35" s="251">
        <v>0</v>
      </c>
      <c r="I35" s="251">
        <v>0.36882501999999984</v>
      </c>
      <c r="J35" s="251">
        <v>0</v>
      </c>
      <c r="K35" s="251">
        <v>-1.1102230246251565E-16</v>
      </c>
      <c r="L35" s="251">
        <v>7.7679999999986649E-3</v>
      </c>
      <c r="M35" s="251">
        <v>1.0709699999999822E-2</v>
      </c>
      <c r="N35" s="251">
        <v>0</v>
      </c>
      <c r="O35" s="251">
        <v>0</v>
      </c>
      <c r="P35" s="251">
        <v>0</v>
      </c>
      <c r="Q35" s="251">
        <v>0.15040000000000009</v>
      </c>
      <c r="R35" s="251">
        <v>0</v>
      </c>
      <c r="S35" s="251">
        <v>0.79919023999999794</v>
      </c>
      <c r="T35" s="251">
        <v>0</v>
      </c>
      <c r="U35" s="252">
        <f t="shared" si="22"/>
        <v>58.036227150000002</v>
      </c>
      <c r="V35" s="163"/>
      <c r="W35" s="346">
        <v>0</v>
      </c>
      <c r="X35" s="346">
        <v>0</v>
      </c>
      <c r="Y35" s="346">
        <v>0</v>
      </c>
      <c r="Z35" s="346">
        <v>62.742064240000005</v>
      </c>
      <c r="AA35" s="346">
        <v>0</v>
      </c>
      <c r="AB35" s="346">
        <v>0.49414033000000224</v>
      </c>
      <c r="AC35" s="346">
        <v>0</v>
      </c>
      <c r="AD35" s="346">
        <v>1.00977798</v>
      </c>
      <c r="AE35" s="346">
        <v>5.1179999999817483E-3</v>
      </c>
      <c r="AF35" s="346">
        <v>0</v>
      </c>
      <c r="AG35" s="346">
        <v>0</v>
      </c>
      <c r="AH35" s="346">
        <v>0</v>
      </c>
      <c r="AI35" s="346">
        <v>0</v>
      </c>
      <c r="AJ35" s="346">
        <v>0.12960000000000016</v>
      </c>
      <c r="AK35" s="346">
        <v>0</v>
      </c>
      <c r="AL35" s="346">
        <v>0.28200000000000003</v>
      </c>
      <c r="AM35" s="346">
        <v>4.1476170000000145E-2</v>
      </c>
      <c r="AN35" s="252">
        <f t="shared" si="54"/>
        <v>64.704176719999978</v>
      </c>
      <c r="AO35" s="163"/>
      <c r="AP35" s="172" t="str">
        <f t="shared" si="32"/>
        <v>-</v>
      </c>
      <c r="AQ35" s="172" t="str">
        <f t="shared" si="33"/>
        <v>-</v>
      </c>
      <c r="AR35" s="172" t="str">
        <f t="shared" si="34"/>
        <v>-</v>
      </c>
      <c r="AS35" s="172">
        <f t="shared" si="35"/>
        <v>-9.6310666905784963</v>
      </c>
      <c r="AT35" s="172" t="str">
        <f t="shared" si="36"/>
        <v>-</v>
      </c>
      <c r="AU35" s="172">
        <f t="shared" si="37"/>
        <v>-25.360267598477915</v>
      </c>
      <c r="AV35" s="172" t="str">
        <f t="shared" si="38"/>
        <v>-</v>
      </c>
      <c r="AW35" s="172">
        <f t="shared" si="39"/>
        <v>-100</v>
      </c>
      <c r="AX35" s="172">
        <f t="shared" si="40"/>
        <v>51.778038296724638</v>
      </c>
      <c r="AY35" s="172" t="str">
        <f t="shared" si="41"/>
        <v>-</v>
      </c>
      <c r="AZ35" s="172" t="str">
        <f t="shared" si="42"/>
        <v>-</v>
      </c>
      <c r="BA35" s="172" t="str">
        <f t="shared" si="43"/>
        <v>-</v>
      </c>
      <c r="BB35" s="172" t="str">
        <f t="shared" si="44"/>
        <v>-</v>
      </c>
      <c r="BC35" s="172">
        <f t="shared" si="45"/>
        <v>16.049382716049308</v>
      </c>
      <c r="BD35" s="172" t="str">
        <f t="shared" si="46"/>
        <v>-</v>
      </c>
      <c r="BE35" s="172">
        <f t="shared" si="47"/>
        <v>183.40079432624037</v>
      </c>
      <c r="BF35" s="172">
        <f t="shared" si="48"/>
        <v>-100</v>
      </c>
      <c r="BG35" s="173">
        <f t="shared" si="49"/>
        <v>-10.305284616872223</v>
      </c>
      <c r="BH35" s="184"/>
      <c r="BI35" s="165"/>
      <c r="BJ35" s="165"/>
      <c r="BK35" s="166"/>
      <c r="BL35" s="166"/>
      <c r="BM35" s="166"/>
      <c r="BN35" s="166"/>
    </row>
    <row r="36" spans="3:199" ht="14">
      <c r="C36" s="186" t="str">
        <f>IF(Indice_index!$Z$1=1,"Outras despesas de capital","Other capital expenditure")</f>
        <v>Other capital expenditure</v>
      </c>
      <c r="D36" s="251">
        <v>0</v>
      </c>
      <c r="E36" s="251">
        <v>0</v>
      </c>
      <c r="F36" s="251">
        <v>0</v>
      </c>
      <c r="G36" s="251">
        <v>0</v>
      </c>
      <c r="H36" s="251">
        <v>0</v>
      </c>
      <c r="I36" s="251">
        <v>0</v>
      </c>
      <c r="J36" s="251">
        <v>0</v>
      </c>
      <c r="K36" s="251">
        <v>0</v>
      </c>
      <c r="L36" s="251">
        <v>0</v>
      </c>
      <c r="M36" s="251">
        <v>6.0476876000000006</v>
      </c>
      <c r="N36" s="251">
        <v>0</v>
      </c>
      <c r="O36" s="251">
        <v>0</v>
      </c>
      <c r="P36" s="251">
        <v>0</v>
      </c>
      <c r="Q36" s="251">
        <v>0</v>
      </c>
      <c r="R36" s="251">
        <v>0</v>
      </c>
      <c r="S36" s="251">
        <v>0</v>
      </c>
      <c r="T36" s="251">
        <v>0</v>
      </c>
      <c r="U36" s="252">
        <f t="shared" si="22"/>
        <v>6.0476876000000006</v>
      </c>
      <c r="V36" s="163"/>
      <c r="W36" s="251">
        <v>0</v>
      </c>
      <c r="X36" s="251">
        <v>0</v>
      </c>
      <c r="Y36" s="251">
        <v>0</v>
      </c>
      <c r="Z36" s="251">
        <v>0</v>
      </c>
      <c r="AA36" s="251">
        <v>0</v>
      </c>
      <c r="AB36" s="251">
        <v>0</v>
      </c>
      <c r="AC36" s="251">
        <v>0</v>
      </c>
      <c r="AD36" s="251">
        <v>0</v>
      </c>
      <c r="AE36" s="251">
        <v>0</v>
      </c>
      <c r="AF36" s="251">
        <v>29.177861550000003</v>
      </c>
      <c r="AG36" s="251">
        <v>0</v>
      </c>
      <c r="AH36" s="251">
        <v>0</v>
      </c>
      <c r="AI36" s="251">
        <v>0</v>
      </c>
      <c r="AJ36" s="251">
        <v>0</v>
      </c>
      <c r="AK36" s="251">
        <v>0</v>
      </c>
      <c r="AL36" s="251">
        <v>0</v>
      </c>
      <c r="AM36" s="251">
        <v>0</v>
      </c>
      <c r="AN36" s="252">
        <f t="shared" si="54"/>
        <v>29.177861550000003</v>
      </c>
      <c r="AO36" s="163"/>
      <c r="AP36" s="172" t="str">
        <f t="shared" si="32"/>
        <v>-</v>
      </c>
      <c r="AQ36" s="172" t="str">
        <f t="shared" si="33"/>
        <v>-</v>
      </c>
      <c r="AR36" s="172" t="str">
        <f t="shared" si="34"/>
        <v>-</v>
      </c>
      <c r="AS36" s="172" t="str">
        <f t="shared" si="35"/>
        <v>-</v>
      </c>
      <c r="AT36" s="172" t="str">
        <f t="shared" si="36"/>
        <v>-</v>
      </c>
      <c r="AU36" s="172" t="str">
        <f t="shared" si="37"/>
        <v>-</v>
      </c>
      <c r="AV36" s="172" t="str">
        <f t="shared" si="38"/>
        <v>-</v>
      </c>
      <c r="AW36" s="172" t="str">
        <f t="shared" si="39"/>
        <v>-</v>
      </c>
      <c r="AX36" s="172" t="str">
        <f t="shared" si="40"/>
        <v>-</v>
      </c>
      <c r="AY36" s="172">
        <f t="shared" si="41"/>
        <v>-79.273026607393717</v>
      </c>
      <c r="AZ36" s="172" t="str">
        <f t="shared" si="42"/>
        <v>-</v>
      </c>
      <c r="BA36" s="172" t="str">
        <f t="shared" si="43"/>
        <v>-</v>
      </c>
      <c r="BB36" s="172" t="str">
        <f t="shared" si="44"/>
        <v>-</v>
      </c>
      <c r="BC36" s="172" t="str">
        <f t="shared" si="45"/>
        <v>-</v>
      </c>
      <c r="BD36" s="172" t="str">
        <f t="shared" si="46"/>
        <v>-</v>
      </c>
      <c r="BE36" s="172" t="str">
        <f t="shared" si="47"/>
        <v>-</v>
      </c>
      <c r="BF36" s="172" t="str">
        <f t="shared" si="48"/>
        <v>-</v>
      </c>
      <c r="BG36" s="173">
        <f t="shared" si="49"/>
        <v>-79.273026607393717</v>
      </c>
      <c r="BH36" s="184"/>
      <c r="BI36" s="165"/>
      <c r="BJ36" s="165"/>
      <c r="BK36" s="166"/>
      <c r="BL36" s="166"/>
      <c r="BM36" s="166"/>
      <c r="BN36" s="166"/>
    </row>
    <row r="37" spans="3:199" ht="14">
      <c r="C37" s="186"/>
      <c r="D37" s="252"/>
      <c r="E37" s="252"/>
      <c r="F37" s="252"/>
      <c r="G37" s="252"/>
      <c r="H37" s="252"/>
      <c r="I37" s="252"/>
      <c r="J37" s="252"/>
      <c r="K37" s="252"/>
      <c r="L37" s="252"/>
      <c r="M37" s="252"/>
      <c r="N37" s="252"/>
      <c r="O37" s="252"/>
      <c r="P37" s="252"/>
      <c r="Q37" s="252"/>
      <c r="R37" s="252"/>
      <c r="S37" s="252"/>
      <c r="T37" s="252"/>
      <c r="U37" s="252"/>
      <c r="V37" s="163"/>
      <c r="W37" s="252"/>
      <c r="X37" s="252"/>
      <c r="Y37" s="252"/>
      <c r="Z37" s="252"/>
      <c r="AA37" s="252"/>
      <c r="AB37" s="252"/>
      <c r="AC37" s="252"/>
      <c r="AD37" s="252"/>
      <c r="AE37" s="252"/>
      <c r="AF37" s="252"/>
      <c r="AG37" s="252"/>
      <c r="AH37" s="252"/>
      <c r="AI37" s="252"/>
      <c r="AJ37" s="252"/>
      <c r="AK37" s="252"/>
      <c r="AL37" s="252"/>
      <c r="AM37" s="252"/>
      <c r="AN37" s="252"/>
      <c r="AO37" s="163"/>
      <c r="AP37" s="172"/>
      <c r="AQ37" s="172"/>
      <c r="AR37" s="172"/>
      <c r="AS37" s="172"/>
      <c r="AT37" s="172"/>
      <c r="AU37" s="172"/>
      <c r="AV37" s="172"/>
      <c r="AW37" s="172"/>
      <c r="AX37" s="172"/>
      <c r="AY37" s="172"/>
      <c r="AZ37" s="172"/>
      <c r="BA37" s="172"/>
      <c r="BB37" s="172"/>
      <c r="BC37" s="172"/>
      <c r="BD37" s="172"/>
      <c r="BE37" s="172"/>
      <c r="BF37" s="172"/>
      <c r="BG37" s="173"/>
      <c r="BH37" s="184"/>
      <c r="BI37" s="165"/>
      <c r="BJ37" s="165"/>
      <c r="BK37" s="166"/>
      <c r="BL37" s="166"/>
      <c r="BM37" s="166"/>
      <c r="BN37" s="166"/>
    </row>
    <row r="38" spans="3:199" s="139" customFormat="1" ht="17.25" customHeight="1">
      <c r="C38" s="187" t="str">
        <f>IF(Indice_index!$Z$1=1,"Despesa efetiva","Effective Expenditure")</f>
        <v>Effective Expenditure</v>
      </c>
      <c r="D38" s="254">
        <f>+D27+D8</f>
        <v>2580.3780859499998</v>
      </c>
      <c r="E38" s="254">
        <f>+E27+E8</f>
        <v>77.35663495999998</v>
      </c>
      <c r="F38" s="254">
        <f t="shared" ref="F38:T38" si="55">+F8+F27</f>
        <v>202.02726318999999</v>
      </c>
      <c r="G38" s="254">
        <f t="shared" si="55"/>
        <v>7661.5642437199995</v>
      </c>
      <c r="H38" s="254">
        <f t="shared" si="55"/>
        <v>1162.3359957300001</v>
      </c>
      <c r="I38" s="254">
        <f t="shared" si="55"/>
        <v>1344.4235142700002</v>
      </c>
      <c r="J38" s="254">
        <f t="shared" si="55"/>
        <v>831.44042651000029</v>
      </c>
      <c r="K38" s="254">
        <f>+K8+K27</f>
        <v>217.55480147999998</v>
      </c>
      <c r="L38" s="254">
        <f>+L8+L27</f>
        <v>1159.0651768199998</v>
      </c>
      <c r="M38" s="254">
        <f>+M8+M27</f>
        <v>4363.1133728700006</v>
      </c>
      <c r="N38" s="254">
        <f>+N8+N27</f>
        <v>9795.0819878199982</v>
      </c>
      <c r="O38" s="254">
        <f t="shared" si="55"/>
        <v>6480.21228238</v>
      </c>
      <c r="P38" s="254">
        <f t="shared" si="55"/>
        <v>574.14708565000001</v>
      </c>
      <c r="Q38" s="254">
        <f t="shared" si="55"/>
        <v>62.068019299999996</v>
      </c>
      <c r="R38" s="254">
        <f t="shared" si="55"/>
        <v>42.639341610000002</v>
      </c>
      <c r="S38" s="254">
        <f t="shared" si="55"/>
        <v>224.06649558000001</v>
      </c>
      <c r="T38" s="254">
        <f t="shared" si="55"/>
        <v>29.696954670000004</v>
      </c>
      <c r="U38" s="254">
        <f>+U8+U27</f>
        <v>36807.171682510001</v>
      </c>
      <c r="V38" s="188"/>
      <c r="W38" s="254">
        <f>+W27+W8</f>
        <v>2543.6794054500001</v>
      </c>
      <c r="X38" s="254">
        <f>+X27+X8</f>
        <v>76.870686169999999</v>
      </c>
      <c r="Y38" s="254">
        <f t="shared" ref="Y38:AM38" si="56">+Y8+Y27</f>
        <v>207.92550279000002</v>
      </c>
      <c r="Z38" s="254">
        <f t="shared" si="56"/>
        <v>7326.4818681999996</v>
      </c>
      <c r="AA38" s="254">
        <f t="shared" si="56"/>
        <v>1211.4864252899999</v>
      </c>
      <c r="AB38" s="254">
        <f t="shared" si="56"/>
        <v>1390.06087069</v>
      </c>
      <c r="AC38" s="254">
        <f t="shared" si="56"/>
        <v>830.02973782999993</v>
      </c>
      <c r="AD38" s="254">
        <f t="shared" si="56"/>
        <v>168.20790728999998</v>
      </c>
      <c r="AE38" s="254">
        <f t="shared" si="56"/>
        <v>1168.7780958200001</v>
      </c>
      <c r="AF38" s="254">
        <f t="shared" si="56"/>
        <v>4454.2879248000008</v>
      </c>
      <c r="AG38" s="254">
        <f t="shared" si="56"/>
        <v>10250.27856388</v>
      </c>
      <c r="AH38" s="254">
        <f t="shared" si="56"/>
        <v>6299.5393486699995</v>
      </c>
      <c r="AI38" s="254">
        <f t="shared" si="56"/>
        <v>439.93223362999998</v>
      </c>
      <c r="AJ38" s="254">
        <f t="shared" si="56"/>
        <v>65.643323359999997</v>
      </c>
      <c r="AK38" s="254">
        <f t="shared" si="56"/>
        <v>38.814438650000007</v>
      </c>
      <c r="AL38" s="254">
        <f t="shared" si="56"/>
        <v>208.34245704000003</v>
      </c>
      <c r="AM38" s="254">
        <f t="shared" si="56"/>
        <v>28.377078259999998</v>
      </c>
      <c r="AN38" s="254">
        <f>+AN8+AN27</f>
        <v>36708.735867819996</v>
      </c>
      <c r="AO38" s="188"/>
      <c r="AP38" s="189">
        <f t="shared" ref="AP38:BG38" si="57">IF(W38=0,"-",IF((D38/W38)&gt;3,"-",((D38-W38)/W38)*100))</f>
        <v>1.4427400096635743</v>
      </c>
      <c r="AQ38" s="189">
        <f t="shared" si="57"/>
        <v>0.63216398111147576</v>
      </c>
      <c r="AR38" s="189">
        <f t="shared" si="57"/>
        <v>-2.8367081098065809</v>
      </c>
      <c r="AS38" s="189">
        <f t="shared" si="57"/>
        <v>4.5735781722793556</v>
      </c>
      <c r="AT38" s="189">
        <f t="shared" si="57"/>
        <v>-4.0570351044779054</v>
      </c>
      <c r="AU38" s="189">
        <f t="shared" si="57"/>
        <v>-3.2831192778879035</v>
      </c>
      <c r="AV38" s="189">
        <f t="shared" si="57"/>
        <v>0.1699564022475166</v>
      </c>
      <c r="AW38" s="189">
        <f t="shared" si="57"/>
        <v>29.336845684027896</v>
      </c>
      <c r="AX38" s="189">
        <f t="shared" si="57"/>
        <v>-0.83103191570216939</v>
      </c>
      <c r="AY38" s="189">
        <f t="shared" si="57"/>
        <v>-2.0468939922444283</v>
      </c>
      <c r="AZ38" s="189">
        <f t="shared" si="57"/>
        <v>-4.4408215174173531</v>
      </c>
      <c r="BA38" s="189">
        <f t="shared" si="57"/>
        <v>2.8680340531271606</v>
      </c>
      <c r="BB38" s="189">
        <f t="shared" si="57"/>
        <v>30.508074144182828</v>
      </c>
      <c r="BC38" s="189">
        <f t="shared" si="57"/>
        <v>-5.4465616257610527</v>
      </c>
      <c r="BD38" s="189">
        <f t="shared" si="57"/>
        <v>9.8543302261566907</v>
      </c>
      <c r="BE38" s="189">
        <f t="shared" si="57"/>
        <v>7.5472079783436046</v>
      </c>
      <c r="BF38" s="189">
        <f t="shared" si="57"/>
        <v>4.651206152750718</v>
      </c>
      <c r="BG38" s="190">
        <f t="shared" si="57"/>
        <v>0.26815364888742127</v>
      </c>
      <c r="BH38" s="184"/>
      <c r="BI38" s="165"/>
      <c r="BJ38" s="165"/>
      <c r="BK38" s="166"/>
      <c r="BL38" s="166"/>
      <c r="BM38" s="166"/>
      <c r="BN38" s="166"/>
      <c r="BO38" s="153"/>
      <c r="BP38" s="153"/>
      <c r="BQ38" s="153"/>
      <c r="BR38" s="152"/>
      <c r="BS38" s="152"/>
      <c r="BT38" s="152"/>
      <c r="BU38" s="152"/>
      <c r="BV38" s="152"/>
      <c r="BW38" s="152"/>
      <c r="BX38" s="137"/>
      <c r="BY38" s="137"/>
      <c r="BZ38" s="137"/>
      <c r="CA38" s="137"/>
      <c r="CB38" s="137"/>
      <c r="CC38" s="137"/>
      <c r="CD38" s="137"/>
      <c r="CE38" s="137"/>
      <c r="CF38" s="137"/>
      <c r="CG38" s="137"/>
      <c r="CH38" s="137"/>
      <c r="CI38" s="137"/>
      <c r="CJ38" s="137"/>
      <c r="CK38" s="137"/>
      <c r="CL38" s="137"/>
      <c r="CM38" s="137"/>
      <c r="CN38" s="137"/>
      <c r="CO38" s="137"/>
      <c r="CP38" s="137"/>
      <c r="CQ38" s="137"/>
      <c r="CR38" s="137"/>
      <c r="CS38" s="137"/>
      <c r="CT38" s="137"/>
      <c r="CU38" s="137"/>
      <c r="CV38" s="137"/>
      <c r="CW38" s="137"/>
      <c r="CX38" s="137"/>
      <c r="CY38" s="137"/>
      <c r="CZ38" s="137"/>
      <c r="DA38" s="137"/>
      <c r="DB38" s="137"/>
      <c r="DC38" s="137"/>
      <c r="DD38" s="137"/>
      <c r="DE38" s="137"/>
      <c r="DF38" s="137"/>
      <c r="DG38" s="137"/>
      <c r="DH38" s="137"/>
      <c r="DI38" s="137"/>
      <c r="DJ38" s="137"/>
      <c r="DK38" s="137"/>
      <c r="DL38" s="137"/>
      <c r="DM38" s="137"/>
      <c r="DN38" s="137"/>
      <c r="DO38" s="137"/>
      <c r="DP38" s="137"/>
      <c r="DQ38" s="137"/>
      <c r="DR38" s="137"/>
      <c r="DS38" s="137"/>
      <c r="DT38" s="137"/>
      <c r="DU38" s="137"/>
      <c r="DV38" s="137"/>
      <c r="DW38" s="137"/>
      <c r="DX38" s="137"/>
      <c r="DY38" s="137"/>
      <c r="DZ38" s="137"/>
      <c r="EA38" s="137"/>
      <c r="EB38" s="137"/>
      <c r="EC38" s="137"/>
      <c r="ED38" s="137"/>
      <c r="EE38" s="137"/>
      <c r="EF38" s="137"/>
      <c r="EG38" s="137"/>
      <c r="EH38" s="137"/>
      <c r="EI38" s="137"/>
      <c r="EJ38" s="137"/>
      <c r="EK38" s="137"/>
      <c r="EL38" s="137"/>
      <c r="EM38" s="137"/>
      <c r="EN38" s="137"/>
      <c r="EO38" s="137"/>
      <c r="EP38" s="137"/>
      <c r="EQ38" s="137"/>
      <c r="ER38" s="137"/>
      <c r="ES38" s="137"/>
      <c r="ET38" s="137"/>
      <c r="EU38" s="137"/>
      <c r="EV38" s="137"/>
      <c r="EW38" s="137"/>
      <c r="EX38" s="137"/>
      <c r="EY38" s="137"/>
      <c r="EZ38" s="137"/>
      <c r="FA38" s="137"/>
      <c r="FB38" s="137"/>
      <c r="FC38" s="137"/>
      <c r="FD38" s="137"/>
      <c r="FE38" s="137"/>
      <c r="FF38" s="137"/>
      <c r="FG38" s="137"/>
      <c r="FH38" s="137"/>
      <c r="FI38" s="137"/>
      <c r="FJ38" s="137"/>
      <c r="FK38" s="137"/>
      <c r="FL38" s="137"/>
      <c r="FM38" s="137"/>
      <c r="FN38" s="137"/>
      <c r="FO38" s="137"/>
      <c r="FP38" s="137"/>
      <c r="FQ38" s="137"/>
      <c r="FR38" s="137"/>
      <c r="FS38" s="137"/>
      <c r="FT38" s="137"/>
      <c r="FU38" s="137"/>
      <c r="FV38" s="137"/>
      <c r="FW38" s="137"/>
      <c r="FX38" s="137"/>
      <c r="FY38" s="137"/>
      <c r="FZ38" s="137"/>
      <c r="GA38" s="137"/>
      <c r="GB38" s="137"/>
      <c r="GC38" s="137"/>
      <c r="GD38" s="137"/>
      <c r="GE38" s="137"/>
      <c r="GF38" s="137"/>
      <c r="GG38" s="137"/>
      <c r="GH38" s="137"/>
      <c r="GI38" s="137"/>
      <c r="GJ38" s="137"/>
      <c r="GK38" s="137"/>
      <c r="GL38" s="137"/>
      <c r="GM38" s="137"/>
      <c r="GN38" s="137"/>
      <c r="GO38" s="137"/>
      <c r="GP38" s="137"/>
      <c r="GQ38" s="137"/>
    </row>
    <row r="39" spans="3:199" ht="14">
      <c r="C39" s="191" t="str">
        <f>IF(Indice_index!$Z$1=1,"   Por memória:","   Memo item:")</f>
        <v xml:space="preserve">   Memo item:</v>
      </c>
      <c r="D39" s="252"/>
      <c r="E39" s="252"/>
      <c r="F39" s="252"/>
      <c r="G39" s="252"/>
      <c r="H39" s="252"/>
      <c r="I39" s="252"/>
      <c r="J39" s="252"/>
      <c r="K39" s="252"/>
      <c r="L39" s="252"/>
      <c r="M39" s="252"/>
      <c r="N39" s="252"/>
      <c r="O39" s="252"/>
      <c r="P39" s="252"/>
      <c r="Q39" s="252"/>
      <c r="R39" s="252"/>
      <c r="S39" s="252"/>
      <c r="T39" s="252"/>
      <c r="U39" s="252"/>
      <c r="V39" s="163"/>
      <c r="W39" s="252"/>
      <c r="X39" s="252"/>
      <c r="Y39" s="252"/>
      <c r="Z39" s="252"/>
      <c r="AA39" s="252"/>
      <c r="AB39" s="252"/>
      <c r="AC39" s="252"/>
      <c r="AD39" s="252"/>
      <c r="AE39" s="252"/>
      <c r="AF39" s="252"/>
      <c r="AG39" s="252"/>
      <c r="AH39" s="252"/>
      <c r="AI39" s="252"/>
      <c r="AJ39" s="252"/>
      <c r="AK39" s="252"/>
      <c r="AL39" s="252"/>
      <c r="AM39" s="252"/>
      <c r="AN39" s="252"/>
      <c r="AO39" s="163"/>
      <c r="AP39" s="172"/>
      <c r="AQ39" s="172"/>
      <c r="AR39" s="172"/>
      <c r="AS39" s="172"/>
      <c r="AT39" s="172"/>
      <c r="AU39" s="172"/>
      <c r="AV39" s="172"/>
      <c r="AW39" s="172"/>
      <c r="AX39" s="172"/>
      <c r="AY39" s="172"/>
      <c r="AZ39" s="172"/>
      <c r="BA39" s="172"/>
      <c r="BB39" s="172"/>
      <c r="BC39" s="172"/>
      <c r="BD39" s="172"/>
      <c r="BE39" s="172"/>
      <c r="BF39" s="172"/>
      <c r="BG39" s="192"/>
      <c r="BH39" s="184"/>
      <c r="BI39" s="165"/>
      <c r="BJ39" s="165"/>
      <c r="BK39" s="166"/>
      <c r="BL39" s="166"/>
      <c r="BM39" s="166"/>
      <c r="BN39" s="166"/>
    </row>
    <row r="40" spans="3:199" ht="14">
      <c r="C40" s="193" t="str">
        <f>IF(Indice_index!$Z$1=1,"Ativos financeiros","Financial assets")</f>
        <v>Financial assets</v>
      </c>
      <c r="D40" s="251">
        <v>0</v>
      </c>
      <c r="E40" s="251">
        <v>0</v>
      </c>
      <c r="F40" s="251">
        <v>0</v>
      </c>
      <c r="G40" s="251">
        <v>2071.8595523700001</v>
      </c>
      <c r="H40" s="251">
        <v>0</v>
      </c>
      <c r="I40" s="251">
        <v>0</v>
      </c>
      <c r="J40" s="251">
        <v>0</v>
      </c>
      <c r="K40" s="251">
        <v>0</v>
      </c>
      <c r="L40" s="251">
        <v>0</v>
      </c>
      <c r="M40" s="251">
        <v>0</v>
      </c>
      <c r="N40" s="251">
        <v>0</v>
      </c>
      <c r="O40" s="251">
        <v>0</v>
      </c>
      <c r="P40" s="251">
        <v>0</v>
      </c>
      <c r="Q40" s="251">
        <v>0</v>
      </c>
      <c r="R40" s="251">
        <v>0</v>
      </c>
      <c r="S40" s="251">
        <v>0</v>
      </c>
      <c r="T40" s="251">
        <v>0</v>
      </c>
      <c r="U40" s="252">
        <f>SUM(D40:T40)</f>
        <v>2071.8595523700001</v>
      </c>
      <c r="V40" s="194"/>
      <c r="W40" s="251">
        <v>0</v>
      </c>
      <c r="X40" s="251">
        <v>0</v>
      </c>
      <c r="Y40" s="251">
        <v>0</v>
      </c>
      <c r="Z40" s="251">
        <v>4976.63867312</v>
      </c>
      <c r="AA40" s="251">
        <v>0</v>
      </c>
      <c r="AB40" s="251">
        <v>0</v>
      </c>
      <c r="AC40" s="251">
        <v>0</v>
      </c>
      <c r="AD40" s="251">
        <v>0</v>
      </c>
      <c r="AE40" s="251">
        <v>0</v>
      </c>
      <c r="AF40" s="251">
        <v>0</v>
      </c>
      <c r="AG40" s="251">
        <v>0</v>
      </c>
      <c r="AH40" s="251">
        <v>0</v>
      </c>
      <c r="AI40" s="251">
        <v>0</v>
      </c>
      <c r="AJ40" s="251">
        <v>0</v>
      </c>
      <c r="AK40" s="251">
        <v>0</v>
      </c>
      <c r="AL40" s="251">
        <v>0</v>
      </c>
      <c r="AM40" s="251">
        <v>0</v>
      </c>
      <c r="AN40" s="252">
        <f>SUM(W40:AM40)</f>
        <v>4976.63867312</v>
      </c>
      <c r="AO40" s="194"/>
      <c r="AP40" s="172"/>
      <c r="AQ40" s="172"/>
      <c r="AR40" s="172"/>
      <c r="AS40" s="172"/>
      <c r="AT40" s="172"/>
      <c r="AU40" s="172"/>
      <c r="AV40" s="172"/>
      <c r="AW40" s="172"/>
      <c r="AX40" s="172"/>
      <c r="AY40" s="172"/>
      <c r="AZ40" s="172"/>
      <c r="BA40" s="172"/>
      <c r="BB40" s="172"/>
      <c r="BC40" s="172"/>
      <c r="BD40" s="172"/>
      <c r="BE40" s="172"/>
      <c r="BF40" s="172"/>
      <c r="BG40" s="192"/>
      <c r="BH40" s="184"/>
      <c r="BI40" s="165"/>
      <c r="BJ40" s="165"/>
      <c r="BK40" s="166"/>
      <c r="BL40" s="166"/>
      <c r="BM40" s="166"/>
      <c r="BN40" s="166"/>
    </row>
    <row r="41" spans="3:199" ht="14">
      <c r="C41" s="193" t="str">
        <f>IF(Indice_index!$Z$1=1,"Passivos financeiros","Financial liabilities")</f>
        <v>Financial liabilities</v>
      </c>
      <c r="D41" s="251">
        <v>0</v>
      </c>
      <c r="E41" s="251">
        <v>0</v>
      </c>
      <c r="F41" s="251">
        <v>0</v>
      </c>
      <c r="G41" s="251">
        <v>44908.271000000001</v>
      </c>
      <c r="H41" s="251">
        <v>0</v>
      </c>
      <c r="I41" s="251">
        <v>0</v>
      </c>
      <c r="J41" s="251">
        <v>0</v>
      </c>
      <c r="K41" s="251">
        <v>0</v>
      </c>
      <c r="L41" s="251">
        <v>0</v>
      </c>
      <c r="M41" s="251">
        <v>0</v>
      </c>
      <c r="N41" s="251">
        <v>0</v>
      </c>
      <c r="O41" s="251">
        <v>0</v>
      </c>
      <c r="P41" s="251">
        <v>0</v>
      </c>
      <c r="Q41" s="251">
        <v>0</v>
      </c>
      <c r="R41" s="251">
        <v>0</v>
      </c>
      <c r="S41" s="251">
        <v>0</v>
      </c>
      <c r="T41" s="251">
        <v>0</v>
      </c>
      <c r="U41" s="252">
        <f>SUM(D41:T41)</f>
        <v>44908.271000000001</v>
      </c>
      <c r="V41" s="194"/>
      <c r="W41" s="251">
        <v>0</v>
      </c>
      <c r="X41" s="251">
        <v>0</v>
      </c>
      <c r="Y41" s="251">
        <v>0</v>
      </c>
      <c r="Z41" s="251">
        <v>35057.695</v>
      </c>
      <c r="AA41" s="251">
        <v>0</v>
      </c>
      <c r="AB41" s="251">
        <v>0</v>
      </c>
      <c r="AC41" s="251">
        <v>0</v>
      </c>
      <c r="AD41" s="251">
        <v>0</v>
      </c>
      <c r="AE41" s="251">
        <v>0</v>
      </c>
      <c r="AF41" s="251">
        <v>0</v>
      </c>
      <c r="AG41" s="251">
        <v>0</v>
      </c>
      <c r="AH41" s="251">
        <v>0</v>
      </c>
      <c r="AI41" s="251">
        <v>0</v>
      </c>
      <c r="AJ41" s="251">
        <v>0</v>
      </c>
      <c r="AK41" s="251">
        <v>0</v>
      </c>
      <c r="AL41" s="251">
        <v>0</v>
      </c>
      <c r="AM41" s="251">
        <v>0</v>
      </c>
      <c r="AN41" s="252">
        <f>SUM(W41:AM41)</f>
        <v>35057.695</v>
      </c>
      <c r="AO41" s="194"/>
      <c r="AP41" s="172"/>
      <c r="AQ41" s="172"/>
      <c r="AR41" s="172"/>
      <c r="AS41" s="172"/>
      <c r="AT41" s="172"/>
      <c r="AU41" s="172"/>
      <c r="AV41" s="172"/>
      <c r="AW41" s="172"/>
      <c r="AX41" s="172"/>
      <c r="AY41" s="172"/>
      <c r="AZ41" s="172"/>
      <c r="BA41" s="172"/>
      <c r="BB41" s="172"/>
      <c r="BC41" s="172"/>
      <c r="BD41" s="172"/>
      <c r="BE41" s="172"/>
      <c r="BF41" s="172"/>
      <c r="BG41" s="192"/>
      <c r="BH41" s="184"/>
      <c r="BI41" s="165"/>
      <c r="BJ41" s="165"/>
      <c r="BK41" s="166"/>
      <c r="BL41" s="166"/>
      <c r="BM41" s="166"/>
      <c r="BN41" s="166"/>
    </row>
    <row r="42" spans="3:199" s="323" customFormat="1" ht="23.25" customHeight="1">
      <c r="C42" s="329" t="str">
        <f>IF(Indice_index!$Z$1=1,"Transf. para o Fundo de Regularização da Dívida Pública","Public Debt Settlement Fund transfers")</f>
        <v>Public Debt Settlement Fund transfers</v>
      </c>
      <c r="D42" s="324">
        <v>0</v>
      </c>
      <c r="E42" s="324">
        <v>0</v>
      </c>
      <c r="F42" s="324">
        <v>0</v>
      </c>
      <c r="G42" s="324">
        <v>0</v>
      </c>
      <c r="H42" s="324">
        <v>0</v>
      </c>
      <c r="I42" s="324">
        <v>0</v>
      </c>
      <c r="J42" s="324">
        <v>0</v>
      </c>
      <c r="K42" s="324"/>
      <c r="L42" s="324"/>
      <c r="M42" s="324"/>
      <c r="N42" s="324"/>
      <c r="O42" s="324">
        <v>0</v>
      </c>
      <c r="P42" s="324">
        <v>0</v>
      </c>
      <c r="Q42" s="324">
        <v>0</v>
      </c>
      <c r="R42" s="324">
        <v>0</v>
      </c>
      <c r="S42" s="324">
        <v>0</v>
      </c>
      <c r="T42" s="324">
        <v>0</v>
      </c>
      <c r="U42" s="324">
        <f>SUM(D42:T42)</f>
        <v>0</v>
      </c>
      <c r="V42" s="326"/>
      <c r="W42" s="324">
        <v>0</v>
      </c>
      <c r="X42" s="324">
        <v>0</v>
      </c>
      <c r="Y42" s="324">
        <v>0</v>
      </c>
      <c r="Z42" s="324">
        <v>0</v>
      </c>
      <c r="AA42" s="324">
        <v>0</v>
      </c>
      <c r="AB42" s="324">
        <v>0</v>
      </c>
      <c r="AC42" s="324">
        <v>0</v>
      </c>
      <c r="AD42" s="324"/>
      <c r="AE42" s="324"/>
      <c r="AF42" s="324"/>
      <c r="AG42" s="324"/>
      <c r="AH42" s="324">
        <v>0</v>
      </c>
      <c r="AI42" s="324">
        <v>0</v>
      </c>
      <c r="AJ42" s="324">
        <v>0</v>
      </c>
      <c r="AK42" s="324">
        <v>0</v>
      </c>
      <c r="AL42" s="324">
        <v>0</v>
      </c>
      <c r="AM42" s="324">
        <v>0</v>
      </c>
      <c r="AN42" s="324">
        <f>SUM(W42:AM42)</f>
        <v>0</v>
      </c>
      <c r="AO42" s="326"/>
      <c r="AP42" s="327"/>
      <c r="AQ42" s="327"/>
      <c r="AR42" s="327"/>
      <c r="AS42" s="327"/>
      <c r="AT42" s="327"/>
      <c r="AU42" s="327"/>
      <c r="AV42" s="327"/>
      <c r="AW42" s="327"/>
      <c r="AX42" s="327"/>
      <c r="AY42" s="327"/>
      <c r="AZ42" s="327"/>
      <c r="BA42" s="327"/>
      <c r="BB42" s="327"/>
      <c r="BC42" s="327"/>
      <c r="BD42" s="327"/>
      <c r="BE42" s="327"/>
      <c r="BF42" s="327"/>
      <c r="BG42" s="328"/>
      <c r="BH42" s="318"/>
      <c r="BI42" s="319"/>
      <c r="BJ42" s="319"/>
      <c r="BK42" s="320"/>
      <c r="BL42" s="320"/>
      <c r="BM42" s="320"/>
      <c r="BN42" s="320"/>
      <c r="BO42" s="321"/>
      <c r="BP42" s="321"/>
      <c r="BQ42" s="321"/>
      <c r="BR42" s="322"/>
      <c r="BS42" s="322"/>
      <c r="BT42" s="322"/>
      <c r="BU42" s="322"/>
      <c r="BV42" s="322"/>
      <c r="BW42" s="322"/>
    </row>
    <row r="43" spans="3:199" s="140" customFormat="1" ht="14">
      <c r="C43" s="203"/>
      <c r="E43" s="195"/>
      <c r="F43" s="196"/>
      <c r="G43" s="195"/>
      <c r="H43" s="195"/>
      <c r="I43" s="196"/>
      <c r="J43" s="195"/>
      <c r="K43" s="195"/>
      <c r="L43" s="195"/>
      <c r="M43" s="195"/>
      <c r="N43" s="195"/>
      <c r="O43" s="195"/>
      <c r="P43" s="195"/>
      <c r="Q43" s="195"/>
      <c r="R43" s="195"/>
      <c r="S43" s="197"/>
      <c r="T43" s="198"/>
      <c r="U43"/>
      <c r="V43" s="199"/>
      <c r="W43" s="199"/>
      <c r="X43" s="199"/>
      <c r="Y43" s="199"/>
      <c r="Z43" s="199"/>
      <c r="AA43" s="199"/>
      <c r="AB43" s="199"/>
      <c r="AC43" s="199"/>
      <c r="AD43" s="199"/>
      <c r="AE43" s="199"/>
      <c r="AF43" s="199"/>
      <c r="AG43" s="199"/>
      <c r="AH43" s="199"/>
      <c r="AI43" s="199"/>
      <c r="AJ43" s="199"/>
      <c r="AK43" s="200"/>
      <c r="AL43" s="200"/>
      <c r="AM43" s="200"/>
      <c r="AN43" s="199"/>
      <c r="AO43" s="199"/>
      <c r="AP43" s="199"/>
      <c r="AQ43" s="195"/>
      <c r="AR43" s="195"/>
      <c r="AS43" s="195"/>
      <c r="AT43" s="195"/>
      <c r="AU43" s="195"/>
      <c r="AV43" s="195"/>
      <c r="AW43" s="195"/>
      <c r="AX43" s="195"/>
      <c r="AY43" s="195"/>
      <c r="AZ43" s="195"/>
      <c r="BA43" s="195"/>
      <c r="BB43" s="195"/>
      <c r="BC43" s="195"/>
      <c r="BD43" s="195"/>
      <c r="BE43" s="195"/>
      <c r="BF43" s="195"/>
      <c r="BG43" s="195"/>
      <c r="BH43" s="201"/>
      <c r="BI43" s="201"/>
      <c r="BJ43" s="201"/>
      <c r="BK43" s="202"/>
      <c r="BL43" s="202"/>
      <c r="BM43" s="202"/>
      <c r="BN43" s="202"/>
      <c r="BO43" s="155"/>
      <c r="BP43" s="155"/>
      <c r="BQ43" s="155"/>
      <c r="BR43" s="155"/>
      <c r="BS43" s="155"/>
      <c r="BT43" s="155"/>
      <c r="BU43" s="155"/>
      <c r="BV43" s="155"/>
      <c r="BW43" s="155"/>
    </row>
    <row r="44" spans="3:199">
      <c r="T44" s="141"/>
      <c r="AN44" s="239"/>
    </row>
    <row r="45" spans="3:199">
      <c r="T45" s="141"/>
    </row>
    <row r="46" spans="3:199">
      <c r="T46" s="141"/>
    </row>
    <row r="47" spans="3:199">
      <c r="T47" s="141"/>
      <c r="AN47" s="239"/>
    </row>
    <row r="48" spans="3:199">
      <c r="D48" s="239"/>
      <c r="E48" s="239"/>
      <c r="F48" s="239"/>
      <c r="G48" s="239"/>
      <c r="H48" s="239"/>
      <c r="I48" s="239"/>
      <c r="J48" s="239"/>
      <c r="K48" s="239"/>
      <c r="L48" s="239"/>
      <c r="M48" s="239"/>
      <c r="N48" s="239"/>
      <c r="O48" s="239"/>
      <c r="P48" s="239"/>
      <c r="Q48" s="239"/>
      <c r="R48" s="239"/>
      <c r="S48" s="239"/>
      <c r="T48" s="239"/>
      <c r="U48" s="239"/>
      <c r="V48" s="239"/>
    </row>
    <row r="49" spans="20:20">
      <c r="T49" s="141"/>
    </row>
    <row r="50" spans="20:20">
      <c r="T50" s="141"/>
    </row>
    <row r="51" spans="20:20">
      <c r="T51" s="141"/>
    </row>
    <row r="52" spans="20:20">
      <c r="T52" s="141"/>
    </row>
    <row r="53" spans="20:20">
      <c r="T53" s="141"/>
    </row>
    <row r="54" spans="20:20">
      <c r="T54" s="141"/>
    </row>
    <row r="55" spans="20:20">
      <c r="T55" s="141"/>
    </row>
    <row r="56" spans="20:20">
      <c r="T56" s="141"/>
    </row>
    <row r="57" spans="20:20">
      <c r="T57" s="141"/>
    </row>
    <row r="58" spans="20:20">
      <c r="T58" s="141"/>
    </row>
    <row r="59" spans="20:20">
      <c r="T59" s="141"/>
    </row>
    <row r="60" spans="20:20">
      <c r="T60" s="141"/>
    </row>
    <row r="61" spans="20:20">
      <c r="T61" s="141"/>
    </row>
    <row r="62" spans="20:20">
      <c r="T62" s="141"/>
    </row>
    <row r="63" spans="20:20">
      <c r="T63" s="141"/>
    </row>
    <row r="64" spans="20:20">
      <c r="T64" s="141"/>
    </row>
    <row r="65" spans="20:20">
      <c r="T65" s="141"/>
    </row>
    <row r="66" spans="20:20">
      <c r="T66" s="141"/>
    </row>
    <row r="67" spans="20:20">
      <c r="T67" s="141"/>
    </row>
    <row r="68" spans="20:20">
      <c r="T68" s="141"/>
    </row>
    <row r="69" spans="20:20">
      <c r="T69" s="141"/>
    </row>
    <row r="70" spans="20:20">
      <c r="T70" s="141"/>
    </row>
    <row r="71" spans="20:20">
      <c r="T71" s="141"/>
    </row>
    <row r="72" spans="20:20">
      <c r="T72" s="141"/>
    </row>
    <row r="73" spans="20:20">
      <c r="T73" s="141"/>
    </row>
    <row r="74" spans="20:20">
      <c r="T74" s="141"/>
    </row>
    <row r="75" spans="20:20">
      <c r="T75" s="141"/>
    </row>
  </sheetData>
  <mergeCells count="4">
    <mergeCell ref="D6:U6"/>
    <mergeCell ref="AP6:BG6"/>
    <mergeCell ref="W6:AN6"/>
    <mergeCell ref="C2:BG2"/>
  </mergeCells>
  <printOptions horizontalCentered="1" verticalCentered="1"/>
  <pageMargins left="0.35433070866141736" right="0.35433070866141736" top="0.39370078740157483" bottom="0.39370078740157483" header="0.39370078740157483" footer="0.39370078740157483"/>
  <pageSetup paperSize="256" scale="54" fitToWidth="2" orientation="landscape"/>
  <headerFooter alignWithMargins="0">
    <oddHeader>&amp;L&amp;G</oddHeader>
  </headerFooter>
  <colBreaks count="2" manualBreakCount="2">
    <brk id="21" min="1" max="45" man="1"/>
    <brk id="41" min="1" max="45" man="1"/>
  </colBreaks>
  <ignoredErrors>
    <ignoredError sqref="O6:P6 R6:V6 E6:J6" numberStoredAsText="1"/>
    <ignoredError sqref="U35:U36 D13:J13 D26:J27 D18:J18 D29:J30 P27:T27 P13:S13 O26:T26 P18:T18 O29:T30 V13:V32 U33:V34 K17:U17 W13:AM13 U31:U32 K29:N30 U29:U30 U19:U25 K18:O18 U18 U28 K26:N26 U26 K13:O13 T13 K27:O27 U14:U16 W17:AM18 AO14:AR16 W26:AM27 AO19:AR25 W29:AR30 AN28:AR28 AN33:AR34 AN31:AR32 AO13:AR13 AO17:AR18 AO26:AR27" formulaRange="1"/>
    <ignoredError sqref="AN19:AN25 AN26:AN27 AN14:AN16 AN17:AN18 AN13 U13 U27" formula="1" formulaRange="1"/>
  </ignoredErrors>
  <drawing r:id="rId1"/>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D40"/>
  <sheetViews>
    <sheetView showGridLines="0" zoomScale="90" zoomScaleNormal="90" workbookViewId="0">
      <selection activeCell="Y24" sqref="Y24"/>
    </sheetView>
  </sheetViews>
  <sheetFormatPr baseColWidth="10" defaultColWidth="9.1640625" defaultRowHeight="14"/>
  <cols>
    <col min="1" max="1" width="4.33203125" style="114" customWidth="1"/>
    <col min="2" max="2" width="4.1640625" style="114" customWidth="1"/>
    <col min="3" max="3" width="5.1640625" style="114" customWidth="1"/>
    <col min="4" max="4" width="9.6640625" style="114" bestFit="1" customWidth="1"/>
    <col min="5" max="5" width="14" style="114" customWidth="1"/>
    <col min="6" max="6" width="10.5" style="114" bestFit="1" customWidth="1"/>
    <col min="7" max="7" width="11.83203125" style="114" customWidth="1"/>
    <col min="8" max="8" width="2.33203125" style="114" customWidth="1"/>
    <col min="9" max="9" width="9.33203125" style="114" customWidth="1"/>
    <col min="10" max="10" width="9.5" style="114" bestFit="1" customWidth="1"/>
    <col min="11" max="11" width="11.83203125" style="114" customWidth="1"/>
    <col min="12" max="12" width="11" style="114" customWidth="1"/>
    <col min="13" max="13" width="13.33203125" style="114" customWidth="1"/>
    <col min="14" max="14" width="2.1640625" style="114" customWidth="1"/>
    <col min="15" max="15" width="13.1640625" style="114" customWidth="1"/>
    <col min="16" max="16" width="9.83203125" style="114" customWidth="1"/>
    <col min="17" max="17" width="13.6640625" style="114" customWidth="1"/>
    <col min="18" max="19" width="11.5" style="114" customWidth="1"/>
    <col min="20" max="20" width="2.33203125" style="114" customWidth="1"/>
    <col min="21" max="21" width="10.33203125" style="114" customWidth="1"/>
    <col min="22" max="22" width="14.5" style="114" customWidth="1"/>
    <col min="23" max="23" width="13.6640625" style="114" customWidth="1"/>
    <col min="24" max="24" width="2" style="114" customWidth="1"/>
    <col min="25" max="25" width="18.33203125" style="118" customWidth="1"/>
    <col min="26" max="26" width="11.83203125" style="114" customWidth="1"/>
    <col min="27" max="16384" width="9.1640625" style="114"/>
  </cols>
  <sheetData>
    <row r="2" spans="2:30" s="106" customFormat="1" ht="20" thickBot="1">
      <c r="B2" s="103"/>
      <c r="C2" s="135" t="str">
        <f>IF(Indice_index!$Z$1=1,"5 - Despesa dos Serviços e Fundos Autónomos - Classificação Funcional","5 -  Autonomous Services and Funds expenditure - Functional Classification")</f>
        <v>5 -  Autonomous Services and Funds expenditure - Functional Classification</v>
      </c>
      <c r="D2" s="104"/>
      <c r="E2" s="104"/>
      <c r="F2" s="104"/>
      <c r="G2" s="104"/>
      <c r="H2" s="104"/>
      <c r="I2" s="104"/>
      <c r="J2" s="104"/>
      <c r="K2" s="104"/>
      <c r="L2" s="104"/>
      <c r="M2" s="104"/>
      <c r="N2" s="104"/>
      <c r="O2" s="104"/>
      <c r="P2" s="104"/>
      <c r="Q2" s="104"/>
      <c r="R2" s="104"/>
      <c r="S2" s="104"/>
      <c r="T2" s="104"/>
      <c r="U2" s="104"/>
      <c r="V2" s="104"/>
      <c r="W2" s="105"/>
      <c r="Y2" s="105"/>
      <c r="AA2" s="107"/>
      <c r="AB2" s="108"/>
      <c r="AC2" s="107"/>
      <c r="AD2" s="109"/>
    </row>
    <row r="4" spans="2:30" s="110" customFormat="1">
      <c r="C4" s="112"/>
      <c r="D4" s="112"/>
      <c r="E4" s="128"/>
      <c r="F4" s="128"/>
      <c r="G4" s="128"/>
      <c r="H4" s="128"/>
      <c r="I4" s="130"/>
      <c r="J4" s="131"/>
      <c r="K4" s="128"/>
      <c r="L4" s="128"/>
      <c r="M4" s="132"/>
      <c r="N4" s="132"/>
      <c r="O4" s="128"/>
      <c r="P4" s="128"/>
      <c r="Q4" s="128"/>
      <c r="R4" s="128"/>
      <c r="S4" s="128"/>
      <c r="T4" s="128"/>
      <c r="U4" s="128"/>
      <c r="V4" s="128"/>
      <c r="W4" s="134"/>
      <c r="X4" s="108"/>
      <c r="Y4" s="134" t="str">
        <f>IF(Indice_index!$Z$1=1,"€ Milhões","€ Millions")</f>
        <v>€ Millions</v>
      </c>
      <c r="Z4" s="108"/>
    </row>
    <row r="5" spans="2:30" s="110" customFormat="1" ht="15.75" customHeight="1">
      <c r="C5" s="210"/>
      <c r="D5" s="210"/>
      <c r="E5" s="394" t="str">
        <f>IF(Indice_index!$Z$1=1,"Funções Gerais de Soberania","Sovereign General Functions")</f>
        <v>Sovereign General Functions</v>
      </c>
      <c r="F5" s="394" t="s">
        <v>11</v>
      </c>
      <c r="G5" s="394" t="s">
        <v>11</v>
      </c>
      <c r="H5" s="211"/>
      <c r="I5" s="395" t="str">
        <f>IF(Indice_index!$Z$1=1,"Funções Sociais","Social Functions")</f>
        <v>Social Functions</v>
      </c>
      <c r="J5" s="395" t="s">
        <v>12</v>
      </c>
      <c r="K5" s="395" t="s">
        <v>12</v>
      </c>
      <c r="L5" s="395" t="s">
        <v>12</v>
      </c>
      <c r="M5" s="395" t="s">
        <v>12</v>
      </c>
      <c r="N5" s="212"/>
      <c r="O5" s="395" t="str">
        <f>IF(Indice_index!$Z$1=1,"Funções Económicas","Economic Functions")</f>
        <v>Economic Functions</v>
      </c>
      <c r="P5" s="395" t="s">
        <v>13</v>
      </c>
      <c r="Q5" s="395" t="s">
        <v>13</v>
      </c>
      <c r="R5" s="395" t="s">
        <v>13</v>
      </c>
      <c r="S5" s="395" t="s">
        <v>13</v>
      </c>
      <c r="T5" s="212"/>
      <c r="U5" s="395" t="str">
        <f>IF(Indice_index!$Z$1=1,"Outras Funções","Other Functions")</f>
        <v>Other Functions</v>
      </c>
      <c r="V5" s="395" t="s">
        <v>14</v>
      </c>
      <c r="W5" s="395" t="s">
        <v>14</v>
      </c>
      <c r="X5" s="108"/>
      <c r="Y5" s="216"/>
    </row>
    <row r="6" spans="2:30" s="116" customFormat="1" ht="69.5" customHeight="1">
      <c r="B6" s="113"/>
      <c r="C6" s="206"/>
      <c r="D6" s="206"/>
      <c r="E6" s="209" t="str">
        <f>IF(Indice_index!$Z$1=1,"Serviços Gerais da Administração Pública","General Public Services")</f>
        <v>General Public Services</v>
      </c>
      <c r="F6" s="209" t="str">
        <f>IF(Indice_index!$Z$1=1,"Defesa Nacional","National Defense")</f>
        <v>National Defense</v>
      </c>
      <c r="G6" s="209" t="str">
        <f>IF(Indice_index!$Z$1=1,"Segurança e Ordem Públicas","Public Order and Safety")</f>
        <v>Public Order and Safety</v>
      </c>
      <c r="H6" s="208"/>
      <c r="I6" s="209" t="str">
        <f>IF(Indice_index!$Z$1=1,"Educação","Education")</f>
        <v>Education</v>
      </c>
      <c r="J6" s="209" t="str">
        <f>IF(Indice_index!$Z$1=1,"Saúde","Health")</f>
        <v>Health</v>
      </c>
      <c r="K6" s="209" t="str">
        <f>IF(Indice_index!$Z$1=1,"Segurança e Ação Sociais","Safety and Social Services")</f>
        <v>Safety and Social Services</v>
      </c>
      <c r="L6" s="209" t="str">
        <f>IF(Indice_index!$Z$1=1,"Habitação e Serviços Colectivos","Housing and Collective Services")</f>
        <v>Housing and Collective Services</v>
      </c>
      <c r="M6" s="209" t="str">
        <f>IF(Indice_index!$Z$1=1,"Serviços Culturais, Recreativos e Religiosos","Cultural, Recreational e Religious Services")</f>
        <v>Cultural, Recreational e Religious Services</v>
      </c>
      <c r="N6" s="207"/>
      <c r="O6" s="209" t="str">
        <f>IF(Indice_index!$Z$1=1,"Agricultura e Pecuária, Silvicultura, Caça e Pesca","Agriculture and Livestock, Forestry, Fishing and Hunting")</f>
        <v>Agriculture and Livestock, Forestry, Fishing and Hunting</v>
      </c>
      <c r="P6" s="209" t="str">
        <f>IF(Indice_index!$Z$1=1,"Indústria e Energia","Industry and Energy")</f>
        <v>Industry and Energy</v>
      </c>
      <c r="Q6" s="209" t="str">
        <f>IF(Indice_index!$Z$1=1,"Transportes e Comunicações","Transport and Communication")</f>
        <v>Transport and Communication</v>
      </c>
      <c r="R6" s="209" t="str">
        <f>IF(Indice_index!$Z$1=1,"Comércio e Turismo","Trade and Tourism")</f>
        <v>Trade and Tourism</v>
      </c>
      <c r="S6" s="209" t="str">
        <f>IF(Indice_index!$Z$1=1,"Outras Funções Económicas","Other Economic Functions")</f>
        <v>Other Economic Functions</v>
      </c>
      <c r="T6" s="207"/>
      <c r="U6" s="209" t="str">
        <f>IF(Indice_index!$Z$1=1,"Operações da Dívida Pública","Public Debt Operations")</f>
        <v>Public Debt Operations</v>
      </c>
      <c r="V6" s="209" t="str">
        <f>IF(Indice_index!$Z$1=1,"Transferências entre Administrações Públicas","Transfers within the General Government")</f>
        <v>Transfers within the General Government</v>
      </c>
      <c r="W6" s="209" t="str">
        <f>IF(Indice_index!$Z$1=1,"Diversas não especificadas","Not Elsewhere Classified")</f>
        <v>Not Elsewhere Classified</v>
      </c>
      <c r="X6" s="115"/>
      <c r="Y6" s="209" t="str">
        <f>IF(Indice_index!$Z$1=1,"TOTAL","TOTAL")</f>
        <v>TOTAL</v>
      </c>
    </row>
    <row r="7" spans="2:30" s="110" customFormat="1">
      <c r="B7" s="120"/>
      <c r="C7" s="121"/>
      <c r="D7" s="119"/>
      <c r="E7" s="119"/>
      <c r="F7" s="119"/>
      <c r="G7" s="127"/>
      <c r="H7" s="127"/>
      <c r="I7" s="119"/>
      <c r="J7" s="119"/>
      <c r="K7" s="119"/>
      <c r="L7" s="119"/>
      <c r="M7" s="127"/>
      <c r="N7" s="127"/>
      <c r="O7" s="119"/>
      <c r="P7" s="119"/>
      <c r="Q7" s="119"/>
      <c r="R7" s="119"/>
      <c r="S7" s="127"/>
      <c r="T7" s="127"/>
      <c r="U7" s="119"/>
      <c r="V7" s="119"/>
      <c r="W7" s="108"/>
      <c r="X7" s="108"/>
      <c r="Y7" s="108"/>
    </row>
    <row r="8" spans="2:30" s="110" customFormat="1" ht="12.75" customHeight="1">
      <c r="B8" s="120"/>
      <c r="C8" s="117">
        <v>2010</v>
      </c>
      <c r="D8" s="119"/>
      <c r="E8" s="125">
        <v>963.6919563499996</v>
      </c>
      <c r="F8" s="125">
        <v>95.215138139999979</v>
      </c>
      <c r="G8" s="118">
        <v>757.00978470000007</v>
      </c>
      <c r="I8" s="118">
        <v>1857.9218796399962</v>
      </c>
      <c r="J8" s="118">
        <v>13874.370099270005</v>
      </c>
      <c r="K8" s="118">
        <v>8566.5949570399953</v>
      </c>
      <c r="L8" s="118">
        <v>161.06434034999995</v>
      </c>
      <c r="M8" s="118">
        <v>136.70439526000001</v>
      </c>
      <c r="O8" s="118">
        <v>1015.9161751399996</v>
      </c>
      <c r="P8" s="118">
        <v>10.141408859999999</v>
      </c>
      <c r="Q8" s="118">
        <v>220.92411322000012</v>
      </c>
      <c r="R8" s="118">
        <v>199.32523313999999</v>
      </c>
      <c r="S8" s="118">
        <v>1105.3038092299989</v>
      </c>
      <c r="U8" s="110">
        <v>1.1100000000000002E-6</v>
      </c>
      <c r="V8" s="110">
        <v>0</v>
      </c>
      <c r="W8" s="110">
        <v>0</v>
      </c>
      <c r="X8"/>
      <c r="Y8" s="110">
        <f t="shared" ref="Y8:Y14" si="0">IF(SUM(E8:W8)=0,"",SUM(E8:W8))</f>
        <v>28964.18329144999</v>
      </c>
      <c r="Z8" s="108"/>
    </row>
    <row r="9" spans="2:30" s="110" customFormat="1">
      <c r="B9" s="120"/>
      <c r="C9" s="117" t="s">
        <v>4</v>
      </c>
      <c r="E9" s="125">
        <v>824.27030454000067</v>
      </c>
      <c r="F9" s="125">
        <v>76.822055900000052</v>
      </c>
      <c r="G9" s="118">
        <v>932.63138717000004</v>
      </c>
      <c r="I9" s="118">
        <v>1661.484868819995</v>
      </c>
      <c r="J9" s="118">
        <v>12827.706155700011</v>
      </c>
      <c r="K9" s="118">
        <v>9027.9932336199981</v>
      </c>
      <c r="L9" s="118">
        <v>175.51096309999977</v>
      </c>
      <c r="M9" s="118">
        <v>134.25981249999987</v>
      </c>
      <c r="O9" s="118">
        <v>1067.9623552100002</v>
      </c>
      <c r="P9" s="118">
        <v>8.7716368799999991</v>
      </c>
      <c r="Q9" s="118">
        <v>210.3638538999999</v>
      </c>
      <c r="R9" s="118">
        <v>210.32018855999996</v>
      </c>
      <c r="S9" s="118">
        <v>1001.6037524099999</v>
      </c>
      <c r="T9" s="119"/>
      <c r="U9" s="119">
        <v>5.1549860000000003E-2</v>
      </c>
      <c r="V9" s="119">
        <v>0</v>
      </c>
      <c r="W9" s="119">
        <v>0</v>
      </c>
      <c r="X9"/>
      <c r="Y9" s="119">
        <f t="shared" si="0"/>
        <v>28159.752118170003</v>
      </c>
      <c r="Z9" s="108"/>
    </row>
    <row r="10" spans="2:30" s="110" customFormat="1">
      <c r="B10" s="120"/>
      <c r="C10" s="117" t="s">
        <v>5</v>
      </c>
      <c r="D10" s="123"/>
      <c r="E10" s="118">
        <v>770.66304958000046</v>
      </c>
      <c r="F10" s="118">
        <v>71.072682620000009</v>
      </c>
      <c r="G10" s="118">
        <v>662.3120621299995</v>
      </c>
      <c r="H10" s="124"/>
      <c r="I10" s="118">
        <v>2146.3185156000059</v>
      </c>
      <c r="J10" s="118">
        <v>10121.755064699992</v>
      </c>
      <c r="K10" s="118">
        <v>8303.5840138699987</v>
      </c>
      <c r="L10" s="118">
        <v>123.58124601000004</v>
      </c>
      <c r="M10" s="118">
        <v>406.64428898999984</v>
      </c>
      <c r="N10" s="122"/>
      <c r="O10" s="118">
        <v>1103.3974878800004</v>
      </c>
      <c r="P10" s="118">
        <v>24.535795159999996</v>
      </c>
      <c r="Q10" s="118">
        <v>2575.1638260900004</v>
      </c>
      <c r="R10" s="118">
        <v>159.17782638999995</v>
      </c>
      <c r="S10" s="118">
        <v>1263.44919772</v>
      </c>
      <c r="T10" s="126"/>
      <c r="U10" s="126">
        <v>59.995598260000008</v>
      </c>
      <c r="V10" s="126">
        <v>0</v>
      </c>
      <c r="W10" s="126">
        <v>0</v>
      </c>
      <c r="X10"/>
      <c r="Y10" s="126">
        <f t="shared" si="0"/>
        <v>27791.650655000001</v>
      </c>
      <c r="Z10" s="108"/>
    </row>
    <row r="11" spans="2:30" s="123" customFormat="1">
      <c r="C11" s="117" t="s">
        <v>7</v>
      </c>
      <c r="E11" s="235">
        <v>851.54925967999998</v>
      </c>
      <c r="F11" s="235">
        <v>75.194269030000015</v>
      </c>
      <c r="G11" s="235">
        <v>590.57262947000027</v>
      </c>
      <c r="H11" s="235"/>
      <c r="I11" s="235">
        <v>1924.2182651199976</v>
      </c>
      <c r="J11" s="235">
        <v>9006.9819635600088</v>
      </c>
      <c r="K11" s="235">
        <v>9576.6010741900009</v>
      </c>
      <c r="L11" s="235">
        <v>202.93233136000032</v>
      </c>
      <c r="M11" s="235">
        <v>436.54839748000012</v>
      </c>
      <c r="N11" s="235"/>
      <c r="O11" s="235">
        <v>1119.7342208900002</v>
      </c>
      <c r="P11" s="235">
        <v>27.893452260000014</v>
      </c>
      <c r="Q11" s="235">
        <v>2324.8041208099999</v>
      </c>
      <c r="R11" s="235">
        <v>157.8109668000001</v>
      </c>
      <c r="S11" s="235">
        <v>1385.1053374000005</v>
      </c>
      <c r="T11" s="235"/>
      <c r="U11" s="235">
        <v>20.964761760000002</v>
      </c>
      <c r="V11" s="235">
        <v>0</v>
      </c>
      <c r="W11" s="235">
        <v>0</v>
      </c>
      <c r="X11" s="288"/>
      <c r="Y11" s="123">
        <f t="shared" si="0"/>
        <v>27700.911049810009</v>
      </c>
      <c r="Z11" s="261"/>
    </row>
    <row r="12" spans="2:30" s="110" customFormat="1">
      <c r="B12" s="120"/>
      <c r="C12" s="117" t="s">
        <v>16</v>
      </c>
      <c r="D12" s="123"/>
      <c r="E12" s="235">
        <v>811.94350232000056</v>
      </c>
      <c r="F12" s="235">
        <v>101.21584196000008</v>
      </c>
      <c r="G12" s="235">
        <v>559.94747530999985</v>
      </c>
      <c r="H12" s="235"/>
      <c r="I12" s="235">
        <v>1916.4566592999986</v>
      </c>
      <c r="J12" s="235">
        <v>8670.1574574900023</v>
      </c>
      <c r="K12" s="235">
        <v>9837.45979859</v>
      </c>
      <c r="L12" s="235">
        <v>212.85327131</v>
      </c>
      <c r="M12" s="235">
        <v>419.36015703999988</v>
      </c>
      <c r="N12" s="235"/>
      <c r="O12" s="235">
        <v>1143.4960063899996</v>
      </c>
      <c r="P12" s="235">
        <v>21.180744000000001</v>
      </c>
      <c r="Q12" s="235">
        <v>2664.7032001999983</v>
      </c>
      <c r="R12" s="235">
        <v>160.04580707</v>
      </c>
      <c r="S12" s="235">
        <v>1528.90788617</v>
      </c>
      <c r="T12" s="235"/>
      <c r="U12" s="235">
        <v>19.325672509999997</v>
      </c>
      <c r="V12" s="235">
        <v>0</v>
      </c>
      <c r="W12" s="235">
        <v>0</v>
      </c>
      <c r="X12" s="288"/>
      <c r="Y12" s="235">
        <f t="shared" si="0"/>
        <v>28067.05347966</v>
      </c>
      <c r="Z12" s="108"/>
    </row>
    <row r="13" spans="2:30" s="110" customFormat="1">
      <c r="B13" s="120"/>
      <c r="C13" s="117" t="s">
        <v>23</v>
      </c>
      <c r="D13" s="123"/>
      <c r="E13" s="235">
        <v>792.47179922999976</v>
      </c>
      <c r="F13" s="235">
        <v>73.176280870000014</v>
      </c>
      <c r="G13" s="235">
        <v>548.91290602000004</v>
      </c>
      <c r="H13" s="235"/>
      <c r="I13" s="235">
        <v>2078.4553175800002</v>
      </c>
      <c r="J13" s="235">
        <v>13662.430316570002</v>
      </c>
      <c r="K13" s="235">
        <v>10042.411026469998</v>
      </c>
      <c r="L13" s="235">
        <v>286.39629489000009</v>
      </c>
      <c r="M13" s="235">
        <v>425.96174045999999</v>
      </c>
      <c r="N13" s="235"/>
      <c r="O13" s="235">
        <v>908.5825880899996</v>
      </c>
      <c r="P13" s="235">
        <v>47.564308339999997</v>
      </c>
      <c r="Q13" s="235">
        <v>3102.5837533600002</v>
      </c>
      <c r="R13" s="235">
        <v>172.67040040999996</v>
      </c>
      <c r="S13" s="235">
        <v>1712.6135065500005</v>
      </c>
      <c r="T13" s="235"/>
      <c r="U13" s="235">
        <v>196.57369433999997</v>
      </c>
      <c r="V13" s="235">
        <v>0</v>
      </c>
      <c r="W13" s="235">
        <v>3.5219283999999988</v>
      </c>
      <c r="X13" s="288"/>
      <c r="Y13" s="235">
        <f t="shared" si="0"/>
        <v>34054.325861579993</v>
      </c>
      <c r="Z13" s="108"/>
    </row>
    <row r="14" spans="2:30" s="110" customFormat="1">
      <c r="B14" s="120"/>
      <c r="C14" s="117" t="s">
        <v>117</v>
      </c>
      <c r="D14" s="123"/>
      <c r="E14" s="235">
        <v>847.00706430999992</v>
      </c>
      <c r="F14" s="235">
        <v>68.11667645</v>
      </c>
      <c r="G14" s="235">
        <v>512.19842604999985</v>
      </c>
      <c r="H14" s="235"/>
      <c r="I14" s="235">
        <v>2059.8255957400006</v>
      </c>
      <c r="J14" s="235">
        <v>15282.222398100002</v>
      </c>
      <c r="K14" s="235">
        <v>10049.73645459</v>
      </c>
      <c r="L14" s="235">
        <v>212.04369855000002</v>
      </c>
      <c r="M14" s="235">
        <v>446.48134078999999</v>
      </c>
      <c r="N14" s="235"/>
      <c r="O14" s="235">
        <v>996.8047228099997</v>
      </c>
      <c r="P14" s="235">
        <v>48.853937730000006</v>
      </c>
      <c r="Q14" s="235">
        <v>3260.3161679599989</v>
      </c>
      <c r="R14" s="235">
        <v>171.71455992000003</v>
      </c>
      <c r="S14" s="235">
        <v>1757.5134560199999</v>
      </c>
      <c r="T14" s="235"/>
      <c r="U14" s="235">
        <v>718.95361422000008</v>
      </c>
      <c r="V14" s="235">
        <v>0</v>
      </c>
      <c r="W14" s="235">
        <v>19.86939722</v>
      </c>
      <c r="X14" s="236"/>
      <c r="Y14" s="126">
        <f t="shared" si="0"/>
        <v>36451.657510460005</v>
      </c>
      <c r="Z14" s="108"/>
    </row>
    <row r="15" spans="2:30" s="110" customFormat="1">
      <c r="B15" s="120"/>
      <c r="C15" s="117" t="s">
        <v>136</v>
      </c>
      <c r="D15" s="123"/>
      <c r="E15" s="269"/>
      <c r="F15" s="269"/>
      <c r="G15" s="269"/>
      <c r="H15" s="270"/>
      <c r="I15" s="269"/>
      <c r="J15" s="269"/>
      <c r="K15" s="269"/>
      <c r="L15" s="269"/>
      <c r="M15" s="269"/>
      <c r="N15" s="123"/>
      <c r="O15" s="269"/>
      <c r="P15" s="269"/>
      <c r="Q15" s="269"/>
      <c r="R15" s="269"/>
      <c r="S15" s="269"/>
      <c r="T15" s="126"/>
      <c r="U15" s="126"/>
      <c r="V15" s="126"/>
      <c r="W15" s="126"/>
      <c r="X15" s="236"/>
      <c r="Y15" s="126" t="str">
        <f t="shared" ref="Y15:Y26" si="1">IF(SUM(E15:W15)=0,"",SUM(E15:W15))</f>
        <v/>
      </c>
      <c r="Z15" s="108"/>
    </row>
    <row r="16" spans="2:30" s="110" customFormat="1">
      <c r="B16" s="120"/>
      <c r="C16" s="123"/>
      <c r="D16" s="123" t="str">
        <f>IF(Indice_index!$Z$1=1,"janeiro","January")</f>
        <v>January</v>
      </c>
      <c r="E16" s="235">
        <v>20.906063689999993</v>
      </c>
      <c r="F16" s="235">
        <v>11.466613309999996</v>
      </c>
      <c r="G16" s="235">
        <v>33.1730193</v>
      </c>
      <c r="H16" s="235"/>
      <c r="I16" s="235">
        <v>102.58059091000001</v>
      </c>
      <c r="J16" s="235">
        <v>1181.1412035999997</v>
      </c>
      <c r="K16" s="235">
        <v>763.51842199999987</v>
      </c>
      <c r="L16" s="235">
        <v>3.9547391999999988</v>
      </c>
      <c r="M16" s="235">
        <v>26.768026050000003</v>
      </c>
      <c r="N16" s="235"/>
      <c r="O16" s="235">
        <v>43.057227079999997</v>
      </c>
      <c r="P16" s="235">
        <v>2.5299442699999997</v>
      </c>
      <c r="Q16" s="235">
        <v>74.637962839999986</v>
      </c>
      <c r="R16" s="235">
        <v>2.7150242299999996</v>
      </c>
      <c r="S16" s="235">
        <v>49.638668130000028</v>
      </c>
      <c r="T16" s="235"/>
      <c r="U16" s="235">
        <v>0.22304151999999999</v>
      </c>
      <c r="V16" s="235">
        <v>0</v>
      </c>
      <c r="W16" s="235">
        <v>0.10398744000000004</v>
      </c>
      <c r="X16" s="236"/>
      <c r="Y16" s="126">
        <f t="shared" si="1"/>
        <v>2316.41453357</v>
      </c>
      <c r="Z16" s="108"/>
    </row>
    <row r="17" spans="1:26" s="110" customFormat="1">
      <c r="B17" s="120"/>
      <c r="C17" s="123"/>
      <c r="D17" s="123" t="str">
        <f>IF(Indice_index!$Z$1=1,"fevereiro","February")</f>
        <v>February</v>
      </c>
      <c r="E17" s="235">
        <v>93.734614810000011</v>
      </c>
      <c r="F17" s="235">
        <v>1.29462309</v>
      </c>
      <c r="G17" s="235">
        <v>78.288236459999993</v>
      </c>
      <c r="H17" s="235"/>
      <c r="I17" s="235">
        <v>239.41323445999996</v>
      </c>
      <c r="J17" s="235">
        <v>2540.0873177499993</v>
      </c>
      <c r="K17" s="235">
        <v>1511.3769354699994</v>
      </c>
      <c r="L17" s="235">
        <v>8.9807764399999979</v>
      </c>
      <c r="M17" s="235">
        <v>57.499937089999996</v>
      </c>
      <c r="N17" s="235"/>
      <c r="O17" s="235">
        <v>85.96304508999998</v>
      </c>
      <c r="P17" s="235">
        <v>5.4507964199999996</v>
      </c>
      <c r="Q17" s="235">
        <v>577.44331540000007</v>
      </c>
      <c r="R17" s="235">
        <v>9.4845363499999991</v>
      </c>
      <c r="S17" s="235">
        <v>136.77821106000002</v>
      </c>
      <c r="T17" s="235"/>
      <c r="U17" s="235">
        <v>1.8108861899999995</v>
      </c>
      <c r="V17" s="235">
        <v>0</v>
      </c>
      <c r="W17" s="235">
        <v>0.21171991000000004</v>
      </c>
      <c r="X17" s="288"/>
      <c r="Y17" s="126">
        <f t="shared" si="1"/>
        <v>5347.8181859899996</v>
      </c>
      <c r="Z17" s="108"/>
    </row>
    <row r="18" spans="1:26" s="110" customFormat="1">
      <c r="B18" s="120"/>
      <c r="C18" s="123"/>
      <c r="D18" s="123" t="str">
        <f>IF(Indice_index!$Z$1=1,"março","March")</f>
        <v>March</v>
      </c>
      <c r="E18" s="235">
        <v>148.77428683000002</v>
      </c>
      <c r="F18" s="235">
        <v>6.8148237400000005</v>
      </c>
      <c r="G18" s="235">
        <v>126.67410556</v>
      </c>
      <c r="H18" s="235"/>
      <c r="I18" s="235">
        <v>418.62090426000003</v>
      </c>
      <c r="J18" s="235">
        <v>3911.1957007400001</v>
      </c>
      <c r="K18" s="235">
        <v>2269.4190353100003</v>
      </c>
      <c r="L18" s="235">
        <v>18.965056559999997</v>
      </c>
      <c r="M18" s="235">
        <v>95.348506629999989</v>
      </c>
      <c r="N18" s="235"/>
      <c r="O18" s="235">
        <v>153.66591107999997</v>
      </c>
      <c r="P18" s="235">
        <v>8.6152060199999987</v>
      </c>
      <c r="Q18" s="235">
        <v>781.82782869999994</v>
      </c>
      <c r="R18" s="235">
        <v>22.256630260000001</v>
      </c>
      <c r="S18" s="235">
        <v>323.63553834000004</v>
      </c>
      <c r="T18" s="235"/>
      <c r="U18" s="235">
        <v>2.1852422500000004</v>
      </c>
      <c r="V18" s="235">
        <v>0</v>
      </c>
      <c r="W18" s="235">
        <v>2.9691354900000002</v>
      </c>
      <c r="X18" s="236"/>
      <c r="Y18" s="126">
        <f t="shared" si="1"/>
        <v>8290.9679117700016</v>
      </c>
      <c r="Z18" s="108"/>
    </row>
    <row r="19" spans="1:26" s="110" customFormat="1">
      <c r="B19" s="120"/>
      <c r="C19" s="123"/>
      <c r="D19" s="123" t="str">
        <f>IF(Indice_index!$Z$1=1,"abril","April")</f>
        <v>April</v>
      </c>
      <c r="E19" s="235">
        <v>207.90344450999999</v>
      </c>
      <c r="F19" s="235">
        <v>14.425319310000001</v>
      </c>
      <c r="G19" s="235">
        <v>172.57205106000004</v>
      </c>
      <c r="H19" s="235"/>
      <c r="I19" s="235">
        <v>576.83014495000009</v>
      </c>
      <c r="J19" s="235">
        <v>5279.7817788500006</v>
      </c>
      <c r="K19" s="235">
        <v>3017.2061473699996</v>
      </c>
      <c r="L19" s="235">
        <v>25.506233859999995</v>
      </c>
      <c r="M19" s="235">
        <v>126.07838881000001</v>
      </c>
      <c r="N19" s="235"/>
      <c r="O19" s="235">
        <v>202.25482546000001</v>
      </c>
      <c r="P19" s="235">
        <v>12.35931705</v>
      </c>
      <c r="Q19" s="235">
        <v>1032.4397553900001</v>
      </c>
      <c r="R19" s="235">
        <v>37.16612318</v>
      </c>
      <c r="S19" s="235">
        <v>424.66889395999988</v>
      </c>
      <c r="T19" s="235"/>
      <c r="U19" s="235">
        <v>2.4657153500000004</v>
      </c>
      <c r="V19" s="235">
        <v>0</v>
      </c>
      <c r="W19" s="235">
        <v>2.7666688499999998</v>
      </c>
      <c r="X19" s="236"/>
      <c r="Y19" s="126">
        <f t="shared" si="1"/>
        <v>11134.424807959998</v>
      </c>
      <c r="Z19" s="108"/>
    </row>
    <row r="20" spans="1:26" s="110" customFormat="1">
      <c r="B20" s="120"/>
      <c r="C20" s="123"/>
      <c r="D20" s="123" t="str">
        <f>IF(Indice_index!$Z$1=1,"maio","May")</f>
        <v>May</v>
      </c>
      <c r="E20" s="235">
        <v>306.64669915999997</v>
      </c>
      <c r="F20" s="235">
        <v>21.098883559999994</v>
      </c>
      <c r="G20" s="235">
        <v>221.39231484999993</v>
      </c>
      <c r="H20" s="235"/>
      <c r="I20" s="235">
        <v>737.4545816399999</v>
      </c>
      <c r="J20" s="235">
        <v>6670.5286820899992</v>
      </c>
      <c r="K20" s="235">
        <v>3770.5434914000002</v>
      </c>
      <c r="L20" s="235">
        <v>61.541467889999993</v>
      </c>
      <c r="M20" s="235">
        <v>168.44960760000001</v>
      </c>
      <c r="N20" s="235"/>
      <c r="O20" s="235">
        <v>241.61459962999996</v>
      </c>
      <c r="P20" s="235">
        <v>15.572065499999995</v>
      </c>
      <c r="Q20" s="235">
        <v>1330.3381290499997</v>
      </c>
      <c r="R20" s="235">
        <v>47.289692830000014</v>
      </c>
      <c r="S20" s="235">
        <v>635.41380134000008</v>
      </c>
      <c r="T20" s="235"/>
      <c r="U20" s="235">
        <v>3.0461646499999993</v>
      </c>
      <c r="V20" s="235">
        <v>0</v>
      </c>
      <c r="W20" s="235">
        <v>4.0602021599999993</v>
      </c>
      <c r="X20" s="236"/>
      <c r="Y20" s="126">
        <f t="shared" si="1"/>
        <v>14234.990383350001</v>
      </c>
      <c r="Z20" s="108"/>
    </row>
    <row r="21" spans="1:26" s="110" customFormat="1">
      <c r="B21" s="120"/>
      <c r="C21" s="123"/>
      <c r="D21" s="123" t="str">
        <f>IF(Indice_index!$Z$1=1,"junho","June")</f>
        <v>June</v>
      </c>
      <c r="E21" s="235">
        <v>371.08078902</v>
      </c>
      <c r="F21" s="235">
        <v>27.081623960000002</v>
      </c>
      <c r="G21" s="235">
        <v>281.91186375000001</v>
      </c>
      <c r="H21" s="235"/>
      <c r="I21" s="235">
        <v>970.5742814299997</v>
      </c>
      <c r="J21" s="235">
        <v>8219.0731795299998</v>
      </c>
      <c r="K21" s="235">
        <v>4520.0738713099981</v>
      </c>
      <c r="L21" s="235">
        <v>72.679863310000002</v>
      </c>
      <c r="M21" s="235">
        <v>206.81374786000006</v>
      </c>
      <c r="N21" s="235"/>
      <c r="O21" s="235">
        <v>284.41080021000005</v>
      </c>
      <c r="P21" s="235">
        <v>19.037424699999995</v>
      </c>
      <c r="Q21" s="235">
        <v>1648.6579847799999</v>
      </c>
      <c r="R21" s="235">
        <v>59.832089739999994</v>
      </c>
      <c r="S21" s="235">
        <v>922.61975252000025</v>
      </c>
      <c r="T21" s="235"/>
      <c r="U21" s="235">
        <v>25.398681020000005</v>
      </c>
      <c r="V21" s="235">
        <v>0</v>
      </c>
      <c r="W21" s="235">
        <v>4.8303743200000007</v>
      </c>
      <c r="X21" s="236"/>
      <c r="Y21" s="126">
        <f t="shared" si="1"/>
        <v>17634.076327459999</v>
      </c>
      <c r="Z21" s="108"/>
    </row>
    <row r="22" spans="1:26" s="110" customFormat="1">
      <c r="B22" s="120"/>
      <c r="C22" s="123"/>
      <c r="D22" s="123" t="str">
        <f>IF(Indice_index!$Z$1=1,"julho","July")</f>
        <v>July</v>
      </c>
      <c r="E22" s="235">
        <v>423.66540746000004</v>
      </c>
      <c r="F22" s="235">
        <v>33.194354019999999</v>
      </c>
      <c r="G22" s="235">
        <v>338.51359294999992</v>
      </c>
      <c r="H22" s="235"/>
      <c r="I22" s="235">
        <v>1144.8517837399997</v>
      </c>
      <c r="J22" s="235">
        <v>9668.3078549600032</v>
      </c>
      <c r="K22" s="235">
        <v>5936.6709279300003</v>
      </c>
      <c r="L22" s="235">
        <v>81.803986929999994</v>
      </c>
      <c r="M22" s="235">
        <v>244.22889842000004</v>
      </c>
      <c r="N22" s="235"/>
      <c r="O22" s="235">
        <v>330.15935887000012</v>
      </c>
      <c r="P22" s="235">
        <v>22.105675100000003</v>
      </c>
      <c r="Q22" s="235">
        <v>1798.7287868999992</v>
      </c>
      <c r="R22" s="235">
        <v>81.936283129999993</v>
      </c>
      <c r="S22" s="235">
        <v>1039.1952920700001</v>
      </c>
      <c r="T22" s="235"/>
      <c r="U22" s="235">
        <v>55.957502840000004</v>
      </c>
      <c r="V22" s="235">
        <v>0</v>
      </c>
      <c r="W22" s="235">
        <v>7.0998839900000004</v>
      </c>
      <c r="X22" s="236"/>
      <c r="Y22" s="126">
        <f t="shared" si="1"/>
        <v>21206.41958931</v>
      </c>
      <c r="Z22" s="108"/>
    </row>
    <row r="23" spans="1:26" s="110" customFormat="1">
      <c r="B23" s="120"/>
      <c r="C23" s="123"/>
      <c r="D23" s="123" t="str">
        <f>IF(Indice_index!$Z$1=1,"agosto","August")</f>
        <v>August</v>
      </c>
      <c r="E23" s="235">
        <v>501.93320250999994</v>
      </c>
      <c r="F23" s="235">
        <v>34.589096609999999</v>
      </c>
      <c r="G23" s="235">
        <v>409.48752901999995</v>
      </c>
      <c r="H23" s="235"/>
      <c r="I23" s="235">
        <v>1301.4899370700002</v>
      </c>
      <c r="J23" s="235">
        <v>10970.226635540002</v>
      </c>
      <c r="K23" s="235">
        <v>6709.8498963599995</v>
      </c>
      <c r="L23" s="235">
        <v>89.459188790000013</v>
      </c>
      <c r="M23" s="235">
        <v>274.88747493</v>
      </c>
      <c r="N23" s="235"/>
      <c r="O23" s="235">
        <v>367.88352118000006</v>
      </c>
      <c r="P23" s="235">
        <v>24.945504979999999</v>
      </c>
      <c r="Q23" s="235">
        <v>2048.8755371300003</v>
      </c>
      <c r="R23" s="235">
        <v>96.994476209999959</v>
      </c>
      <c r="S23" s="235">
        <v>1138.7620634399998</v>
      </c>
      <c r="T23" s="235"/>
      <c r="U23" s="235">
        <v>56.239626710000003</v>
      </c>
      <c r="V23" s="235">
        <v>0</v>
      </c>
      <c r="W23" s="235">
        <v>7.84907238</v>
      </c>
      <c r="X23" s="236"/>
      <c r="Y23" s="126">
        <f t="shared" si="1"/>
        <v>24033.472762860001</v>
      </c>
      <c r="Z23" s="108"/>
    </row>
    <row r="24" spans="1:26" s="110" customFormat="1">
      <c r="B24" s="120"/>
      <c r="C24" s="123"/>
      <c r="D24" s="123" t="str">
        <f>IF(Indice_index!$Z$1=1,"setembro","September")</f>
        <v>September</v>
      </c>
      <c r="E24" s="235">
        <v>583.99972207999997</v>
      </c>
      <c r="F24" s="235">
        <v>39.003863509999995</v>
      </c>
      <c r="G24" s="235">
        <v>448.85905033999995</v>
      </c>
      <c r="H24" s="235"/>
      <c r="I24" s="235">
        <v>1465.08209773</v>
      </c>
      <c r="J24" s="235">
        <v>12312.02417975</v>
      </c>
      <c r="K24" s="235">
        <v>7460.4162880000003</v>
      </c>
      <c r="L24" s="235">
        <v>96.671194510000021</v>
      </c>
      <c r="M24" s="235">
        <v>319.22567631999999</v>
      </c>
      <c r="N24" s="235"/>
      <c r="O24" s="235">
        <v>412.64079552000015</v>
      </c>
      <c r="P24" s="235">
        <v>28.398548429999998</v>
      </c>
      <c r="Q24" s="235">
        <v>2248.9617261600001</v>
      </c>
      <c r="R24" s="235">
        <v>110.55904623000004</v>
      </c>
      <c r="S24" s="235">
        <v>1228.9271478200001</v>
      </c>
      <c r="T24" s="235"/>
      <c r="U24" s="235">
        <v>119.64758700000004</v>
      </c>
      <c r="V24" s="235">
        <v>0</v>
      </c>
      <c r="W24" s="235">
        <v>9.3750450799999996</v>
      </c>
      <c r="X24" s="236"/>
      <c r="Y24" s="126">
        <f t="shared" si="1"/>
        <v>26883.791968479996</v>
      </c>
      <c r="Z24" s="108"/>
    </row>
    <row r="25" spans="1:26" s="110" customFormat="1">
      <c r="B25" s="120"/>
      <c r="C25" s="123"/>
      <c r="D25" s="123" t="str">
        <f>IF(Indice_index!$Z$1=1,"outubro","October")</f>
        <v>October</v>
      </c>
      <c r="E25" s="235">
        <v>656.46861219999994</v>
      </c>
      <c r="F25" s="235">
        <v>35.12447298</v>
      </c>
      <c r="G25" s="235">
        <v>498.05246594999994</v>
      </c>
      <c r="H25" s="235"/>
      <c r="I25" s="235">
        <v>1644.7489034300002</v>
      </c>
      <c r="J25" s="235">
        <v>13686.21465525</v>
      </c>
      <c r="K25" s="235">
        <v>8218.60476251</v>
      </c>
      <c r="L25" s="235">
        <v>110.06716915000003</v>
      </c>
      <c r="M25" s="235">
        <v>353.88379208999999</v>
      </c>
      <c r="N25" s="235"/>
      <c r="O25" s="235">
        <v>646.83271085000024</v>
      </c>
      <c r="P25" s="235">
        <v>31.430656640000002</v>
      </c>
      <c r="Q25" s="235">
        <v>2528.9300163500002</v>
      </c>
      <c r="R25" s="235">
        <v>124.08420580000001</v>
      </c>
      <c r="S25" s="235">
        <v>1334.8540803000005</v>
      </c>
      <c r="T25" s="235"/>
      <c r="U25" s="235">
        <v>121.53872687</v>
      </c>
      <c r="V25" s="235">
        <v>0</v>
      </c>
      <c r="W25" s="235">
        <v>9.1069171200000003</v>
      </c>
      <c r="X25" s="236"/>
      <c r="Y25" s="126">
        <f t="shared" si="1"/>
        <v>29999.942147490005</v>
      </c>
      <c r="Z25" s="108"/>
    </row>
    <row r="26" spans="1:26" s="110" customFormat="1">
      <c r="B26" s="120"/>
      <c r="C26" s="123"/>
      <c r="D26" s="123" t="str">
        <f>IF(Indice_index!$Z$1=1,"novembro","November")</f>
        <v>November</v>
      </c>
      <c r="E26" s="235">
        <v>717.44966962000012</v>
      </c>
      <c r="F26" s="235">
        <v>50.112270830000014</v>
      </c>
      <c r="G26" s="235">
        <v>568.58196196000006</v>
      </c>
      <c r="H26" s="235"/>
      <c r="I26" s="235">
        <v>1839.1013848799989</v>
      </c>
      <c r="J26" s="235">
        <v>15040.301920079997</v>
      </c>
      <c r="K26" s="235">
        <v>9322.0449949800059</v>
      </c>
      <c r="L26" s="235">
        <v>124.37250558000002</v>
      </c>
      <c r="M26" s="235">
        <v>390.81521592000013</v>
      </c>
      <c r="N26" s="235"/>
      <c r="O26" s="235">
        <v>745.5936188200003</v>
      </c>
      <c r="P26" s="235">
        <v>34.117228070000003</v>
      </c>
      <c r="Q26" s="235">
        <v>2746.3484555700006</v>
      </c>
      <c r="R26" s="235">
        <v>141.20686543000005</v>
      </c>
      <c r="S26" s="235">
        <v>1467.9089702800006</v>
      </c>
      <c r="T26" s="235"/>
      <c r="U26" s="235">
        <v>132.58153347000001</v>
      </c>
      <c r="V26" s="235">
        <v>0</v>
      </c>
      <c r="W26" s="235">
        <v>10.835159640000001</v>
      </c>
      <c r="X26" s="236"/>
      <c r="Y26" s="126">
        <f t="shared" si="1"/>
        <v>33331.371755130007</v>
      </c>
      <c r="Z26" s="108"/>
    </row>
    <row r="27" spans="1:26" s="110" customFormat="1">
      <c r="B27" s="120"/>
      <c r="C27" s="123"/>
      <c r="D27" s="123" t="str">
        <f>IF(Indice_index!$Z$1=1,"dezembro","December")</f>
        <v>December</v>
      </c>
      <c r="E27" s="235">
        <v>888.26392482999995</v>
      </c>
      <c r="F27" s="235">
        <v>62.403677739999999</v>
      </c>
      <c r="G27" s="235">
        <v>655.39274599999999</v>
      </c>
      <c r="H27" s="235"/>
      <c r="I27" s="235">
        <v>2149.8646218499998</v>
      </c>
      <c r="J27" s="235">
        <v>17428.016228600001</v>
      </c>
      <c r="K27" s="235">
        <v>10107.465489799999</v>
      </c>
      <c r="L27" s="235">
        <v>160.16017233000002</v>
      </c>
      <c r="M27" s="235">
        <v>453.96260355999993</v>
      </c>
      <c r="N27" s="235"/>
      <c r="O27" s="235">
        <v>959.2038485300003</v>
      </c>
      <c r="P27" s="235">
        <v>66.883898119999998</v>
      </c>
      <c r="Q27" s="235">
        <v>3362.8863712300003</v>
      </c>
      <c r="R27" s="235">
        <v>189.51382583000003</v>
      </c>
      <c r="S27" s="235">
        <v>1899.3716222400001</v>
      </c>
      <c r="T27" s="235"/>
      <c r="U27" s="235">
        <v>162.76616401999996</v>
      </c>
      <c r="V27" s="235">
        <v>0</v>
      </c>
      <c r="W27" s="235">
        <v>12.639000579999999</v>
      </c>
      <c r="X27" s="236"/>
      <c r="Y27" s="126">
        <f>IF(SUM(E27:W27)=0,"",SUM(E27:W27))</f>
        <v>38558.794195260016</v>
      </c>
      <c r="Z27" s="108"/>
    </row>
    <row r="28" spans="1:26" s="110" customFormat="1">
      <c r="A28" s="126"/>
      <c r="B28" s="235"/>
      <c r="C28" s="117" t="s">
        <v>149</v>
      </c>
      <c r="D28" s="123"/>
      <c r="E28" s="269"/>
      <c r="F28" s="269"/>
      <c r="G28" s="269"/>
      <c r="H28" s="270"/>
      <c r="I28" s="269"/>
      <c r="J28" s="269"/>
      <c r="K28" s="269"/>
      <c r="L28" s="269"/>
      <c r="M28" s="269"/>
      <c r="N28" s="123"/>
      <c r="O28" s="269"/>
      <c r="P28" s="269"/>
      <c r="Q28" s="269"/>
      <c r="R28" s="269"/>
      <c r="S28" s="269"/>
      <c r="T28" s="126"/>
      <c r="U28" s="126"/>
      <c r="V28" s="126"/>
      <c r="W28" s="126"/>
      <c r="X28" s="236"/>
      <c r="Y28" s="126" t="str">
        <f t="shared" ref="Y28:Y39" si="2">IF(SUM(E28:W28)=0,"",SUM(E28:W28))</f>
        <v/>
      </c>
      <c r="Z28" s="384"/>
    </row>
    <row r="29" spans="1:26" s="110" customFormat="1">
      <c r="A29" s="126"/>
      <c r="B29" s="235"/>
      <c r="C29" s="123"/>
      <c r="D29" s="123" t="str">
        <f>IF(Indice_index!$Z$1=1,"janeiro","January")</f>
        <v>January</v>
      </c>
      <c r="E29" s="235">
        <v>58.169365990000024</v>
      </c>
      <c r="F29" s="235">
        <v>0.37139671999999996</v>
      </c>
      <c r="G29" s="235">
        <v>34.169970520000014</v>
      </c>
      <c r="H29" s="235"/>
      <c r="I29" s="235">
        <v>89.965212819999962</v>
      </c>
      <c r="J29" s="235">
        <v>1126.4488847200003</v>
      </c>
      <c r="K29" s="235">
        <v>746.64757910999992</v>
      </c>
      <c r="L29" s="235">
        <v>4.1054999800000012</v>
      </c>
      <c r="M29" s="235">
        <v>40.141056629999994</v>
      </c>
      <c r="N29" s="235"/>
      <c r="O29" s="235">
        <v>64.498609290000005</v>
      </c>
      <c r="P29" s="235">
        <v>2.6325146099999999</v>
      </c>
      <c r="Q29" s="235">
        <v>369.24924750000002</v>
      </c>
      <c r="R29" s="235">
        <v>1.5955528000000003</v>
      </c>
      <c r="S29" s="235">
        <v>63.241499369999993</v>
      </c>
      <c r="T29" s="235"/>
      <c r="U29" s="235">
        <v>1.4320525199999998</v>
      </c>
      <c r="V29" s="235">
        <v>0</v>
      </c>
      <c r="W29" s="235">
        <v>1.26727196</v>
      </c>
      <c r="X29" s="236"/>
      <c r="Y29" s="126">
        <f t="shared" si="2"/>
        <v>2603.9357145399995</v>
      </c>
      <c r="Z29" s="384"/>
    </row>
    <row r="30" spans="1:26" s="110" customFormat="1">
      <c r="B30" s="120"/>
      <c r="C30" s="123"/>
      <c r="D30" s="123" t="str">
        <f>IF(Indice_index!$Z$1=1,"fevereiro","February")</f>
        <v>February</v>
      </c>
      <c r="E30" s="235">
        <v>120.20086517</v>
      </c>
      <c r="F30" s="235">
        <v>1.6018458699999996</v>
      </c>
      <c r="G30" s="235">
        <v>77.16689396000001</v>
      </c>
      <c r="H30" s="235"/>
      <c r="I30" s="235">
        <v>239.8466286</v>
      </c>
      <c r="J30" s="235">
        <v>2524.9336949400004</v>
      </c>
      <c r="K30" s="235">
        <v>1492.5906925899999</v>
      </c>
      <c r="L30" s="235">
        <v>11.316778800000002</v>
      </c>
      <c r="M30" s="235">
        <v>65.83390519000001</v>
      </c>
      <c r="N30" s="235"/>
      <c r="O30" s="235">
        <v>113.93941343999997</v>
      </c>
      <c r="P30" s="235">
        <v>6.7133661600000005</v>
      </c>
      <c r="Q30" s="235">
        <v>952.38591919999988</v>
      </c>
      <c r="R30" s="235">
        <v>21.197916770000003</v>
      </c>
      <c r="S30" s="235">
        <v>161.85766437000004</v>
      </c>
      <c r="T30" s="235"/>
      <c r="U30" s="235">
        <v>1.9792588199999999</v>
      </c>
      <c r="V30" s="235">
        <v>0</v>
      </c>
      <c r="W30" s="235">
        <v>1.7854041600000001</v>
      </c>
      <c r="X30" s="288"/>
      <c r="Y30" s="126">
        <f t="shared" si="2"/>
        <v>5793.3502480400011</v>
      </c>
      <c r="Z30" s="108"/>
    </row>
    <row r="31" spans="1:26" s="110" customFormat="1">
      <c r="B31" s="120"/>
      <c r="C31" s="123"/>
      <c r="D31" s="123" t="str">
        <f>IF(Indice_index!$Z$1=1,"março","March")</f>
        <v>March</v>
      </c>
      <c r="E31" s="235">
        <v>192.72939787999991</v>
      </c>
      <c r="F31" s="235">
        <v>7.5894089100000004</v>
      </c>
      <c r="G31" s="235">
        <v>129.48133630999999</v>
      </c>
      <c r="H31" s="235"/>
      <c r="I31" s="235">
        <v>378.80879354999996</v>
      </c>
      <c r="J31" s="235">
        <v>4397.5360179200006</v>
      </c>
      <c r="K31" s="235">
        <v>2228.88324491</v>
      </c>
      <c r="L31" s="235">
        <v>19.858087269999999</v>
      </c>
      <c r="M31" s="235">
        <v>105.01366126999999</v>
      </c>
      <c r="N31" s="235"/>
      <c r="O31" s="235">
        <v>172.67606522000008</v>
      </c>
      <c r="P31" s="235">
        <v>9.7035595500000014</v>
      </c>
      <c r="Q31" s="235">
        <v>1129.7451828699998</v>
      </c>
      <c r="R31" s="235">
        <v>29.895884240000001</v>
      </c>
      <c r="S31" s="235">
        <v>264.40702107000004</v>
      </c>
      <c r="T31" s="235"/>
      <c r="U31" s="235">
        <v>2.6254536900000005</v>
      </c>
      <c r="V31" s="235">
        <v>0</v>
      </c>
      <c r="W31" s="235">
        <v>2.3413318199999997</v>
      </c>
      <c r="X31" s="236"/>
      <c r="Y31" s="126">
        <f t="shared" si="2"/>
        <v>9071.2944464800003</v>
      </c>
      <c r="Z31" s="108"/>
    </row>
    <row r="32" spans="1:26" s="110" customFormat="1">
      <c r="B32" s="120"/>
      <c r="C32" s="123"/>
      <c r="D32" s="123" t="str">
        <f>IF(Indice_index!$Z$1=1,"abril","April")</f>
        <v>April</v>
      </c>
      <c r="E32" s="235">
        <v>255.20951636999999</v>
      </c>
      <c r="F32" s="235">
        <v>12.017370080000003</v>
      </c>
      <c r="G32" s="235">
        <v>180.32519746</v>
      </c>
      <c r="H32" s="235"/>
      <c r="I32" s="235">
        <v>549.10722419999991</v>
      </c>
      <c r="J32" s="235">
        <v>5891.4282425800002</v>
      </c>
      <c r="K32" s="235">
        <v>2971.7540642899999</v>
      </c>
      <c r="L32" s="235">
        <v>26.892993929999999</v>
      </c>
      <c r="M32" s="235">
        <v>145.11868917000001</v>
      </c>
      <c r="N32" s="235"/>
      <c r="O32" s="235">
        <v>210.90997096999996</v>
      </c>
      <c r="P32" s="235">
        <v>14.99699773</v>
      </c>
      <c r="Q32" s="235">
        <v>1420.7451973100001</v>
      </c>
      <c r="R32" s="235">
        <v>43.213342990000001</v>
      </c>
      <c r="S32" s="235">
        <v>377.17273105999999</v>
      </c>
      <c r="T32" s="235"/>
      <c r="U32" s="235">
        <v>2.9303428399999993</v>
      </c>
      <c r="V32" s="235">
        <v>0</v>
      </c>
      <c r="W32" s="235">
        <v>3.0402409499999998</v>
      </c>
      <c r="X32" s="236"/>
      <c r="Y32" s="126">
        <f t="shared" si="2"/>
        <v>12104.86212193</v>
      </c>
      <c r="Z32" s="108"/>
    </row>
    <row r="33" spans="2:26" s="110" customFormat="1">
      <c r="B33" s="120"/>
      <c r="C33" s="123"/>
      <c r="D33" s="123" t="str">
        <f>IF(Indice_index!$Z$1=1,"maio","May")</f>
        <v>May</v>
      </c>
      <c r="E33" s="235">
        <v>347.16709308000009</v>
      </c>
      <c r="F33" s="235">
        <v>18.795347450000001</v>
      </c>
      <c r="G33" s="235">
        <v>229.23387984999994</v>
      </c>
      <c r="H33" s="235"/>
      <c r="I33" s="235">
        <v>720.50833682000018</v>
      </c>
      <c r="J33" s="235">
        <v>7415.9921884000005</v>
      </c>
      <c r="K33" s="235">
        <v>3710.5010396000002</v>
      </c>
      <c r="L33" s="235">
        <v>38.02251077999999</v>
      </c>
      <c r="M33" s="235">
        <v>190.85963362999999</v>
      </c>
      <c r="N33" s="235"/>
      <c r="O33" s="235">
        <v>251.21216451000009</v>
      </c>
      <c r="P33" s="235">
        <v>19.547576979999999</v>
      </c>
      <c r="Q33" s="235">
        <v>1588.1753977499998</v>
      </c>
      <c r="R33" s="235">
        <v>67.973608330000005</v>
      </c>
      <c r="S33" s="235">
        <v>496.92236994999996</v>
      </c>
      <c r="T33" s="235"/>
      <c r="U33" s="235">
        <v>5.9893254700000007</v>
      </c>
      <c r="V33" s="235">
        <v>0</v>
      </c>
      <c r="W33" s="235">
        <v>3.7152042800000005</v>
      </c>
      <c r="X33" s="236"/>
      <c r="Y33" s="126">
        <f t="shared" si="2"/>
        <v>15104.615676879999</v>
      </c>
      <c r="Z33" s="108"/>
    </row>
    <row r="34" spans="2:26" s="110" customFormat="1">
      <c r="B34" s="120"/>
      <c r="C34" s="123"/>
      <c r="D34" s="123" t="str">
        <f>IF(Indice_index!$Z$1=1,"junho","June")</f>
        <v>June</v>
      </c>
      <c r="E34" s="235">
        <v>408.95433754999999</v>
      </c>
      <c r="F34" s="235">
        <v>20.369948920000002</v>
      </c>
      <c r="G34" s="235">
        <v>293.06276542999996</v>
      </c>
      <c r="H34" s="235"/>
      <c r="I34" s="235">
        <v>948.99905476000015</v>
      </c>
      <c r="J34" s="235">
        <v>8999.9561975600009</v>
      </c>
      <c r="K34" s="235">
        <v>4461.3173319999987</v>
      </c>
      <c r="L34" s="235">
        <v>53.254865830000007</v>
      </c>
      <c r="M34" s="235">
        <v>232.87803215999998</v>
      </c>
      <c r="N34" s="235"/>
      <c r="O34" s="235">
        <v>293.37398896000002</v>
      </c>
      <c r="P34" s="235">
        <v>24.578757039999996</v>
      </c>
      <c r="Q34" s="235">
        <v>1903.5405175599999</v>
      </c>
      <c r="R34" s="235">
        <v>79.787552490000024</v>
      </c>
      <c r="S34" s="235">
        <v>768.25535847999993</v>
      </c>
      <c r="T34" s="235"/>
      <c r="U34" s="235">
        <v>16.222019619999998</v>
      </c>
      <c r="V34" s="235">
        <v>0</v>
      </c>
      <c r="W34" s="235">
        <v>5.1784299200000001</v>
      </c>
      <c r="X34" s="236"/>
      <c r="Y34" s="126">
        <f t="shared" si="2"/>
        <v>18509.729158280003</v>
      </c>
      <c r="Z34" s="108"/>
    </row>
    <row r="35" spans="2:26" s="110" customFormat="1">
      <c r="B35" s="120"/>
      <c r="C35" s="123"/>
      <c r="D35" s="123" t="str">
        <f>IF(Indice_index!$Z$1=1,"julho","July")</f>
        <v>July</v>
      </c>
      <c r="E35" s="235">
        <v>482.04163849999992</v>
      </c>
      <c r="F35" s="235">
        <v>21.790201769999999</v>
      </c>
      <c r="G35" s="235">
        <v>351.21217714000005</v>
      </c>
      <c r="H35" s="235"/>
      <c r="I35" s="235">
        <v>1148.2404054400004</v>
      </c>
      <c r="J35" s="235">
        <v>10773.194987469999</v>
      </c>
      <c r="K35" s="235">
        <v>5873.889174599999</v>
      </c>
      <c r="L35" s="235">
        <v>64.254558529999997</v>
      </c>
      <c r="M35" s="235">
        <v>277.61835364000001</v>
      </c>
      <c r="N35" s="235"/>
      <c r="O35" s="235">
        <v>332.44235988999992</v>
      </c>
      <c r="P35" s="235">
        <v>28.655651120000002</v>
      </c>
      <c r="Q35" s="235">
        <v>2158.5407907500003</v>
      </c>
      <c r="R35" s="235">
        <v>92.052356050000014</v>
      </c>
      <c r="S35" s="235">
        <v>877.56485855000005</v>
      </c>
      <c r="T35" s="235"/>
      <c r="U35" s="235">
        <v>43.095569250000004</v>
      </c>
      <c r="V35" s="235">
        <v>0</v>
      </c>
      <c r="W35" s="235">
        <v>7.1834432000000001</v>
      </c>
      <c r="X35" s="236"/>
      <c r="Y35" s="126">
        <f t="shared" si="2"/>
        <v>22531.776525899993</v>
      </c>
      <c r="Z35" s="108"/>
    </row>
    <row r="36" spans="2:26" s="110" customFormat="1">
      <c r="B36" s="120"/>
      <c r="C36" s="123"/>
      <c r="D36" s="123" t="str">
        <f>IF(Indice_index!$Z$1=1,"agosto","August")</f>
        <v>August</v>
      </c>
      <c r="E36" s="235">
        <v>545.8180394200001</v>
      </c>
      <c r="F36" s="235">
        <v>27.388683589999999</v>
      </c>
      <c r="G36" s="235">
        <v>409.03176855999993</v>
      </c>
      <c r="H36" s="235"/>
      <c r="I36" s="235">
        <v>1303.2080235300004</v>
      </c>
      <c r="J36" s="235">
        <v>12243.146452039999</v>
      </c>
      <c r="K36" s="235">
        <v>6611.4008098900003</v>
      </c>
      <c r="L36" s="235">
        <v>70.819125850000006</v>
      </c>
      <c r="M36" s="235">
        <v>307.57162663999998</v>
      </c>
      <c r="N36" s="235"/>
      <c r="O36" s="235">
        <v>362.67963350000002</v>
      </c>
      <c r="P36" s="235">
        <v>32.207215189999999</v>
      </c>
      <c r="Q36" s="235">
        <v>2403.5454775299995</v>
      </c>
      <c r="R36" s="235">
        <v>102.74318541000001</v>
      </c>
      <c r="S36" s="235">
        <v>970.27832091999994</v>
      </c>
      <c r="T36" s="235"/>
      <c r="U36" s="235">
        <v>43.440575700000011</v>
      </c>
      <c r="V36" s="235">
        <v>0</v>
      </c>
      <c r="W36" s="235">
        <v>7.8704891000000003</v>
      </c>
      <c r="X36" s="236"/>
      <c r="Y36" s="126">
        <f t="shared" si="2"/>
        <v>25441.149426869997</v>
      </c>
      <c r="Z36" s="108"/>
    </row>
    <row r="37" spans="2:26" s="110" customFormat="1">
      <c r="B37" s="120"/>
      <c r="C37" s="123"/>
      <c r="D37" s="123" t="str">
        <f>IF(Indice_index!$Z$1=1,"setembro","September")</f>
        <v>September</v>
      </c>
      <c r="E37" s="235">
        <v>669.87227014999996</v>
      </c>
      <c r="F37" s="235">
        <v>28.400544719999999</v>
      </c>
      <c r="G37" s="235">
        <v>466.32166578999988</v>
      </c>
      <c r="H37" s="235"/>
      <c r="I37" s="235">
        <v>1467.0114731100007</v>
      </c>
      <c r="J37" s="235">
        <v>13647.950317939996</v>
      </c>
      <c r="K37" s="235">
        <v>7352.6111987700006</v>
      </c>
      <c r="L37" s="235">
        <v>81.123337890000002</v>
      </c>
      <c r="M37" s="235">
        <v>340.58875611000002</v>
      </c>
      <c r="N37" s="235"/>
      <c r="O37" s="235">
        <v>398.88039987999997</v>
      </c>
      <c r="P37" s="235">
        <v>37.164400799999996</v>
      </c>
      <c r="Q37" s="235">
        <v>2647.3879705100003</v>
      </c>
      <c r="R37" s="235">
        <v>126.00327399000001</v>
      </c>
      <c r="S37" s="235">
        <v>1050.2264871399998</v>
      </c>
      <c r="T37" s="235"/>
      <c r="U37" s="235">
        <v>63.503229340000004</v>
      </c>
      <c r="V37" s="235">
        <v>0</v>
      </c>
      <c r="W37" s="235">
        <v>9.6082581900000008</v>
      </c>
      <c r="X37" s="236"/>
      <c r="Y37" s="126">
        <f t="shared" si="2"/>
        <v>28386.653584329997</v>
      </c>
      <c r="Z37" s="108"/>
    </row>
    <row r="38" spans="2:26" s="110" customFormat="1">
      <c r="B38" s="120"/>
      <c r="C38" s="123"/>
      <c r="D38" s="123" t="str">
        <f>IF(Indice_index!$Z$1=1,"outubro","October")</f>
        <v>October</v>
      </c>
      <c r="E38" s="235"/>
      <c r="F38" s="235"/>
      <c r="G38" s="235"/>
      <c r="H38" s="235"/>
      <c r="I38" s="235"/>
      <c r="J38" s="235"/>
      <c r="K38" s="235"/>
      <c r="L38" s="235"/>
      <c r="M38" s="235"/>
      <c r="N38" s="235"/>
      <c r="O38" s="235"/>
      <c r="P38" s="235"/>
      <c r="Q38" s="235"/>
      <c r="R38" s="235"/>
      <c r="S38" s="235"/>
      <c r="T38" s="235"/>
      <c r="U38" s="235"/>
      <c r="V38" s="235"/>
      <c r="W38" s="235"/>
      <c r="X38" s="236"/>
      <c r="Y38" s="126" t="str">
        <f t="shared" si="2"/>
        <v/>
      </c>
      <c r="Z38" s="108"/>
    </row>
    <row r="39" spans="2:26" s="110" customFormat="1">
      <c r="B39" s="120"/>
      <c r="C39" s="123"/>
      <c r="D39" s="123" t="str">
        <f>IF(Indice_index!$Z$1=1,"novembro","November")</f>
        <v>November</v>
      </c>
      <c r="E39" s="235"/>
      <c r="F39" s="235"/>
      <c r="G39" s="235"/>
      <c r="H39" s="235"/>
      <c r="I39" s="235"/>
      <c r="J39" s="235"/>
      <c r="K39" s="235"/>
      <c r="L39" s="235"/>
      <c r="M39" s="235"/>
      <c r="N39" s="235"/>
      <c r="O39" s="235"/>
      <c r="P39" s="235"/>
      <c r="Q39" s="235"/>
      <c r="R39" s="235"/>
      <c r="S39" s="235"/>
      <c r="T39" s="235"/>
      <c r="U39" s="235"/>
      <c r="V39" s="235"/>
      <c r="W39" s="235"/>
      <c r="X39" s="236"/>
      <c r="Y39" s="126" t="str">
        <f t="shared" si="2"/>
        <v/>
      </c>
      <c r="Z39" s="108"/>
    </row>
    <row r="40" spans="2:26" s="110" customFormat="1">
      <c r="B40" s="120"/>
      <c r="C40" s="347"/>
      <c r="D40" s="347" t="str">
        <f>IF(Indice_index!$Z$1=1,"dezembro","December")</f>
        <v>December</v>
      </c>
      <c r="E40" s="348"/>
      <c r="F40" s="348"/>
      <c r="G40" s="348"/>
      <c r="H40" s="348"/>
      <c r="I40" s="348"/>
      <c r="J40" s="348"/>
      <c r="K40" s="348"/>
      <c r="L40" s="348"/>
      <c r="M40" s="348"/>
      <c r="N40" s="348"/>
      <c r="O40" s="348"/>
      <c r="P40" s="348"/>
      <c r="Q40" s="348"/>
      <c r="R40" s="348"/>
      <c r="S40" s="348"/>
      <c r="T40" s="348"/>
      <c r="U40" s="348"/>
      <c r="V40" s="348"/>
      <c r="W40" s="348"/>
      <c r="X40" s="349"/>
      <c r="Y40" s="350" t="str">
        <f>IF(SUM(E40:W40)=0,"",SUM(E40:W40))</f>
        <v/>
      </c>
      <c r="Z40" s="108"/>
    </row>
  </sheetData>
  <mergeCells count="4">
    <mergeCell ref="E5:G5"/>
    <mergeCell ref="I5:M5"/>
    <mergeCell ref="O5:S5"/>
    <mergeCell ref="U5:W5"/>
  </mergeCells>
  <printOptions horizontalCentered="1"/>
  <pageMargins left="0.25" right="0.25" top="0.75" bottom="0.75" header="0.3" footer="0.3"/>
  <pageSetup paperSize="9" scale="61" orientation="landscape"/>
  <headerFooter>
    <oddHeader>&amp;L&amp;G</oddHeader>
  </headerFooter>
  <ignoredErrors>
    <ignoredError sqref="C9:C10 C11:C12 C13 C14 C15 C28" numberStoredAsText="1"/>
    <ignoredError sqref="Y12" formula="1"/>
  </ignoredErrors>
  <drawing r:id="rId1"/>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Q70"/>
  <sheetViews>
    <sheetView showGridLines="0" showZeros="0" topLeftCell="A4" zoomScale="80" zoomScaleNormal="80" workbookViewId="0">
      <pane xSplit="3" topLeftCell="D1" activePane="topRight" state="frozen"/>
      <selection pane="topRight" activeCell="X42" sqref="X42"/>
    </sheetView>
  </sheetViews>
  <sheetFormatPr baseColWidth="10" defaultColWidth="9.1640625" defaultRowHeight="12"/>
  <cols>
    <col min="1" max="1" width="2.5" style="137" customWidth="1"/>
    <col min="2" max="2" width="4.6640625" style="137" customWidth="1"/>
    <col min="3" max="3" width="33.6640625" style="137" customWidth="1"/>
    <col min="4" max="21" width="13.6640625" style="137" customWidth="1"/>
    <col min="22" max="22" width="2.6640625" style="137" customWidth="1"/>
    <col min="23" max="36" width="13.6640625" style="137" customWidth="1"/>
    <col min="37" max="37" width="11.83203125" style="137" customWidth="1"/>
    <col min="38" max="40" width="13.6640625" style="137" customWidth="1"/>
    <col min="41" max="41" width="2.6640625" style="137" customWidth="1"/>
    <col min="42" max="59" width="13.6640625" style="137" customWidth="1"/>
    <col min="60" max="60" width="12.5" style="138" bestFit="1" customWidth="1"/>
    <col min="61" max="61" width="14.83203125" style="138" bestFit="1" customWidth="1"/>
    <col min="62" max="62" width="22.33203125" style="138" customWidth="1"/>
    <col min="63" max="66" width="9.1640625" style="152"/>
    <col min="67" max="69" width="9.1640625" style="153" customWidth="1"/>
    <col min="70" max="70" width="9.1640625" style="152" customWidth="1"/>
    <col min="71" max="75" width="9.1640625" style="152"/>
    <col min="76" max="16384" width="9.1640625" style="137"/>
  </cols>
  <sheetData>
    <row r="1" spans="2:85" s="14" customFormat="1" ht="37.5" customHeight="1">
      <c r="B1" s="13"/>
      <c r="C1" s="13"/>
      <c r="H1" s="15"/>
      <c r="I1" s="15"/>
      <c r="T1" s="262"/>
      <c r="BH1" s="156"/>
      <c r="BI1" s="156"/>
      <c r="BJ1" s="156"/>
      <c r="BK1" s="151"/>
      <c r="BL1" s="151"/>
      <c r="BM1" s="151"/>
      <c r="BN1" s="151"/>
      <c r="BO1" s="151"/>
      <c r="BP1" s="151"/>
      <c r="BQ1" s="151"/>
      <c r="BR1" s="151"/>
      <c r="BS1" s="151"/>
      <c r="BT1" s="151"/>
      <c r="BU1" s="151"/>
      <c r="BV1" s="151"/>
      <c r="BW1" s="151"/>
      <c r="BX1"/>
      <c r="BY1"/>
      <c r="BZ1"/>
      <c r="CA1"/>
      <c r="CB1"/>
      <c r="CC1"/>
      <c r="CD1"/>
      <c r="CE1"/>
      <c r="CF1"/>
      <c r="CG1"/>
    </row>
    <row r="2" spans="2:85" ht="22.5" customHeight="1" thickBot="1">
      <c r="B2" s="103" t="s">
        <v>8</v>
      </c>
      <c r="C2" s="399" t="str">
        <f>IF(Indice_index!$Z$1=1,"6 - Despesa do subsetor dos Serviços e Fundos Autónomos - Classificação Económica/Orgânica","6 - Autonomous Services and Funds - Economic/Organic Classification")</f>
        <v>6 - Autonomous Services and Funds - Economic/Organic Classification</v>
      </c>
      <c r="D2" s="399"/>
      <c r="E2" s="399"/>
      <c r="F2" s="399"/>
      <c r="G2" s="399"/>
      <c r="H2" s="399"/>
      <c r="I2" s="399"/>
      <c r="J2" s="399"/>
      <c r="K2" s="356"/>
      <c r="L2" s="356"/>
      <c r="M2" s="356"/>
      <c r="N2" s="356"/>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c r="BC2" s="104"/>
      <c r="BD2" s="104"/>
      <c r="BE2" s="104"/>
      <c r="BF2" s="104"/>
      <c r="BG2" s="104"/>
      <c r="BH2" s="156"/>
      <c r="BI2" s="156"/>
      <c r="BJ2" s="156"/>
      <c r="BK2" s="151"/>
      <c r="BL2" s="151"/>
      <c r="BM2" s="151"/>
      <c r="BN2" s="151"/>
      <c r="BO2" s="151"/>
      <c r="BP2" s="151"/>
      <c r="BQ2" s="151"/>
      <c r="BR2" s="151"/>
      <c r="BS2" s="151"/>
      <c r="BT2" s="151"/>
      <c r="BU2" s="151"/>
      <c r="BV2" s="151"/>
      <c r="BW2" s="151"/>
      <c r="BX2"/>
      <c r="BY2"/>
      <c r="BZ2"/>
      <c r="CA2"/>
      <c r="CB2"/>
      <c r="CC2"/>
      <c r="CD2"/>
      <c r="CE2"/>
      <c r="CF2"/>
      <c r="CG2"/>
    </row>
    <row r="3" spans="2:85" ht="13">
      <c r="D3" s="14"/>
      <c r="E3" s="14"/>
      <c r="F3" s="14"/>
      <c r="I3" s="139"/>
      <c r="BH3" s="156"/>
      <c r="BI3" s="156"/>
      <c r="BJ3" s="156"/>
      <c r="BK3" s="151"/>
      <c r="BL3" s="151"/>
      <c r="BM3" s="151"/>
      <c r="BN3" s="151"/>
      <c r="BO3" s="151"/>
      <c r="BP3" s="151"/>
      <c r="BQ3" s="151"/>
      <c r="BR3" s="151"/>
      <c r="BS3" s="151"/>
      <c r="BT3" s="151"/>
      <c r="BU3" s="151"/>
      <c r="BV3" s="151"/>
      <c r="BW3" s="151"/>
      <c r="BX3"/>
      <c r="BY3"/>
      <c r="BZ3"/>
      <c r="CA3"/>
      <c r="CB3"/>
      <c r="CC3"/>
      <c r="CD3"/>
      <c r="CE3"/>
      <c r="CF3"/>
      <c r="CG3"/>
    </row>
    <row r="4" spans="2:85" ht="13">
      <c r="F4" s="139"/>
      <c r="I4" s="139"/>
      <c r="BH4" s="156"/>
      <c r="BI4" s="156"/>
      <c r="BJ4" s="156"/>
      <c r="BK4" s="151"/>
      <c r="BL4" s="151"/>
      <c r="BM4" s="151"/>
      <c r="BN4" s="151"/>
      <c r="BO4" s="151"/>
      <c r="BP4" s="151"/>
      <c r="BQ4" s="151"/>
      <c r="BR4" s="151"/>
      <c r="BS4" s="151"/>
      <c r="BT4" s="151"/>
      <c r="BU4" s="151"/>
      <c r="BV4" s="151"/>
      <c r="BW4" s="151"/>
      <c r="BX4"/>
      <c r="BY4"/>
      <c r="BZ4"/>
      <c r="CA4"/>
      <c r="CB4"/>
      <c r="CC4"/>
      <c r="CD4"/>
      <c r="CE4"/>
      <c r="CF4"/>
      <c r="CG4"/>
    </row>
    <row r="5" spans="2:85" ht="14" customHeight="1">
      <c r="C5" s="260" t="str">
        <f>+'Estado - orgânica'!C5</f>
        <v>(Period: January to September)</v>
      </c>
      <c r="D5" s="157"/>
      <c r="E5" s="157"/>
      <c r="F5" s="157"/>
      <c r="G5" s="157"/>
      <c r="H5" s="157"/>
      <c r="I5" s="157"/>
      <c r="J5" s="157"/>
      <c r="K5" s="157"/>
      <c r="L5" s="157"/>
      <c r="M5" s="157"/>
      <c r="N5" s="157"/>
      <c r="O5" s="157"/>
      <c r="P5" s="157"/>
      <c r="Q5" s="157"/>
      <c r="R5" s="157"/>
      <c r="S5" s="157"/>
      <c r="T5" s="157"/>
      <c r="U5" s="204" t="str">
        <f>IF(Indice_index!$Z$1=1,"€ Milhões","€ Million")</f>
        <v>€ Million</v>
      </c>
      <c r="V5" s="157"/>
      <c r="W5" s="157"/>
      <c r="X5" s="157"/>
      <c r="Y5" s="157"/>
      <c r="Z5" s="157"/>
      <c r="AA5" s="157"/>
      <c r="AB5" s="157"/>
      <c r="AC5" s="157"/>
      <c r="AD5" s="157"/>
      <c r="AE5" s="157"/>
      <c r="AF5" s="157"/>
      <c r="AG5" s="157"/>
      <c r="AH5" s="157"/>
      <c r="AI5" s="157"/>
      <c r="AJ5" s="157"/>
      <c r="AK5" s="157"/>
      <c r="AL5" s="157"/>
      <c r="AM5" s="157"/>
      <c r="AN5" s="204" t="str">
        <f>IF(Indice_index!$Z$1=1,"€ Milhões","€ Million")</f>
        <v>€ Million</v>
      </c>
      <c r="AO5" s="157"/>
      <c r="AP5" s="157"/>
      <c r="AQ5" s="157"/>
      <c r="AR5" s="157"/>
      <c r="AS5" s="157"/>
      <c r="AT5" s="157"/>
      <c r="AU5" s="157"/>
      <c r="AV5" s="157"/>
      <c r="AW5" s="157"/>
      <c r="AX5" s="157"/>
      <c r="AY5" s="157"/>
      <c r="AZ5" s="157"/>
      <c r="BA5" s="157"/>
      <c r="BB5" s="157"/>
      <c r="BC5" s="157"/>
      <c r="BD5" s="157"/>
      <c r="BE5" s="157"/>
      <c r="BF5" s="157"/>
      <c r="BG5" s="157"/>
      <c r="BH5" s="156"/>
      <c r="BI5" s="156"/>
      <c r="BJ5" s="156"/>
      <c r="BK5" s="151"/>
      <c r="BL5" s="151"/>
      <c r="BM5" s="151"/>
      <c r="BN5" s="151"/>
      <c r="BO5" s="151"/>
      <c r="BP5" s="151"/>
      <c r="BQ5" s="151"/>
      <c r="BR5" s="151"/>
      <c r="BS5" s="151"/>
      <c r="BT5" s="151"/>
      <c r="BU5" s="151"/>
      <c r="BV5" s="151"/>
      <c r="BW5" s="151"/>
      <c r="BX5"/>
      <c r="BY5"/>
      <c r="BZ5"/>
      <c r="CA5"/>
      <c r="CB5"/>
      <c r="CC5"/>
      <c r="CD5"/>
      <c r="CE5"/>
      <c r="CF5"/>
      <c r="CG5"/>
    </row>
    <row r="6" spans="2:85" ht="14">
      <c r="C6" s="158"/>
      <c r="D6" s="400">
        <f>'Estado - orgânica'!D6:U6</f>
        <v>2018</v>
      </c>
      <c r="E6" s="400"/>
      <c r="F6" s="400"/>
      <c r="G6" s="400"/>
      <c r="H6" s="400"/>
      <c r="I6" s="400"/>
      <c r="J6" s="400"/>
      <c r="K6" s="400"/>
      <c r="L6" s="400"/>
      <c r="M6" s="400"/>
      <c r="N6" s="400"/>
      <c r="O6" s="400"/>
      <c r="P6" s="400"/>
      <c r="Q6" s="400"/>
      <c r="R6" s="400"/>
      <c r="S6" s="400"/>
      <c r="T6" s="400"/>
      <c r="U6" s="400"/>
      <c r="V6" s="159"/>
      <c r="W6" s="400">
        <f>'Estado - orgânica'!W6:AN6</f>
        <v>2017</v>
      </c>
      <c r="X6" s="400"/>
      <c r="Y6" s="400"/>
      <c r="Z6" s="400"/>
      <c r="AA6" s="400"/>
      <c r="AB6" s="400"/>
      <c r="AC6" s="400"/>
      <c r="AD6" s="400"/>
      <c r="AE6" s="400"/>
      <c r="AF6" s="400"/>
      <c r="AG6" s="400"/>
      <c r="AH6" s="400"/>
      <c r="AI6" s="400"/>
      <c r="AJ6" s="400"/>
      <c r="AK6" s="400"/>
      <c r="AL6" s="400"/>
      <c r="AM6" s="400"/>
      <c r="AN6" s="400"/>
      <c r="AO6" s="159"/>
      <c r="AP6" s="398" t="str">
        <f>IF(Indice_index!$Z$1=1,"VH (%)","YOY Change Rate (%)")</f>
        <v>YOY Change Rate (%)</v>
      </c>
      <c r="AQ6" s="398"/>
      <c r="AR6" s="398"/>
      <c r="AS6" s="398"/>
      <c r="AT6" s="398"/>
      <c r="AU6" s="398"/>
      <c r="AV6" s="398"/>
      <c r="AW6" s="398"/>
      <c r="AX6" s="398"/>
      <c r="AY6" s="398"/>
      <c r="AZ6" s="398"/>
      <c r="BA6" s="398"/>
      <c r="BB6" s="398"/>
      <c r="BC6" s="398"/>
      <c r="BD6" s="398"/>
      <c r="BE6" s="398"/>
      <c r="BF6" s="398"/>
      <c r="BG6" s="398"/>
      <c r="BH6" s="156"/>
      <c r="BI6" s="156"/>
      <c r="BJ6" s="156"/>
      <c r="BK6" s="151"/>
      <c r="BL6" s="151"/>
      <c r="BM6" s="151"/>
      <c r="BN6" s="151"/>
      <c r="BO6" s="151"/>
      <c r="BP6" s="151"/>
      <c r="BQ6" s="151"/>
      <c r="BR6" s="151"/>
      <c r="BS6" s="151"/>
      <c r="BT6" s="151"/>
      <c r="BU6" s="151"/>
      <c r="BV6" s="151"/>
      <c r="BW6" s="151"/>
      <c r="BX6"/>
      <c r="BY6"/>
      <c r="BZ6"/>
      <c r="CA6"/>
      <c r="CB6"/>
      <c r="CC6"/>
      <c r="CD6"/>
      <c r="CE6"/>
      <c r="CF6"/>
      <c r="CG6"/>
    </row>
    <row r="7" spans="2:85" ht="78.5" customHeight="1">
      <c r="C7" s="160"/>
      <c r="D7" s="161" t="s">
        <v>143</v>
      </c>
      <c r="E7" s="162" t="s">
        <v>144</v>
      </c>
      <c r="F7" s="161" t="s">
        <v>145</v>
      </c>
      <c r="G7" s="161" t="s">
        <v>118</v>
      </c>
      <c r="H7" s="161" t="s">
        <v>146</v>
      </c>
      <c r="I7" s="161" t="s">
        <v>147</v>
      </c>
      <c r="J7" s="161" t="s">
        <v>119</v>
      </c>
      <c r="K7" s="161" t="s">
        <v>120</v>
      </c>
      <c r="L7" s="161" t="s">
        <v>121</v>
      </c>
      <c r="M7" s="161" t="s">
        <v>148</v>
      </c>
      <c r="N7" s="161" t="s">
        <v>122</v>
      </c>
      <c r="O7" s="161" t="s">
        <v>123</v>
      </c>
      <c r="P7" s="262" t="s">
        <v>124</v>
      </c>
      <c r="Q7" s="262" t="s">
        <v>125</v>
      </c>
      <c r="R7" s="262" t="s">
        <v>126</v>
      </c>
      <c r="S7" s="263" t="s">
        <v>127</v>
      </c>
      <c r="T7" s="262" t="s">
        <v>128</v>
      </c>
      <c r="U7" s="161" t="s">
        <v>9</v>
      </c>
      <c r="V7" s="163"/>
      <c r="W7" s="161" t="s">
        <v>143</v>
      </c>
      <c r="X7" s="162" t="s">
        <v>144</v>
      </c>
      <c r="Y7" s="161" t="s">
        <v>145</v>
      </c>
      <c r="Z7" s="161" t="s">
        <v>118</v>
      </c>
      <c r="AA7" s="161" t="s">
        <v>146</v>
      </c>
      <c r="AB7" s="161" t="s">
        <v>147</v>
      </c>
      <c r="AC7" s="161" t="s">
        <v>119</v>
      </c>
      <c r="AD7" s="161" t="s">
        <v>120</v>
      </c>
      <c r="AE7" s="161" t="s">
        <v>121</v>
      </c>
      <c r="AF7" s="161" t="s">
        <v>148</v>
      </c>
      <c r="AG7" s="161" t="s">
        <v>122</v>
      </c>
      <c r="AH7" s="161" t="s">
        <v>123</v>
      </c>
      <c r="AI7" s="262" t="s">
        <v>124</v>
      </c>
      <c r="AJ7" s="262" t="s">
        <v>125</v>
      </c>
      <c r="AK7" s="262" t="s">
        <v>126</v>
      </c>
      <c r="AL7" s="263" t="s">
        <v>127</v>
      </c>
      <c r="AM7" s="262" t="s">
        <v>128</v>
      </c>
      <c r="AN7" s="161" t="s">
        <v>9</v>
      </c>
      <c r="AO7" s="163"/>
      <c r="AP7" s="161" t="s">
        <v>143</v>
      </c>
      <c r="AQ7" s="162" t="s">
        <v>144</v>
      </c>
      <c r="AR7" s="161" t="s">
        <v>145</v>
      </c>
      <c r="AS7" s="161" t="s">
        <v>118</v>
      </c>
      <c r="AT7" s="161" t="s">
        <v>146</v>
      </c>
      <c r="AU7" s="161" t="s">
        <v>147</v>
      </c>
      <c r="AV7" s="161" t="s">
        <v>119</v>
      </c>
      <c r="AW7" s="161" t="s">
        <v>120</v>
      </c>
      <c r="AX7" s="161" t="s">
        <v>121</v>
      </c>
      <c r="AY7" s="161" t="s">
        <v>148</v>
      </c>
      <c r="AZ7" s="161" t="s">
        <v>122</v>
      </c>
      <c r="BA7" s="161" t="s">
        <v>123</v>
      </c>
      <c r="BB7" s="262" t="s">
        <v>124</v>
      </c>
      <c r="BC7" s="262" t="s">
        <v>125</v>
      </c>
      <c r="BD7" s="262" t="s">
        <v>126</v>
      </c>
      <c r="BE7" s="263" t="s">
        <v>127</v>
      </c>
      <c r="BF7" s="262" t="s">
        <v>128</v>
      </c>
      <c r="BG7" s="161" t="s">
        <v>9</v>
      </c>
      <c r="BH7" s="165"/>
      <c r="BI7" s="165"/>
      <c r="BJ7" s="165"/>
      <c r="BK7" s="166"/>
      <c r="BL7" s="166"/>
      <c r="BM7" s="166"/>
      <c r="BN7" s="166"/>
    </row>
    <row r="8" spans="2:85" ht="14">
      <c r="C8" s="167" t="str">
        <f>IF(Indice_index!$Z$1=1,"Despesa corrente","Current Expenditure")</f>
        <v>Current Expenditure</v>
      </c>
      <c r="D8" s="243">
        <f t="shared" ref="D8:T8" si="0">+D9+D13+D16+D17+D24+D25</f>
        <v>207.80013728999998</v>
      </c>
      <c r="E8" s="243">
        <f t="shared" si="0"/>
        <v>46.546023400000003</v>
      </c>
      <c r="F8" s="243">
        <f t="shared" si="0"/>
        <v>82.850506360000011</v>
      </c>
      <c r="G8" s="243">
        <f t="shared" si="0"/>
        <v>330.24646572</v>
      </c>
      <c r="H8" s="243">
        <f t="shared" si="0"/>
        <v>100.88639643000003</v>
      </c>
      <c r="I8" s="243">
        <f t="shared" si="0"/>
        <v>97.71153501000002</v>
      </c>
      <c r="J8" s="243">
        <f t="shared" si="0"/>
        <v>250.64512553000003</v>
      </c>
      <c r="K8" s="243">
        <f>+K9+K13+K16+K17+K24+K25</f>
        <v>278.40828402</v>
      </c>
      <c r="L8" s="243">
        <f>+L9+L13+L16+L17+L24+L25</f>
        <v>1337.04155545</v>
      </c>
      <c r="M8" s="243">
        <f>+M9+M13+M16+M17+M24+M25</f>
        <v>228.20430193999997</v>
      </c>
      <c r="N8" s="243">
        <f>+N9+N13+N16+N17+N24+N25</f>
        <v>7749.3065075600025</v>
      </c>
      <c r="O8" s="243">
        <f t="shared" si="0"/>
        <v>13561.841699620001</v>
      </c>
      <c r="P8" s="243">
        <f t="shared" si="0"/>
        <v>873.85325721000027</v>
      </c>
      <c r="Q8" s="243">
        <f t="shared" si="0"/>
        <v>203.85914615000002</v>
      </c>
      <c r="R8" s="243">
        <f t="shared" si="0"/>
        <v>777.05688916000008</v>
      </c>
      <c r="S8" s="243">
        <f t="shared" si="0"/>
        <v>238.20333721</v>
      </c>
      <c r="T8" s="243">
        <f t="shared" si="0"/>
        <v>20.24336748</v>
      </c>
      <c r="U8" s="243">
        <f>+U9+U13+U16+U17+U24+U25</f>
        <v>26384.704535540004</v>
      </c>
      <c r="V8" s="168"/>
      <c r="W8" s="243">
        <f t="shared" ref="W8:AM8" si="1">+W9+W13+W16+W17+W24+W25</f>
        <v>197.88712519000001</v>
      </c>
      <c r="X8" s="243">
        <f t="shared" si="1"/>
        <v>41.314410990000006</v>
      </c>
      <c r="Y8" s="243">
        <f t="shared" si="1"/>
        <v>88.576441970000005</v>
      </c>
      <c r="Z8" s="243">
        <f t="shared" si="1"/>
        <v>550.72661835999997</v>
      </c>
      <c r="AA8" s="243">
        <f t="shared" si="1"/>
        <v>112.80472057</v>
      </c>
      <c r="AB8" s="243">
        <f t="shared" si="1"/>
        <v>90.610853719999994</v>
      </c>
      <c r="AC8" s="243">
        <f t="shared" si="1"/>
        <v>239.63470355999996</v>
      </c>
      <c r="AD8" s="243">
        <f>+AD9+AD13+AD16+AD17+AD24+AD25</f>
        <v>259.82645802999997</v>
      </c>
      <c r="AE8" s="243">
        <f>+AE9+AE13+AE16+AE17+AE24+AE25</f>
        <v>1331.1981285100001</v>
      </c>
      <c r="AF8" s="243">
        <f>+AF9+AF13+AF16+AF17+AF24+AF25</f>
        <v>203.97306255000001</v>
      </c>
      <c r="AG8" s="243">
        <f>+AG9+AG13+AG16+AG17+AG24+AG25</f>
        <v>7910.4276848299996</v>
      </c>
      <c r="AH8" s="243">
        <f t="shared" si="1"/>
        <v>12252.91705729</v>
      </c>
      <c r="AI8" s="243">
        <f t="shared" si="1"/>
        <v>739.10935460000007</v>
      </c>
      <c r="AJ8" s="243">
        <f t="shared" si="1"/>
        <v>189.90063696999997</v>
      </c>
      <c r="AK8" s="243">
        <f t="shared" si="1"/>
        <v>551.88577561</v>
      </c>
      <c r="AL8" s="243">
        <f t="shared" si="1"/>
        <v>223.42700692</v>
      </c>
      <c r="AM8" s="243">
        <f t="shared" si="1"/>
        <v>21.157907220000002</v>
      </c>
      <c r="AN8" s="243">
        <f>+AN9+AN13+AN16+AN17+AN24+AN25</f>
        <v>25005.377946889999</v>
      </c>
      <c r="AO8" s="168"/>
      <c r="AP8" s="169">
        <f t="shared" ref="AP8:AP25" si="2">IF(W8=0,"-",IF((D8/W8)&gt;3,"-",((D8-W8)/W8)*100))</f>
        <v>5.0094275160559647</v>
      </c>
      <c r="AQ8" s="169">
        <f t="shared" ref="AQ8:AQ25" si="3">IF(X8=0,"-",IF((E8/X8)&gt;3,"-",((E8-X8)/X8)*100))</f>
        <v>12.662923867573204</v>
      </c>
      <c r="AR8" s="169">
        <f t="shared" ref="AR8:AR25" si="4">IF(Y8=0,"-",IF((F8/Y8)&gt;3,"-",((F8-Y8)/Y8)*100))</f>
        <v>-6.464400107580877</v>
      </c>
      <c r="AS8" s="169">
        <f t="shared" ref="AS8:AS25" si="5">IF(Z8=0,"-",IF((G8/Z8)&gt;3,"-",((G8-Z8)/Z8)*100))</f>
        <v>-40.034410048412823</v>
      </c>
      <c r="AT8" s="169">
        <f t="shared" ref="AT8:AT25" si="6">IF(AA8=0,"-",IF((H8/AA8)&gt;3,"-",((H8-AA8)/AA8)*100))</f>
        <v>-10.565448041338087</v>
      </c>
      <c r="AU8" s="169">
        <f t="shared" ref="AU8:AU25" si="7">IF(AB8=0,"-",IF((I8/AB8)&gt;3,"-",((I8-AB8)/AB8)*100))</f>
        <v>7.8364577735268979</v>
      </c>
      <c r="AV8" s="169">
        <f t="shared" ref="AV8:AV25" si="8">IF(AC8=0,"-",IF((J8/AC8)&gt;3,"-",((J8-AC8)/AC8)*100))</f>
        <v>4.5946692221242769</v>
      </c>
      <c r="AW8" s="169">
        <f t="shared" ref="AW8:AW25" si="9">IF(AD8=0,"-",IF((K8/AD8)&gt;3,"-",((K8-AD8)/AD8)*100))</f>
        <v>7.151629641910656</v>
      </c>
      <c r="AX8" s="169">
        <f t="shared" ref="AX8:AX25" si="10">IF(AE8=0,"-",IF((L8/AE8)&gt;3,"-",((L8-AE8)/AE8)*100))</f>
        <v>0.43895997258803809</v>
      </c>
      <c r="AY8" s="169">
        <f t="shared" ref="AY8:AY25" si="11">IF(AF8=0,"-",IF((M8/AF8)&gt;3,"-",((M8-AF8)/AF8)*100))</f>
        <v>11.879627185604541</v>
      </c>
      <c r="AZ8" s="169">
        <f t="shared" ref="AZ8:AZ25" si="12">IF(AG8=0,"-",IF((N8/AG8)&gt;3,"-",((N8-AG8)/AG8)*100))</f>
        <v>-2.0368200518283324</v>
      </c>
      <c r="BA8" s="169">
        <f t="shared" ref="BA8:BA25" si="13">IF(AH8=0,"-",IF((O8/AH8)&gt;3,"-",((O8-AH8)/AH8)*100))</f>
        <v>10.68255531486882</v>
      </c>
      <c r="BB8" s="169">
        <f t="shared" ref="BB8:BB25" si="14">IF(AI8=0,"-",IF((P8/AI8)&gt;3,"-",((P8-AI8)/AI8)*100))</f>
        <v>18.230577352511318</v>
      </c>
      <c r="BC8" s="169">
        <f t="shared" ref="BC8:BC25" si="15">IF(AJ8=0,"-",IF((Q8/AJ8)&gt;3,"-",((Q8-AJ8)/AJ8)*100))</f>
        <v>7.3504277830332825</v>
      </c>
      <c r="BD8" s="169">
        <f t="shared" ref="BD8:BD25" si="16">IF(AK8=0,"-",IF((R8/AK8)&gt;3,"-",((R8-AK8)/AK8)*100))</f>
        <v>40.800311133425787</v>
      </c>
      <c r="BE8" s="169">
        <f t="shared" ref="BE8:BE25" si="17">IF(AL8=0,"-",IF((S8/AL8)&gt;3,"-",((S8-AL8)/AL8)*100))</f>
        <v>6.6134933702490128</v>
      </c>
      <c r="BF8" s="169">
        <f t="shared" ref="BF8:BF25" si="18">IF(AM8=0,"-",IF((T8/AM8)&gt;3,"-",((T8-AM8)/AM8)*100))</f>
        <v>-4.3224489572178113</v>
      </c>
      <c r="BG8" s="170">
        <f t="shared" ref="BG8:BG25" si="19">IF(AN8=0,"-",IF((U8/AN8)&gt;3,"-",((U8-AN8)/AN8)*100))</f>
        <v>5.5161197386402874</v>
      </c>
      <c r="BH8" s="165"/>
      <c r="BI8" s="165"/>
      <c r="BJ8" s="165"/>
      <c r="BK8" s="166"/>
      <c r="BL8" s="166"/>
      <c r="BM8" s="166"/>
      <c r="BN8" s="166"/>
    </row>
    <row r="9" spans="2:85" ht="14">
      <c r="C9" s="171" t="str">
        <f>IF(Indice_index!$Z$1=1,"Despesas com o pessoal","Employees")</f>
        <v>Employees</v>
      </c>
      <c r="D9" s="244">
        <f t="shared" ref="D9:T9" si="20">SUM(D10:D12)</f>
        <v>158.54386579999999</v>
      </c>
      <c r="E9" s="244">
        <f t="shared" si="20"/>
        <v>22.734412640000002</v>
      </c>
      <c r="F9" s="244">
        <f t="shared" si="20"/>
        <v>40.588224990000008</v>
      </c>
      <c r="G9" s="244">
        <f t="shared" si="20"/>
        <v>51.712184139999984</v>
      </c>
      <c r="H9" s="244">
        <f t="shared" si="20"/>
        <v>66.979286280000025</v>
      </c>
      <c r="I9" s="244">
        <f t="shared" si="20"/>
        <v>9.3964576099999988</v>
      </c>
      <c r="J9" s="244">
        <f t="shared" si="20"/>
        <v>19.989928190000001</v>
      </c>
      <c r="K9" s="244">
        <f>SUM(K10:K12)</f>
        <v>92.269442429999998</v>
      </c>
      <c r="L9" s="244">
        <f>SUM(L10:L12)</f>
        <v>952.04634318000012</v>
      </c>
      <c r="M9" s="244">
        <f>SUM(M10:M12)</f>
        <v>32.406533670000002</v>
      </c>
      <c r="N9" s="244">
        <f>SUM(N10:N12)</f>
        <v>216.93089688999999</v>
      </c>
      <c r="O9" s="244">
        <f t="shared" si="20"/>
        <v>2950.4912919500002</v>
      </c>
      <c r="P9" s="244">
        <f t="shared" si="20"/>
        <v>258.45505052999999</v>
      </c>
      <c r="Q9" s="244">
        <f t="shared" si="20"/>
        <v>54.326449820000001</v>
      </c>
      <c r="R9" s="244">
        <f t="shared" si="20"/>
        <v>94.841148220000008</v>
      </c>
      <c r="S9" s="244">
        <f t="shared" si="20"/>
        <v>58.920391959999989</v>
      </c>
      <c r="T9" s="244">
        <f t="shared" si="20"/>
        <v>10.002746739999999</v>
      </c>
      <c r="U9" s="244">
        <f>SUM(U10:U12)</f>
        <v>5090.6346550400003</v>
      </c>
      <c r="V9" s="163"/>
      <c r="W9" s="244">
        <f t="shared" ref="W9:AM9" si="21">SUM(W10:W12)</f>
        <v>160.55648771</v>
      </c>
      <c r="X9" s="244">
        <f t="shared" si="21"/>
        <v>23.17252517</v>
      </c>
      <c r="Y9" s="244">
        <f t="shared" si="21"/>
        <v>42.265103449999998</v>
      </c>
      <c r="Z9" s="244">
        <f t="shared" si="21"/>
        <v>69.570494949999997</v>
      </c>
      <c r="AA9" s="244">
        <f t="shared" si="21"/>
        <v>63.528438140000006</v>
      </c>
      <c r="AB9" s="244">
        <f t="shared" si="21"/>
        <v>9.7705111400000018</v>
      </c>
      <c r="AC9" s="244">
        <f t="shared" si="21"/>
        <v>19.622448210000002</v>
      </c>
      <c r="AD9" s="244">
        <f>SUM(AD10:AD12)</f>
        <v>91.400158649999995</v>
      </c>
      <c r="AE9" s="244">
        <f>SUM(AE10:AE12)</f>
        <v>971.78896970999983</v>
      </c>
      <c r="AF9" s="244">
        <f>SUM(AF10:AF12)</f>
        <v>25.507443940000002</v>
      </c>
      <c r="AG9" s="244">
        <f>SUM(AG10:AG12)</f>
        <v>213.65926911999998</v>
      </c>
      <c r="AH9" s="244">
        <f t="shared" si="21"/>
        <v>2916.3801879399998</v>
      </c>
      <c r="AI9" s="244">
        <f t="shared" si="21"/>
        <v>253.17996172000002</v>
      </c>
      <c r="AJ9" s="244">
        <f t="shared" si="21"/>
        <v>55.379105689999989</v>
      </c>
      <c r="AK9" s="244">
        <f t="shared" si="21"/>
        <v>92.046529450000008</v>
      </c>
      <c r="AL9" s="244">
        <f t="shared" si="21"/>
        <v>59.700679970000003</v>
      </c>
      <c r="AM9" s="244">
        <f t="shared" si="21"/>
        <v>10.207604460000002</v>
      </c>
      <c r="AN9" s="244">
        <f>SUM(AN10:AN12)</f>
        <v>5077.7359194199998</v>
      </c>
      <c r="AO9" s="163"/>
      <c r="AP9" s="172">
        <f t="shared" si="2"/>
        <v>-1.2535288599706047</v>
      </c>
      <c r="AQ9" s="172">
        <f t="shared" si="3"/>
        <v>-1.8906551046374283</v>
      </c>
      <c r="AR9" s="172">
        <f t="shared" si="4"/>
        <v>-3.9675247973396139</v>
      </c>
      <c r="AS9" s="172">
        <f t="shared" si="5"/>
        <v>-25.669374384693828</v>
      </c>
      <c r="AT9" s="172">
        <f t="shared" si="6"/>
        <v>5.4319738388582062</v>
      </c>
      <c r="AU9" s="172">
        <f t="shared" si="7"/>
        <v>-3.8283926464056304</v>
      </c>
      <c r="AV9" s="172">
        <f t="shared" si="8"/>
        <v>1.8727529616448344</v>
      </c>
      <c r="AW9" s="172">
        <f t="shared" si="9"/>
        <v>0.95107469487965002</v>
      </c>
      <c r="AX9" s="172">
        <f t="shared" si="10"/>
        <v>-2.0315754907046624</v>
      </c>
      <c r="AY9" s="172">
        <f t="shared" si="11"/>
        <v>27.047358199545258</v>
      </c>
      <c r="AZ9" s="172">
        <f t="shared" si="12"/>
        <v>1.5312360579884443</v>
      </c>
      <c r="BA9" s="172">
        <f t="shared" si="13"/>
        <v>1.1696384494401251</v>
      </c>
      <c r="BB9" s="172">
        <f t="shared" si="14"/>
        <v>2.0835332994614575</v>
      </c>
      <c r="BC9" s="172">
        <f t="shared" si="15"/>
        <v>-1.9008177486514919</v>
      </c>
      <c r="BD9" s="172">
        <f t="shared" si="16"/>
        <v>3.0360935786482268</v>
      </c>
      <c r="BE9" s="172">
        <f t="shared" si="17"/>
        <v>-1.30700020567959</v>
      </c>
      <c r="BF9" s="172">
        <f t="shared" si="18"/>
        <v>-2.0069127952867718</v>
      </c>
      <c r="BG9" s="173">
        <f t="shared" si="19"/>
        <v>0.25402533382385561</v>
      </c>
      <c r="BH9" s="165"/>
      <c r="BI9" s="165"/>
      <c r="BJ9" s="165"/>
      <c r="BK9" s="166"/>
      <c r="BL9" s="166"/>
      <c r="BM9" s="166"/>
      <c r="BN9" s="166"/>
    </row>
    <row r="10" spans="2:85" ht="14">
      <c r="C10" s="174" t="str">
        <f>IF(Indice_index!$Z$1=1,"Remunerações Certas e Permanentes","Certain and permanent wages")</f>
        <v>Certain and permanent wages</v>
      </c>
      <c r="D10" s="251">
        <v>110.60086752999999</v>
      </c>
      <c r="E10" s="251">
        <v>18.14541316</v>
      </c>
      <c r="F10" s="251">
        <v>30.874837410000005</v>
      </c>
      <c r="G10" s="251">
        <v>37.195474479999987</v>
      </c>
      <c r="H10" s="251">
        <v>15.155189439999999</v>
      </c>
      <c r="I10" s="251">
        <v>7.5758798699999987</v>
      </c>
      <c r="J10" s="251">
        <v>17.162154140000002</v>
      </c>
      <c r="K10" s="251">
        <v>84.650223670000003</v>
      </c>
      <c r="L10" s="251">
        <v>760.7672596000001</v>
      </c>
      <c r="M10" s="251">
        <v>25.458131950000002</v>
      </c>
      <c r="N10" s="251">
        <v>167.13598746999998</v>
      </c>
      <c r="O10" s="251">
        <v>2026.9458499500001</v>
      </c>
      <c r="P10" s="251">
        <v>176.23538364000001</v>
      </c>
      <c r="Q10" s="251">
        <v>43.461182700000002</v>
      </c>
      <c r="R10" s="251">
        <v>64.269662190000005</v>
      </c>
      <c r="S10" s="251">
        <v>46.050349539999992</v>
      </c>
      <c r="T10" s="251">
        <v>7.4241640799999997</v>
      </c>
      <c r="U10" s="244">
        <f>SUM(D10:T10)</f>
        <v>3639.1080108199999</v>
      </c>
      <c r="V10" s="163"/>
      <c r="W10" s="251">
        <v>115.05037677</v>
      </c>
      <c r="X10" s="251">
        <v>18.456179759999998</v>
      </c>
      <c r="Y10" s="251">
        <v>32.058621589999994</v>
      </c>
      <c r="Z10" s="251">
        <v>40.165498369999995</v>
      </c>
      <c r="AA10" s="251">
        <v>18.363466679999998</v>
      </c>
      <c r="AB10" s="251">
        <v>7.6867631900000015</v>
      </c>
      <c r="AC10" s="251">
        <v>16.446536810000001</v>
      </c>
      <c r="AD10" s="251">
        <v>84.426413789999998</v>
      </c>
      <c r="AE10" s="251">
        <v>782.84340824999992</v>
      </c>
      <c r="AF10" s="251">
        <v>19.546299600000001</v>
      </c>
      <c r="AG10" s="251">
        <v>164.57440798000002</v>
      </c>
      <c r="AH10" s="251">
        <v>1998.6726751599999</v>
      </c>
      <c r="AI10" s="251">
        <v>177.47087944</v>
      </c>
      <c r="AJ10" s="251">
        <v>44.830019299999996</v>
      </c>
      <c r="AK10" s="251">
        <v>61.936175980000009</v>
      </c>
      <c r="AL10" s="251">
        <v>46.881171640000005</v>
      </c>
      <c r="AM10" s="251">
        <v>7.7428932200000009</v>
      </c>
      <c r="AN10" s="244">
        <f>SUM(W10:AM10)</f>
        <v>3637.1517875299996</v>
      </c>
      <c r="AO10" s="163"/>
      <c r="AP10" s="172">
        <f t="shared" si="2"/>
        <v>-3.8674443012864996</v>
      </c>
      <c r="AQ10" s="172">
        <f t="shared" si="3"/>
        <v>-1.6838078304456077</v>
      </c>
      <c r="AR10" s="172">
        <f t="shared" si="4"/>
        <v>-3.692561068718081</v>
      </c>
      <c r="AS10" s="172">
        <f t="shared" si="5"/>
        <v>-7.3944654256259579</v>
      </c>
      <c r="AT10" s="172">
        <f t="shared" si="6"/>
        <v>-17.470978088762486</v>
      </c>
      <c r="AU10" s="172">
        <f t="shared" si="7"/>
        <v>-1.4425229093079783</v>
      </c>
      <c r="AV10" s="172">
        <f t="shared" si="8"/>
        <v>4.351173370219092</v>
      </c>
      <c r="AW10" s="172">
        <f t="shared" si="9"/>
        <v>0.26509461903321307</v>
      </c>
      <c r="AX10" s="172">
        <f t="shared" si="10"/>
        <v>-2.8199954700199554</v>
      </c>
      <c r="AY10" s="172">
        <f t="shared" si="11"/>
        <v>30.245276451201025</v>
      </c>
      <c r="AZ10" s="172">
        <f t="shared" si="12"/>
        <v>1.5564871363907651</v>
      </c>
      <c r="BA10" s="172">
        <f t="shared" si="13"/>
        <v>1.4145975547365133</v>
      </c>
      <c r="BB10" s="172">
        <f t="shared" si="14"/>
        <v>-0.69616818483039988</v>
      </c>
      <c r="BC10" s="172">
        <f t="shared" si="15"/>
        <v>-3.0533928411670228</v>
      </c>
      <c r="BD10" s="172">
        <f t="shared" si="16"/>
        <v>3.7675658418974876</v>
      </c>
      <c r="BE10" s="172">
        <f t="shared" si="17"/>
        <v>-1.7721871509097229</v>
      </c>
      <c r="BF10" s="172">
        <f t="shared" si="18"/>
        <v>-4.116408827345305</v>
      </c>
      <c r="BG10" s="173">
        <f t="shared" si="19"/>
        <v>5.378448314164886E-2</v>
      </c>
      <c r="BH10" s="165"/>
      <c r="BI10" s="165"/>
      <c r="BJ10" s="165"/>
      <c r="BK10" s="166"/>
      <c r="BL10" s="166"/>
      <c r="BM10" s="166"/>
      <c r="BN10" s="166"/>
    </row>
    <row r="11" spans="2:85" ht="14">
      <c r="C11" s="174" t="str">
        <f>IF(Indice_index!$Z$1=1,"Abonos Variáveis ou Eventuais","Variable or contingent bonuses")</f>
        <v>Variable or contingent bonuses</v>
      </c>
      <c r="D11" s="251">
        <v>22.41731312000001</v>
      </c>
      <c r="E11" s="251">
        <v>0.37436582000000002</v>
      </c>
      <c r="F11" s="251">
        <v>1.6619703100000001</v>
      </c>
      <c r="G11" s="251">
        <v>2.0585058900000002</v>
      </c>
      <c r="H11" s="251">
        <v>0.7901026000000001</v>
      </c>
      <c r="I11" s="251">
        <v>0.22223330999999999</v>
      </c>
      <c r="J11" s="251">
        <v>0.22529307000000001</v>
      </c>
      <c r="K11" s="251">
        <v>1.0658399999999999</v>
      </c>
      <c r="L11" s="251">
        <v>15.458531780000003</v>
      </c>
      <c r="M11" s="251">
        <v>2.67328995</v>
      </c>
      <c r="N11" s="251">
        <v>5.915604580000001</v>
      </c>
      <c r="O11" s="251">
        <v>370.72063089000005</v>
      </c>
      <c r="P11" s="251">
        <v>29.769638880000006</v>
      </c>
      <c r="Q11" s="251">
        <v>0.83586645000000004</v>
      </c>
      <c r="R11" s="251">
        <v>5.7831770999999987</v>
      </c>
      <c r="S11" s="251">
        <v>0.81489030000000007</v>
      </c>
      <c r="T11" s="251">
        <v>0.58859324999999996</v>
      </c>
      <c r="U11" s="245">
        <f>SUM(D11:T11)</f>
        <v>461.37584730000009</v>
      </c>
      <c r="V11" s="163"/>
      <c r="W11" s="251">
        <v>19.104443299999996</v>
      </c>
      <c r="X11" s="251">
        <v>0.39467677999999995</v>
      </c>
      <c r="Y11" s="251">
        <v>1.7553326799999998</v>
      </c>
      <c r="Z11" s="251">
        <v>12.850000199999998</v>
      </c>
      <c r="AA11" s="251">
        <v>1.15715832</v>
      </c>
      <c r="AB11" s="251">
        <v>0.21865267000000002</v>
      </c>
      <c r="AC11" s="251">
        <v>0.24351624000000002</v>
      </c>
      <c r="AD11" s="251">
        <v>0.82029492000000004</v>
      </c>
      <c r="AE11" s="251">
        <v>14.902916949999996</v>
      </c>
      <c r="AF11" s="251">
        <v>2.0377777400000001</v>
      </c>
      <c r="AG11" s="251">
        <v>4.8910033599999991</v>
      </c>
      <c r="AH11" s="251">
        <v>373.33897361000004</v>
      </c>
      <c r="AI11" s="251">
        <v>27.325587080000005</v>
      </c>
      <c r="AJ11" s="251">
        <v>0.87547699999999995</v>
      </c>
      <c r="AK11" s="251">
        <v>5.9636965700000006</v>
      </c>
      <c r="AL11" s="251">
        <v>0.72284875999999998</v>
      </c>
      <c r="AM11" s="251">
        <v>0.50401225000000005</v>
      </c>
      <c r="AN11" s="245">
        <f>SUM(W11:AM11)</f>
        <v>467.10636843000003</v>
      </c>
      <c r="AO11" s="163"/>
      <c r="AP11" s="172">
        <f t="shared" si="2"/>
        <v>17.340834108471583</v>
      </c>
      <c r="AQ11" s="172">
        <f t="shared" si="3"/>
        <v>-5.1462262360607927</v>
      </c>
      <c r="AR11" s="172">
        <f t="shared" si="4"/>
        <v>-5.3187849268549883</v>
      </c>
      <c r="AS11" s="172">
        <f t="shared" si="5"/>
        <v>-83.980499159836569</v>
      </c>
      <c r="AT11" s="172">
        <f t="shared" si="6"/>
        <v>-31.72044081228227</v>
      </c>
      <c r="AU11" s="172">
        <f t="shared" si="7"/>
        <v>1.6375926257840658</v>
      </c>
      <c r="AV11" s="172">
        <f t="shared" si="8"/>
        <v>-7.4833489544680916</v>
      </c>
      <c r="AW11" s="172">
        <f t="shared" si="9"/>
        <v>29.933756020334716</v>
      </c>
      <c r="AX11" s="172">
        <f t="shared" si="10"/>
        <v>3.7282287210223428</v>
      </c>
      <c r="AY11" s="172">
        <f t="shared" si="11"/>
        <v>31.186532148496227</v>
      </c>
      <c r="AZ11" s="172">
        <f t="shared" si="12"/>
        <v>20.948691803802035</v>
      </c>
      <c r="BA11" s="172">
        <f t="shared" si="13"/>
        <v>-0.70133120436956531</v>
      </c>
      <c r="BB11" s="172">
        <f t="shared" si="14"/>
        <v>8.9441877052619212</v>
      </c>
      <c r="BC11" s="172">
        <f t="shared" si="15"/>
        <v>-4.5244535264775561</v>
      </c>
      <c r="BD11" s="172">
        <f t="shared" si="16"/>
        <v>-3.0269727488835314</v>
      </c>
      <c r="BE11" s="172">
        <f t="shared" si="17"/>
        <v>12.733167032063539</v>
      </c>
      <c r="BF11" s="172">
        <f t="shared" si="18"/>
        <v>16.78153655987526</v>
      </c>
      <c r="BG11" s="173">
        <f t="shared" si="19"/>
        <v>-1.2268128883065552</v>
      </c>
      <c r="BH11" s="165"/>
      <c r="BI11" s="175"/>
      <c r="BJ11" s="165"/>
      <c r="BK11" s="166"/>
      <c r="BL11" s="166"/>
      <c r="BM11" s="166"/>
      <c r="BN11" s="166"/>
    </row>
    <row r="12" spans="2:85" ht="14">
      <c r="C12" s="174" t="str">
        <f>IF(Indice_index!$Z$1=1,"Segurança social","Social security")</f>
        <v>Social security</v>
      </c>
      <c r="D12" s="251">
        <v>25.525685150000001</v>
      </c>
      <c r="E12" s="251">
        <v>4.2146336600000005</v>
      </c>
      <c r="F12" s="251">
        <v>8.05141727</v>
      </c>
      <c r="G12" s="251">
        <v>12.458203769999997</v>
      </c>
      <c r="H12" s="251">
        <v>51.03399424000002</v>
      </c>
      <c r="I12" s="251">
        <v>1.5983444300000003</v>
      </c>
      <c r="J12" s="251">
        <v>2.6024809800000002</v>
      </c>
      <c r="K12" s="251">
        <v>6.5533787600000002</v>
      </c>
      <c r="L12" s="251">
        <v>175.82055179999998</v>
      </c>
      <c r="M12" s="251">
        <v>4.2751117699999996</v>
      </c>
      <c r="N12" s="251">
        <v>43.879304839999996</v>
      </c>
      <c r="O12" s="251">
        <v>552.82481111000004</v>
      </c>
      <c r="P12" s="251">
        <v>52.45002800999999</v>
      </c>
      <c r="Q12" s="251">
        <v>10.029400670000001</v>
      </c>
      <c r="R12" s="251">
        <v>24.788308929999999</v>
      </c>
      <c r="S12" s="251">
        <v>12.055152119999999</v>
      </c>
      <c r="T12" s="251">
        <v>1.9899894100000002</v>
      </c>
      <c r="U12" s="246">
        <f>SUM(D12:T12)</f>
        <v>990.15079691999995</v>
      </c>
      <c r="V12" s="163"/>
      <c r="W12" s="251">
        <v>26.401667639999996</v>
      </c>
      <c r="X12" s="251">
        <v>4.3216686299999996</v>
      </c>
      <c r="Y12" s="251">
        <v>8.4511491799999998</v>
      </c>
      <c r="Z12" s="251">
        <v>16.554996380000002</v>
      </c>
      <c r="AA12" s="251">
        <v>44.007813140000003</v>
      </c>
      <c r="AB12" s="251">
        <v>1.86509528</v>
      </c>
      <c r="AC12" s="251">
        <v>2.9323951599999996</v>
      </c>
      <c r="AD12" s="251">
        <v>6.1534499399999998</v>
      </c>
      <c r="AE12" s="251">
        <v>174.04264450999997</v>
      </c>
      <c r="AF12" s="251">
        <v>3.9233665999999996</v>
      </c>
      <c r="AG12" s="251">
        <v>44.193857779999988</v>
      </c>
      <c r="AH12" s="251">
        <v>544.36853917000008</v>
      </c>
      <c r="AI12" s="251">
        <v>48.383495200000006</v>
      </c>
      <c r="AJ12" s="251">
        <v>9.6736093899999993</v>
      </c>
      <c r="AK12" s="251">
        <v>24.1466569</v>
      </c>
      <c r="AL12" s="251">
        <v>12.09665957</v>
      </c>
      <c r="AM12" s="251">
        <v>1.96069899</v>
      </c>
      <c r="AN12" s="246">
        <f>SUM(W12:AM12)</f>
        <v>973.47776346000001</v>
      </c>
      <c r="AO12" s="163"/>
      <c r="AP12" s="172">
        <f t="shared" si="2"/>
        <v>-3.3179059063406764</v>
      </c>
      <c r="AQ12" s="172">
        <f t="shared" si="3"/>
        <v>-2.4767046982035521</v>
      </c>
      <c r="AR12" s="172">
        <f t="shared" si="4"/>
        <v>-4.7299118911068598</v>
      </c>
      <c r="AS12" s="172">
        <f t="shared" si="5"/>
        <v>-24.746563007101088</v>
      </c>
      <c r="AT12" s="172">
        <f t="shared" si="6"/>
        <v>15.965758347609672</v>
      </c>
      <c r="AU12" s="172">
        <f t="shared" si="7"/>
        <v>-14.302263957260122</v>
      </c>
      <c r="AV12" s="172">
        <f t="shared" si="8"/>
        <v>-11.250672641268425</v>
      </c>
      <c r="AW12" s="172">
        <f t="shared" si="9"/>
        <v>6.499261778344791</v>
      </c>
      <c r="AX12" s="172">
        <f t="shared" si="10"/>
        <v>1.0215354374817307</v>
      </c>
      <c r="AY12" s="172">
        <f t="shared" si="11"/>
        <v>8.9653913554751696</v>
      </c>
      <c r="AZ12" s="172">
        <f t="shared" si="12"/>
        <v>-0.71175714409422541</v>
      </c>
      <c r="BA12" s="172">
        <f t="shared" si="13"/>
        <v>1.5534093783033938</v>
      </c>
      <c r="BB12" s="172">
        <f t="shared" si="14"/>
        <v>8.4047933973980111</v>
      </c>
      <c r="BC12" s="172">
        <f t="shared" si="15"/>
        <v>3.6779578919921825</v>
      </c>
      <c r="BD12" s="172">
        <f t="shared" si="16"/>
        <v>2.6573120770188252</v>
      </c>
      <c r="BE12" s="172">
        <f t="shared" si="17"/>
        <v>-0.3431315046919271</v>
      </c>
      <c r="BF12" s="172">
        <f t="shared" si="18"/>
        <v>1.4938764261820807</v>
      </c>
      <c r="BG12" s="173">
        <f t="shared" si="19"/>
        <v>1.7127287428466296</v>
      </c>
      <c r="BH12" s="165"/>
      <c r="BI12" s="176"/>
      <c r="BJ12" s="165"/>
      <c r="BK12" s="166"/>
      <c r="BL12" s="166"/>
      <c r="BM12" s="166"/>
      <c r="BN12" s="166"/>
    </row>
    <row r="13" spans="2:85" ht="11.25" customHeight="1">
      <c r="C13" s="171" t="str">
        <f>IF(Indice_index!$Z$1=1,"Aquisição de bens e serviços correntes","Purchase of current goods and services")</f>
        <v>Purchase of current goods and services</v>
      </c>
      <c r="D13" s="252">
        <f t="shared" ref="D13:T13" si="22">SUM(D14:D15)</f>
        <v>17.108264170000002</v>
      </c>
      <c r="E13" s="252">
        <f t="shared" si="22"/>
        <v>9.6419048099999998</v>
      </c>
      <c r="F13" s="252">
        <f t="shared" si="22"/>
        <v>8.7337862299999998</v>
      </c>
      <c r="G13" s="252">
        <f t="shared" si="22"/>
        <v>48.519464290000002</v>
      </c>
      <c r="H13" s="252">
        <f t="shared" si="22"/>
        <v>26.432257320000001</v>
      </c>
      <c r="I13" s="252">
        <f t="shared" si="22"/>
        <v>25.261323180000002</v>
      </c>
      <c r="J13" s="252">
        <f t="shared" si="22"/>
        <v>73.034749579999996</v>
      </c>
      <c r="K13" s="252">
        <f>SUM(K14:K15)</f>
        <v>146.66806979</v>
      </c>
      <c r="L13" s="252">
        <f>SUM(L14:L15)</f>
        <v>189.57139991999998</v>
      </c>
      <c r="M13" s="252">
        <f>SUM(M14:M15)</f>
        <v>20.338303189999991</v>
      </c>
      <c r="N13" s="252">
        <f>SUM(N14:N15)</f>
        <v>150.15595774000002</v>
      </c>
      <c r="O13" s="252">
        <f t="shared" si="22"/>
        <v>8286.7869978199997</v>
      </c>
      <c r="P13" s="252">
        <f t="shared" si="22"/>
        <v>313.84426633000004</v>
      </c>
      <c r="Q13" s="252">
        <f t="shared" si="22"/>
        <v>62.870195500000001</v>
      </c>
      <c r="R13" s="252">
        <f t="shared" si="22"/>
        <v>95.312685020000004</v>
      </c>
      <c r="S13" s="252">
        <f t="shared" si="22"/>
        <v>29.968039209999993</v>
      </c>
      <c r="T13" s="252">
        <f t="shared" si="22"/>
        <v>3.8891322600000007</v>
      </c>
      <c r="U13" s="242">
        <f>SUM(U14:U15)</f>
        <v>9508.1367963600023</v>
      </c>
      <c r="V13" s="163"/>
      <c r="W13" s="252">
        <f t="shared" ref="W13:AM13" si="23">SUM(W14:W15)</f>
        <v>16.988417720000001</v>
      </c>
      <c r="X13" s="252">
        <f t="shared" si="23"/>
        <v>8.7930351900000012</v>
      </c>
      <c r="Y13" s="252">
        <f t="shared" si="23"/>
        <v>9.3751889999999989</v>
      </c>
      <c r="Z13" s="252">
        <f t="shared" si="23"/>
        <v>57.452776739999997</v>
      </c>
      <c r="AA13" s="252">
        <f t="shared" si="23"/>
        <v>40.157959760000004</v>
      </c>
      <c r="AB13" s="252">
        <f t="shared" si="23"/>
        <v>26.060449309999999</v>
      </c>
      <c r="AC13" s="252">
        <f t="shared" si="23"/>
        <v>74.337417769999988</v>
      </c>
      <c r="AD13" s="252">
        <f t="shared" si="23"/>
        <v>129.71938249999999</v>
      </c>
      <c r="AE13" s="252">
        <f t="shared" si="23"/>
        <v>181.83666352</v>
      </c>
      <c r="AF13" s="252">
        <f t="shared" si="23"/>
        <v>18.50234326</v>
      </c>
      <c r="AG13" s="252">
        <f t="shared" si="23"/>
        <v>144.74842613999999</v>
      </c>
      <c r="AH13" s="252">
        <f t="shared" si="23"/>
        <v>7539.5560058500005</v>
      </c>
      <c r="AI13" s="252">
        <f t="shared" si="23"/>
        <v>273.86943296000004</v>
      </c>
      <c r="AJ13" s="252">
        <f t="shared" si="23"/>
        <v>60.977507929999994</v>
      </c>
      <c r="AK13" s="252">
        <f t="shared" si="23"/>
        <v>93.37551037999998</v>
      </c>
      <c r="AL13" s="252">
        <f t="shared" si="23"/>
        <v>26.131473609999997</v>
      </c>
      <c r="AM13" s="252">
        <f t="shared" si="23"/>
        <v>4.0115872600000007</v>
      </c>
      <c r="AN13" s="242">
        <f>SUM(AN14:AN15)</f>
        <v>8705.8935789000006</v>
      </c>
      <c r="AO13" s="163"/>
      <c r="AP13" s="172">
        <f t="shared" si="2"/>
        <v>0.70545975484761458</v>
      </c>
      <c r="AQ13" s="172">
        <f t="shared" si="3"/>
        <v>9.6538863049858712</v>
      </c>
      <c r="AR13" s="172">
        <f t="shared" si="4"/>
        <v>-6.8414916221955542</v>
      </c>
      <c r="AS13" s="172">
        <f t="shared" si="5"/>
        <v>-15.548965527684253</v>
      </c>
      <c r="AT13" s="172">
        <f t="shared" si="6"/>
        <v>-34.179282319197185</v>
      </c>
      <c r="AU13" s="172">
        <f t="shared" si="7"/>
        <v>-3.0664326638963759</v>
      </c>
      <c r="AV13" s="172">
        <f t="shared" si="8"/>
        <v>-1.7523721284353022</v>
      </c>
      <c r="AW13" s="172">
        <f t="shared" si="9"/>
        <v>13.065655234675519</v>
      </c>
      <c r="AX13" s="172">
        <f t="shared" si="10"/>
        <v>4.2536726368987958</v>
      </c>
      <c r="AY13" s="172">
        <f t="shared" si="11"/>
        <v>9.9228508746193835</v>
      </c>
      <c r="AZ13" s="172">
        <f t="shared" si="12"/>
        <v>3.7358137454081111</v>
      </c>
      <c r="BA13" s="172">
        <f t="shared" si="13"/>
        <v>9.9108089573207874</v>
      </c>
      <c r="BB13" s="172">
        <f t="shared" si="14"/>
        <v>14.596310708336159</v>
      </c>
      <c r="BC13" s="172">
        <f t="shared" si="15"/>
        <v>3.1039109898894925</v>
      </c>
      <c r="BD13" s="172">
        <f t="shared" si="16"/>
        <v>2.0746067487251403</v>
      </c>
      <c r="BE13" s="172">
        <f t="shared" si="17"/>
        <v>14.681780512109425</v>
      </c>
      <c r="BF13" s="172">
        <f t="shared" si="18"/>
        <v>-3.0525323784182117</v>
      </c>
      <c r="BG13" s="173">
        <f t="shared" si="19"/>
        <v>9.2149439938521045</v>
      </c>
      <c r="BH13" s="165"/>
      <c r="BI13" s="176"/>
      <c r="BJ13" s="165"/>
      <c r="BK13" s="166"/>
      <c r="BL13" s="166"/>
      <c r="BM13" s="166"/>
      <c r="BN13" s="166"/>
    </row>
    <row r="14" spans="2:85" ht="14" customHeight="1">
      <c r="C14" s="177" t="str">
        <f>IF(Indice_index!$Z$1=1,"Aquisição de bens","Purchase of goods")</f>
        <v>Purchase of goods</v>
      </c>
      <c r="D14" s="251">
        <v>1.5849030900000001</v>
      </c>
      <c r="E14" s="251">
        <v>0.37653899000000002</v>
      </c>
      <c r="F14" s="251">
        <v>0.27626157999999995</v>
      </c>
      <c r="G14" s="251">
        <v>3.3013291300000009</v>
      </c>
      <c r="H14" s="251">
        <v>6.1518652500000011</v>
      </c>
      <c r="I14" s="251">
        <v>3.8443074599999996</v>
      </c>
      <c r="J14" s="251">
        <v>0.98504960999999991</v>
      </c>
      <c r="K14" s="251">
        <v>91.412124079999998</v>
      </c>
      <c r="L14" s="251">
        <v>34.563030869999992</v>
      </c>
      <c r="M14" s="251">
        <v>1.2949088899999999</v>
      </c>
      <c r="N14" s="251">
        <v>21.618458260000001</v>
      </c>
      <c r="O14" s="251">
        <v>2406.6155888900003</v>
      </c>
      <c r="P14" s="251">
        <v>35.436984680000002</v>
      </c>
      <c r="Q14" s="251">
        <v>2.1819480899999997</v>
      </c>
      <c r="R14" s="251">
        <v>11.804195539999998</v>
      </c>
      <c r="S14" s="251">
        <v>3.0399031800000005</v>
      </c>
      <c r="T14" s="251">
        <v>0.8998216</v>
      </c>
      <c r="U14" s="242">
        <f>SUM(D14:T14)</f>
        <v>2625.38721919</v>
      </c>
      <c r="V14" s="163"/>
      <c r="W14" s="251">
        <v>1.70871131</v>
      </c>
      <c r="X14" s="251">
        <v>0.35566311</v>
      </c>
      <c r="Y14" s="251">
        <v>0.33699170000000001</v>
      </c>
      <c r="Z14" s="251">
        <v>3.3772353499999994</v>
      </c>
      <c r="AA14" s="251">
        <v>10.48157984</v>
      </c>
      <c r="AB14" s="251">
        <v>2.1289534100000003</v>
      </c>
      <c r="AC14" s="251">
        <v>0.9995715300000001</v>
      </c>
      <c r="AD14" s="251">
        <v>76.816516230000005</v>
      </c>
      <c r="AE14" s="251">
        <v>34.298810939999996</v>
      </c>
      <c r="AF14" s="251">
        <v>1.0277332399999999</v>
      </c>
      <c r="AG14" s="251">
        <v>21.436245299999996</v>
      </c>
      <c r="AH14" s="251">
        <v>1919.5469848900002</v>
      </c>
      <c r="AI14" s="251">
        <v>30.530218790000006</v>
      </c>
      <c r="AJ14" s="251">
        <v>2.3013473899999997</v>
      </c>
      <c r="AK14" s="251">
        <v>10.234349529999999</v>
      </c>
      <c r="AL14" s="251">
        <v>1.83777619</v>
      </c>
      <c r="AM14" s="251">
        <v>0.94453690000000012</v>
      </c>
      <c r="AN14" s="242">
        <f>SUM(W14:AM14)</f>
        <v>2118.3632256500005</v>
      </c>
      <c r="AO14" s="163"/>
      <c r="AP14" s="172">
        <f t="shared" si="2"/>
        <v>-7.2457072927082065</v>
      </c>
      <c r="AQ14" s="172">
        <f t="shared" si="3"/>
        <v>5.8695657247106716</v>
      </c>
      <c r="AR14" s="172">
        <f t="shared" si="4"/>
        <v>-18.021250968495679</v>
      </c>
      <c r="AS14" s="172">
        <f t="shared" si="5"/>
        <v>-2.2475845516658612</v>
      </c>
      <c r="AT14" s="172">
        <f t="shared" si="6"/>
        <v>-41.30784343670085</v>
      </c>
      <c r="AU14" s="172">
        <f t="shared" si="7"/>
        <v>80.572643907693546</v>
      </c>
      <c r="AV14" s="172">
        <f t="shared" si="8"/>
        <v>-1.452814487423445</v>
      </c>
      <c r="AW14" s="172">
        <f t="shared" si="9"/>
        <v>19.000611543354278</v>
      </c>
      <c r="AX14" s="172">
        <f t="shared" si="10"/>
        <v>0.77034720084671227</v>
      </c>
      <c r="AY14" s="172">
        <f t="shared" si="11"/>
        <v>25.996595186509687</v>
      </c>
      <c r="AZ14" s="172">
        <f t="shared" si="12"/>
        <v>0.85002274162259506</v>
      </c>
      <c r="BA14" s="172">
        <f t="shared" si="13"/>
        <v>25.374143369973908</v>
      </c>
      <c r="BB14" s="172">
        <f t="shared" si="14"/>
        <v>16.071833365331724</v>
      </c>
      <c r="BC14" s="172">
        <f t="shared" si="15"/>
        <v>-5.1882345324666517</v>
      </c>
      <c r="BD14" s="172">
        <f t="shared" si="16"/>
        <v>15.338991553867706</v>
      </c>
      <c r="BE14" s="172">
        <f t="shared" si="17"/>
        <v>65.412045086948297</v>
      </c>
      <c r="BF14" s="172">
        <f t="shared" si="18"/>
        <v>-4.7340977361498657</v>
      </c>
      <c r="BG14" s="173">
        <f t="shared" si="19"/>
        <v>23.934705219612365</v>
      </c>
      <c r="BH14" s="165"/>
      <c r="BI14" s="165"/>
      <c r="BJ14" s="165"/>
      <c r="BK14" s="166"/>
      <c r="BL14" s="166"/>
      <c r="BM14" s="166"/>
      <c r="BN14" s="166"/>
    </row>
    <row r="15" spans="2:85" ht="14" customHeight="1">
      <c r="C15" s="177" t="str">
        <f>IF(Indice_index!$Z$1=1,"Aquisição de serviços","Purchase of services")</f>
        <v>Purchase of services</v>
      </c>
      <c r="D15" s="251">
        <v>15.523361080000003</v>
      </c>
      <c r="E15" s="251">
        <v>9.2653658199999995</v>
      </c>
      <c r="F15" s="251">
        <v>8.4575246499999999</v>
      </c>
      <c r="G15" s="251">
        <v>45.218135160000003</v>
      </c>
      <c r="H15" s="251">
        <v>20.280392070000001</v>
      </c>
      <c r="I15" s="251">
        <v>21.417015720000002</v>
      </c>
      <c r="J15" s="251">
        <v>72.049699969999992</v>
      </c>
      <c r="K15" s="251">
        <v>55.255945709999999</v>
      </c>
      <c r="L15" s="251">
        <v>155.00836905</v>
      </c>
      <c r="M15" s="251">
        <v>19.043394299999992</v>
      </c>
      <c r="N15" s="251">
        <v>128.53749948000001</v>
      </c>
      <c r="O15" s="251">
        <v>5880.1714089300003</v>
      </c>
      <c r="P15" s="251">
        <v>278.40728165000002</v>
      </c>
      <c r="Q15" s="251">
        <v>60.688247410000002</v>
      </c>
      <c r="R15" s="251">
        <v>83.508489480000009</v>
      </c>
      <c r="S15" s="251">
        <v>26.928136029999994</v>
      </c>
      <c r="T15" s="251">
        <v>2.9893106600000006</v>
      </c>
      <c r="U15" s="242">
        <f>SUM(D15:T15)</f>
        <v>6882.7495771700014</v>
      </c>
      <c r="V15" s="163"/>
      <c r="W15" s="251">
        <v>15.279706409999999</v>
      </c>
      <c r="X15" s="251">
        <v>8.4373720800000012</v>
      </c>
      <c r="Y15" s="251">
        <v>9.0381972999999984</v>
      </c>
      <c r="Z15" s="251">
        <v>54.075541389999998</v>
      </c>
      <c r="AA15" s="251">
        <v>29.676379920000002</v>
      </c>
      <c r="AB15" s="251">
        <v>23.931495899999998</v>
      </c>
      <c r="AC15" s="251">
        <v>73.33784623999999</v>
      </c>
      <c r="AD15" s="251">
        <v>52.902866270000004</v>
      </c>
      <c r="AE15" s="251">
        <v>147.53785257999999</v>
      </c>
      <c r="AF15" s="251">
        <v>17.47461002</v>
      </c>
      <c r="AG15" s="251">
        <v>123.31218084000001</v>
      </c>
      <c r="AH15" s="251">
        <v>5620.0090209600003</v>
      </c>
      <c r="AI15" s="251">
        <v>243.33921417000002</v>
      </c>
      <c r="AJ15" s="251">
        <v>58.676160539999998</v>
      </c>
      <c r="AK15" s="251">
        <v>83.141160849999977</v>
      </c>
      <c r="AL15" s="251">
        <v>24.293697419999997</v>
      </c>
      <c r="AM15" s="251">
        <v>3.0670503600000001</v>
      </c>
      <c r="AN15" s="242">
        <f>SUM(W15:AM15)</f>
        <v>6587.5303532500002</v>
      </c>
      <c r="AO15" s="163"/>
      <c r="AP15" s="172">
        <f t="shared" si="2"/>
        <v>1.5946292648695162</v>
      </c>
      <c r="AQ15" s="172">
        <f t="shared" si="3"/>
        <v>9.813407920727828</v>
      </c>
      <c r="AR15" s="172">
        <f t="shared" si="4"/>
        <v>-6.424651185696054</v>
      </c>
      <c r="AS15" s="172">
        <f t="shared" si="5"/>
        <v>-16.379690341182538</v>
      </c>
      <c r="AT15" s="172">
        <f t="shared" si="6"/>
        <v>-31.661502768630147</v>
      </c>
      <c r="AU15" s="172">
        <f t="shared" si="7"/>
        <v>-10.506991249134561</v>
      </c>
      <c r="AV15" s="172">
        <f t="shared" si="8"/>
        <v>-1.7564550038523177</v>
      </c>
      <c r="AW15" s="172">
        <f t="shared" si="9"/>
        <v>4.447924292023421</v>
      </c>
      <c r="AX15" s="172">
        <f t="shared" si="10"/>
        <v>5.0634575055572544</v>
      </c>
      <c r="AY15" s="172">
        <f t="shared" si="11"/>
        <v>8.9775066694163179</v>
      </c>
      <c r="AZ15" s="172">
        <f t="shared" si="12"/>
        <v>4.2374715980248148</v>
      </c>
      <c r="BA15" s="172">
        <f t="shared" si="13"/>
        <v>4.6292165546303616</v>
      </c>
      <c r="BB15" s="172">
        <f t="shared" si="14"/>
        <v>14.411186293837941</v>
      </c>
      <c r="BC15" s="172">
        <f t="shared" si="15"/>
        <v>3.4291385998720032</v>
      </c>
      <c r="BD15" s="172">
        <f t="shared" si="16"/>
        <v>0.44181320809647012</v>
      </c>
      <c r="BE15" s="172">
        <f t="shared" si="17"/>
        <v>10.844123743103724</v>
      </c>
      <c r="BF15" s="172">
        <f t="shared" si="18"/>
        <v>-2.5346730857069959</v>
      </c>
      <c r="BG15" s="173">
        <f t="shared" si="19"/>
        <v>4.481485596105875</v>
      </c>
      <c r="BH15" s="165"/>
      <c r="BI15" s="165"/>
      <c r="BJ15" s="165"/>
      <c r="BK15" s="166"/>
      <c r="BL15" s="166"/>
      <c r="BM15" s="166"/>
      <c r="BN15" s="166"/>
    </row>
    <row r="16" spans="2:85" ht="14">
      <c r="C16" s="171" t="str">
        <f>IF(Indice_index!$Z$1=1,"Juros e outros encargos","Interests and other charges")</f>
        <v>Interests and other charges</v>
      </c>
      <c r="D16" s="251">
        <v>5.0569600000000001E-3</v>
      </c>
      <c r="E16" s="251">
        <v>3.9450000000000003E-5</v>
      </c>
      <c r="F16" s="251">
        <v>0</v>
      </c>
      <c r="G16" s="251">
        <v>86.116876350000013</v>
      </c>
      <c r="H16" s="251">
        <v>2.7589820000000001E-2</v>
      </c>
      <c r="I16" s="252">
        <v>0.47298814999999994</v>
      </c>
      <c r="J16" s="251">
        <v>0.28489999999999999</v>
      </c>
      <c r="K16" s="251">
        <v>2.5106057599999998</v>
      </c>
      <c r="L16" s="251">
        <v>0.14068694000000001</v>
      </c>
      <c r="M16" s="251">
        <v>9.8329307100000012</v>
      </c>
      <c r="N16" s="251">
        <v>0.5822394500000001</v>
      </c>
      <c r="O16" s="251">
        <v>1.91892752</v>
      </c>
      <c r="P16" s="251">
        <v>69.646067200000005</v>
      </c>
      <c r="Q16" s="251">
        <v>0.22129094999999999</v>
      </c>
      <c r="R16" s="251">
        <v>493.33653917000004</v>
      </c>
      <c r="S16" s="251">
        <v>3.3037663499999996</v>
      </c>
      <c r="T16" s="251">
        <v>6.5389999999999996E-5</v>
      </c>
      <c r="U16" s="242">
        <f>SUM(D16:T16)</f>
        <v>668.40057017000015</v>
      </c>
      <c r="V16" s="163"/>
      <c r="W16" s="251">
        <v>1.9142499999999999E-3</v>
      </c>
      <c r="X16" s="251">
        <v>9.4909999999999998E-5</v>
      </c>
      <c r="Y16" s="251">
        <v>0</v>
      </c>
      <c r="Z16" s="251">
        <v>220.17328062000001</v>
      </c>
      <c r="AA16" s="251">
        <v>1.0000000000000001E-5</v>
      </c>
      <c r="AB16" s="251">
        <v>0</v>
      </c>
      <c r="AC16" s="251">
        <v>1.9891550000000001E-2</v>
      </c>
      <c r="AD16" s="251">
        <v>2.3747303500000001</v>
      </c>
      <c r="AE16" s="251">
        <v>0.13215858000000003</v>
      </c>
      <c r="AF16" s="251">
        <v>10.524612289999999</v>
      </c>
      <c r="AG16" s="251">
        <v>0.48686173999999999</v>
      </c>
      <c r="AH16" s="251">
        <v>2.5317069800000001</v>
      </c>
      <c r="AI16" s="251">
        <v>70.434096139999994</v>
      </c>
      <c r="AJ16" s="251">
        <v>0.18070685</v>
      </c>
      <c r="AK16" s="251">
        <v>293.33773692</v>
      </c>
      <c r="AL16" s="251">
        <v>3.9634795499999997</v>
      </c>
      <c r="AM16" s="251">
        <v>4.5066500000000001E-3</v>
      </c>
      <c r="AN16" s="242">
        <f>SUM(W16:AM16)</f>
        <v>604.16578737999998</v>
      </c>
      <c r="AO16" s="163"/>
      <c r="AP16" s="172">
        <f t="shared" si="2"/>
        <v>164.17448086718036</v>
      </c>
      <c r="AQ16" s="172">
        <f t="shared" si="3"/>
        <v>-58.434306184806651</v>
      </c>
      <c r="AR16" s="172" t="str">
        <f t="shared" si="4"/>
        <v>-</v>
      </c>
      <c r="AS16" s="172">
        <f t="shared" si="5"/>
        <v>-60.886772406034915</v>
      </c>
      <c r="AT16" s="172" t="str">
        <f t="shared" si="6"/>
        <v>-</v>
      </c>
      <c r="AU16" s="172" t="str">
        <f t="shared" si="7"/>
        <v>-</v>
      </c>
      <c r="AV16" s="172" t="str">
        <f t="shared" si="8"/>
        <v>-</v>
      </c>
      <c r="AW16" s="172">
        <f t="shared" si="9"/>
        <v>5.7217195207026217</v>
      </c>
      <c r="AX16" s="172">
        <f t="shared" si="10"/>
        <v>6.4531262366771678</v>
      </c>
      <c r="AY16" s="172">
        <f t="shared" si="11"/>
        <v>-6.572038579104726</v>
      </c>
      <c r="AZ16" s="172">
        <f t="shared" si="12"/>
        <v>19.590307096219988</v>
      </c>
      <c r="BA16" s="172">
        <f t="shared" si="13"/>
        <v>-24.204201546262674</v>
      </c>
      <c r="BB16" s="172">
        <f t="shared" si="14"/>
        <v>-1.1188174239272486</v>
      </c>
      <c r="BC16" s="172">
        <f t="shared" si="15"/>
        <v>22.45852882721379</v>
      </c>
      <c r="BD16" s="172">
        <f t="shared" si="16"/>
        <v>68.180386318499615</v>
      </c>
      <c r="BE16" s="172">
        <f t="shared" si="17"/>
        <v>-16.64479888637246</v>
      </c>
      <c r="BF16" s="172">
        <f t="shared" si="18"/>
        <v>-98.549033095536586</v>
      </c>
      <c r="BG16" s="173">
        <f t="shared" si="19"/>
        <v>10.631979521475063</v>
      </c>
      <c r="BH16" s="165"/>
      <c r="BI16" s="165"/>
      <c r="BJ16" s="165"/>
      <c r="BK16" s="166"/>
      <c r="BL16" s="166"/>
      <c r="BM16" s="166"/>
      <c r="BN16" s="166"/>
    </row>
    <row r="17" spans="3:69" ht="14">
      <c r="C17" s="171" t="str">
        <f>IF(Indice_index!$Z$1=1,"Transferências correntes","Current transfers")</f>
        <v>Current transfers</v>
      </c>
      <c r="D17" s="252">
        <f t="shared" ref="D17:T17" si="24">+D18+D23</f>
        <v>7.69261733</v>
      </c>
      <c r="E17" s="252">
        <f t="shared" si="24"/>
        <v>12.24236033</v>
      </c>
      <c r="F17" s="252">
        <f t="shared" si="24"/>
        <v>32.822063110000002</v>
      </c>
      <c r="G17" s="252">
        <f t="shared" si="24"/>
        <v>105.83509947999998</v>
      </c>
      <c r="H17" s="252">
        <f t="shared" si="24"/>
        <v>0.89914760000000005</v>
      </c>
      <c r="I17" s="252">
        <f t="shared" si="24"/>
        <v>61.902424300000014</v>
      </c>
      <c r="J17" s="252">
        <f t="shared" si="24"/>
        <v>157.00029299000002</v>
      </c>
      <c r="K17" s="252">
        <f>+K18+K23</f>
        <v>20.165343510000003</v>
      </c>
      <c r="L17" s="252">
        <f>+L18+L23</f>
        <v>186.02942164000007</v>
      </c>
      <c r="M17" s="252">
        <f>+M18+M23</f>
        <v>137.29764512999998</v>
      </c>
      <c r="N17" s="252">
        <f>+N18+N23</f>
        <v>7168.0258430800022</v>
      </c>
      <c r="O17" s="252">
        <f t="shared" si="24"/>
        <v>2307.7662786199999</v>
      </c>
      <c r="P17" s="252">
        <f t="shared" si="24"/>
        <v>132.74724201000001</v>
      </c>
      <c r="Q17" s="252">
        <f t="shared" si="24"/>
        <v>71.465718629999998</v>
      </c>
      <c r="R17" s="252">
        <f t="shared" si="24"/>
        <v>85.646134439999983</v>
      </c>
      <c r="S17" s="252">
        <f t="shared" si="24"/>
        <v>133.10114024000001</v>
      </c>
      <c r="T17" s="252">
        <f t="shared" si="24"/>
        <v>6.3485026499999995</v>
      </c>
      <c r="U17" s="242">
        <f>+U18+U23</f>
        <v>10626.987275090003</v>
      </c>
      <c r="V17" s="163"/>
      <c r="W17" s="252">
        <f t="shared" ref="W17:AM17" si="25">+W18+W23</f>
        <v>7.4442331500000005</v>
      </c>
      <c r="X17" s="252">
        <f t="shared" si="25"/>
        <v>7.3888501900000003</v>
      </c>
      <c r="Y17" s="252">
        <f t="shared" si="25"/>
        <v>35.916118450000006</v>
      </c>
      <c r="Z17" s="252">
        <f t="shared" si="25"/>
        <v>105.78955513</v>
      </c>
      <c r="AA17" s="252">
        <f t="shared" si="25"/>
        <v>0.9089102</v>
      </c>
      <c r="AB17" s="252">
        <f t="shared" si="25"/>
        <v>54.066977030000004</v>
      </c>
      <c r="AC17" s="252">
        <f t="shared" si="25"/>
        <v>145.29746204999998</v>
      </c>
      <c r="AD17" s="252">
        <f>+AD18+AD23</f>
        <v>22.08910273</v>
      </c>
      <c r="AE17" s="252">
        <f>+AE18+AE23</f>
        <v>168.31666667999994</v>
      </c>
      <c r="AF17" s="252">
        <f>+AF18+AF23</f>
        <v>133.21608194000001</v>
      </c>
      <c r="AG17" s="252">
        <f>+AG18+AG23</f>
        <v>7282.9147709700001</v>
      </c>
      <c r="AH17" s="252">
        <f t="shared" si="25"/>
        <v>1777.5154861299998</v>
      </c>
      <c r="AI17" s="252">
        <f t="shared" si="25"/>
        <v>93.931966569999972</v>
      </c>
      <c r="AJ17" s="252">
        <f t="shared" si="25"/>
        <v>63.357811589999997</v>
      </c>
      <c r="AK17" s="252">
        <f t="shared" si="25"/>
        <v>66.302971580000005</v>
      </c>
      <c r="AL17" s="252">
        <f t="shared" si="25"/>
        <v>104.88006955</v>
      </c>
      <c r="AM17" s="252">
        <f t="shared" si="25"/>
        <v>6.9327404200000009</v>
      </c>
      <c r="AN17" s="242">
        <f>+AN18+AN23</f>
        <v>10076.26977436</v>
      </c>
      <c r="AO17" s="163"/>
      <c r="AP17" s="172">
        <f t="shared" si="2"/>
        <v>3.3365986125783751</v>
      </c>
      <c r="AQ17" s="172">
        <f t="shared" si="3"/>
        <v>65.686947430179259</v>
      </c>
      <c r="AR17" s="172">
        <f t="shared" si="4"/>
        <v>-8.6146707203545372</v>
      </c>
      <c r="AS17" s="172">
        <f t="shared" si="5"/>
        <v>4.3051839989324582E-2</v>
      </c>
      <c r="AT17" s="172">
        <f t="shared" si="6"/>
        <v>-1.0740995095004935</v>
      </c>
      <c r="AU17" s="172">
        <f t="shared" si="7"/>
        <v>14.492112746847999</v>
      </c>
      <c r="AV17" s="172">
        <f t="shared" si="8"/>
        <v>8.0543946018636206</v>
      </c>
      <c r="AW17" s="172">
        <f t="shared" si="9"/>
        <v>-8.7090872070021703</v>
      </c>
      <c r="AX17" s="172">
        <f t="shared" si="10"/>
        <v>10.523470616059214</v>
      </c>
      <c r="AY17" s="172">
        <f t="shared" si="11"/>
        <v>3.0638667123075192</v>
      </c>
      <c r="AZ17" s="172">
        <f t="shared" si="12"/>
        <v>-1.5775130082250839</v>
      </c>
      <c r="BA17" s="172">
        <f t="shared" si="13"/>
        <v>29.831008316245967</v>
      </c>
      <c r="BB17" s="172">
        <f t="shared" si="14"/>
        <v>41.322753964779515</v>
      </c>
      <c r="BC17" s="172">
        <f t="shared" si="15"/>
        <v>12.797012454388026</v>
      </c>
      <c r="BD17" s="172">
        <f t="shared" si="16"/>
        <v>29.173900353260724</v>
      </c>
      <c r="BE17" s="172">
        <f t="shared" si="17"/>
        <v>26.907944293978591</v>
      </c>
      <c r="BF17" s="172">
        <f t="shared" si="18"/>
        <v>-8.4272269637350909</v>
      </c>
      <c r="BG17" s="173">
        <f t="shared" si="19"/>
        <v>5.4654898396165867</v>
      </c>
      <c r="BH17" s="165"/>
      <c r="BI17" s="165"/>
      <c r="BJ17" s="165"/>
      <c r="BK17" s="166"/>
      <c r="BL17" s="166"/>
      <c r="BM17" s="166"/>
      <c r="BN17" s="166"/>
    </row>
    <row r="18" spans="3:69" ht="14">
      <c r="C18" s="174" t="str">
        <f>IF(Indice_index!$Z$1=1,"Administrações Públicas","General Government")</f>
        <v>General Government</v>
      </c>
      <c r="D18" s="252">
        <f t="shared" ref="D18:T18" si="26">SUM(D19:D22)</f>
        <v>7.195964</v>
      </c>
      <c r="E18" s="252">
        <f t="shared" si="26"/>
        <v>2.9119999999999999</v>
      </c>
      <c r="F18" s="252">
        <f t="shared" si="26"/>
        <v>13.965652070000001</v>
      </c>
      <c r="G18" s="252">
        <f t="shared" si="26"/>
        <v>68.345838909999998</v>
      </c>
      <c r="H18" s="252">
        <f t="shared" si="26"/>
        <v>3.8892000000000001E-4</v>
      </c>
      <c r="I18" s="252">
        <f t="shared" si="26"/>
        <v>1.2423962399999999</v>
      </c>
      <c r="J18" s="252">
        <f t="shared" si="26"/>
        <v>153.16603799000001</v>
      </c>
      <c r="K18" s="252">
        <f>SUM(K19:K22)</f>
        <v>8.1479137900000005</v>
      </c>
      <c r="L18" s="252">
        <f>SUM(L19:L22)</f>
        <v>12.26067965</v>
      </c>
      <c r="M18" s="252">
        <f>SUM(M19:M22)</f>
        <v>97.090290460000006</v>
      </c>
      <c r="N18" s="252">
        <f>SUM(N19:N22)</f>
        <v>194.25861275</v>
      </c>
      <c r="O18" s="252">
        <f t="shared" si="26"/>
        <v>2267.8727429699998</v>
      </c>
      <c r="P18" s="252">
        <f t="shared" si="26"/>
        <v>115.7830749</v>
      </c>
      <c r="Q18" s="252">
        <f t="shared" si="26"/>
        <v>33.861553760000007</v>
      </c>
      <c r="R18" s="252">
        <f t="shared" si="26"/>
        <v>32.786053180000003</v>
      </c>
      <c r="S18" s="252">
        <f t="shared" si="26"/>
        <v>21.002933109999994</v>
      </c>
      <c r="T18" s="252">
        <f t="shared" si="26"/>
        <v>0.15851979000000002</v>
      </c>
      <c r="U18" s="242">
        <f>SUM(U19:U22)</f>
        <v>3030.0506524899993</v>
      </c>
      <c r="V18" s="163"/>
      <c r="W18" s="252">
        <f t="shared" ref="W18:AM18" si="27">SUM(W19:W22)</f>
        <v>7.3894704999999998</v>
      </c>
      <c r="X18" s="252">
        <f t="shared" si="27"/>
        <v>4.1794999999999999E-2</v>
      </c>
      <c r="Y18" s="252">
        <f t="shared" si="27"/>
        <v>17.066552480000002</v>
      </c>
      <c r="Z18" s="252">
        <f t="shared" si="27"/>
        <v>64.809886330000012</v>
      </c>
      <c r="AA18" s="252">
        <f t="shared" si="27"/>
        <v>2.0652000000000002E-4</v>
      </c>
      <c r="AB18" s="252">
        <f t="shared" si="27"/>
        <v>0.89673135999999998</v>
      </c>
      <c r="AC18" s="252">
        <f t="shared" si="27"/>
        <v>142.02123331999999</v>
      </c>
      <c r="AD18" s="252">
        <f t="shared" si="27"/>
        <v>9.0928788899999979</v>
      </c>
      <c r="AE18" s="252">
        <f t="shared" si="27"/>
        <v>10.872423639999999</v>
      </c>
      <c r="AF18" s="252">
        <f t="shared" si="27"/>
        <v>97.211286110000003</v>
      </c>
      <c r="AG18" s="252">
        <f t="shared" si="27"/>
        <v>179.19890436999998</v>
      </c>
      <c r="AH18" s="252">
        <f t="shared" si="27"/>
        <v>1741.4770457100001</v>
      </c>
      <c r="AI18" s="252">
        <f t="shared" si="27"/>
        <v>87.745653200000007</v>
      </c>
      <c r="AJ18" s="252">
        <f t="shared" si="27"/>
        <v>39.203950599999999</v>
      </c>
      <c r="AK18" s="252">
        <f t="shared" si="27"/>
        <v>37.901282800000011</v>
      </c>
      <c r="AL18" s="252">
        <f t="shared" si="27"/>
        <v>11.21891613</v>
      </c>
      <c r="AM18" s="252">
        <f t="shared" si="27"/>
        <v>0.16218782999999998</v>
      </c>
      <c r="AN18" s="242">
        <f>SUM(AN19:AN22)</f>
        <v>2446.310404790001</v>
      </c>
      <c r="AO18" s="163"/>
      <c r="AP18" s="172">
        <f t="shared" si="2"/>
        <v>-2.6186788349720027</v>
      </c>
      <c r="AQ18" s="172" t="str">
        <f t="shared" si="3"/>
        <v>-</v>
      </c>
      <c r="AR18" s="172">
        <f t="shared" si="4"/>
        <v>-18.16945990488643</v>
      </c>
      <c r="AS18" s="172">
        <f t="shared" si="5"/>
        <v>5.4558845574818111</v>
      </c>
      <c r="AT18" s="172">
        <f t="shared" si="6"/>
        <v>88.320743753631589</v>
      </c>
      <c r="AU18" s="172">
        <f t="shared" si="7"/>
        <v>38.547205486378886</v>
      </c>
      <c r="AV18" s="172">
        <f t="shared" si="8"/>
        <v>7.8472805857760131</v>
      </c>
      <c r="AW18" s="172">
        <f t="shared" si="9"/>
        <v>-10.392364304326478</v>
      </c>
      <c r="AX18" s="172">
        <f t="shared" si="10"/>
        <v>12.768597471612145</v>
      </c>
      <c r="AY18" s="172">
        <f t="shared" si="11"/>
        <v>-0.12446666929504897</v>
      </c>
      <c r="AZ18" s="172">
        <f t="shared" si="12"/>
        <v>8.4039065043085124</v>
      </c>
      <c r="BA18" s="172">
        <f t="shared" si="13"/>
        <v>30.226967306674329</v>
      </c>
      <c r="BB18" s="172">
        <f t="shared" si="14"/>
        <v>31.953060553431488</v>
      </c>
      <c r="BC18" s="172">
        <f t="shared" si="15"/>
        <v>-13.627190010794454</v>
      </c>
      <c r="BD18" s="172">
        <f t="shared" si="16"/>
        <v>-13.496191268755704</v>
      </c>
      <c r="BE18" s="172">
        <f t="shared" si="17"/>
        <v>87.210001987954897</v>
      </c>
      <c r="BF18" s="172">
        <f t="shared" si="18"/>
        <v>-2.2616000226403892</v>
      </c>
      <c r="BG18" s="173">
        <f t="shared" si="19"/>
        <v>23.862067812694782</v>
      </c>
      <c r="BH18" s="165"/>
      <c r="BI18" s="165"/>
      <c r="BJ18" s="165"/>
      <c r="BK18" s="166"/>
      <c r="BL18" s="166"/>
      <c r="BM18" s="166"/>
      <c r="BN18" s="166"/>
    </row>
    <row r="19" spans="3:69" ht="14">
      <c r="C19" s="178" t="str">
        <f>IF(Indice_index!$Z$1=1,"Administração Central","Central Government")</f>
        <v>Central Government</v>
      </c>
      <c r="D19" s="251">
        <v>7.195964</v>
      </c>
      <c r="E19" s="251">
        <v>2.9119999999999999</v>
      </c>
      <c r="F19" s="251">
        <v>13.965652070000001</v>
      </c>
      <c r="G19" s="251">
        <v>68.345838909999998</v>
      </c>
      <c r="H19" s="251">
        <v>3.8892000000000001E-4</v>
      </c>
      <c r="I19" s="251">
        <v>0.16885965</v>
      </c>
      <c r="J19" s="251">
        <v>153.16603799000001</v>
      </c>
      <c r="K19" s="251">
        <v>8.1461858100000004</v>
      </c>
      <c r="L19" s="251">
        <v>12.159427860000001</v>
      </c>
      <c r="M19" s="251">
        <v>0.27584045999999995</v>
      </c>
      <c r="N19" s="251">
        <v>71.342576269999995</v>
      </c>
      <c r="O19" s="251">
        <v>2265.9034309499998</v>
      </c>
      <c r="P19" s="251">
        <v>114.84432248</v>
      </c>
      <c r="Q19" s="251">
        <v>30.731750450000003</v>
      </c>
      <c r="R19" s="251">
        <v>26.657267489999999</v>
      </c>
      <c r="S19" s="251">
        <v>17.263097919999996</v>
      </c>
      <c r="T19" s="251">
        <v>0.15851979000000002</v>
      </c>
      <c r="U19" s="242">
        <f t="shared" ref="U19:U37" si="28">SUM(D19:T19)</f>
        <v>2793.2371610199993</v>
      </c>
      <c r="V19" s="163"/>
      <c r="W19" s="251">
        <v>7.3894704999999998</v>
      </c>
      <c r="X19" s="251">
        <v>4.1794999999999999E-2</v>
      </c>
      <c r="Y19" s="251">
        <v>17.066552480000002</v>
      </c>
      <c r="Z19" s="251">
        <v>64.809886330000012</v>
      </c>
      <c r="AA19" s="251">
        <v>2.0652000000000002E-4</v>
      </c>
      <c r="AB19" s="251">
        <v>0.12434771999999999</v>
      </c>
      <c r="AC19" s="251">
        <v>142.02123331999999</v>
      </c>
      <c r="AD19" s="251">
        <v>9.0906910499999984</v>
      </c>
      <c r="AE19" s="251">
        <v>10.67422146</v>
      </c>
      <c r="AF19" s="251">
        <v>0.46048275999999999</v>
      </c>
      <c r="AG19" s="251">
        <v>65.736760369999999</v>
      </c>
      <c r="AH19" s="251">
        <v>1739.8187517700001</v>
      </c>
      <c r="AI19" s="251">
        <v>87.636609750000005</v>
      </c>
      <c r="AJ19" s="251">
        <v>35.827493609999998</v>
      </c>
      <c r="AK19" s="251">
        <v>36.433373200000005</v>
      </c>
      <c r="AL19" s="251">
        <v>9.6301515299999991</v>
      </c>
      <c r="AM19" s="251">
        <v>0.16218782999999998</v>
      </c>
      <c r="AN19" s="242">
        <f t="shared" ref="AN19:AN24" si="29">SUM(W19:AM19)</f>
        <v>2226.9242152000006</v>
      </c>
      <c r="AO19" s="163"/>
      <c r="AP19" s="172">
        <f t="shared" si="2"/>
        <v>-2.6186788349720027</v>
      </c>
      <c r="AQ19" s="172" t="str">
        <f t="shared" si="3"/>
        <v>-</v>
      </c>
      <c r="AR19" s="172">
        <f t="shared" si="4"/>
        <v>-18.16945990488643</v>
      </c>
      <c r="AS19" s="172">
        <f t="shared" si="5"/>
        <v>5.4558845574818111</v>
      </c>
      <c r="AT19" s="172">
        <f t="shared" si="6"/>
        <v>88.320743753631589</v>
      </c>
      <c r="AU19" s="172">
        <f t="shared" si="7"/>
        <v>35.796337882190365</v>
      </c>
      <c r="AV19" s="172">
        <f t="shared" si="8"/>
        <v>7.8472805857760131</v>
      </c>
      <c r="AW19" s="172">
        <f t="shared" si="9"/>
        <v>-10.389806834321998</v>
      </c>
      <c r="AX19" s="172">
        <f t="shared" si="10"/>
        <v>13.9139552759476</v>
      </c>
      <c r="AY19" s="172">
        <f t="shared" si="11"/>
        <v>-40.097548928867617</v>
      </c>
      <c r="AZ19" s="172">
        <f t="shared" si="12"/>
        <v>8.5276729008968601</v>
      </c>
      <c r="BA19" s="172">
        <f t="shared" si="13"/>
        <v>30.237901427650947</v>
      </c>
      <c r="BB19" s="172">
        <f t="shared" si="14"/>
        <v>31.046058043111369</v>
      </c>
      <c r="BC19" s="172">
        <f t="shared" si="15"/>
        <v>-14.222996493892879</v>
      </c>
      <c r="BD19" s="172">
        <f t="shared" si="16"/>
        <v>-26.832831690698367</v>
      </c>
      <c r="BE19" s="172">
        <f t="shared" si="17"/>
        <v>79.260916780195231</v>
      </c>
      <c r="BF19" s="172">
        <f t="shared" si="18"/>
        <v>-2.2616000226403892</v>
      </c>
      <c r="BG19" s="173">
        <f t="shared" si="19"/>
        <v>25.430274723971152</v>
      </c>
      <c r="BH19" s="165"/>
      <c r="BI19" s="165"/>
      <c r="BJ19" s="165"/>
      <c r="BK19" s="166"/>
      <c r="BL19" s="166"/>
      <c r="BM19" s="166"/>
      <c r="BN19" s="166"/>
    </row>
    <row r="20" spans="3:69" ht="14">
      <c r="C20" s="178" t="str">
        <f>IF(Indice_index!$Z$1=1,"Administração Regional","Regional Government")</f>
        <v>Regional Government</v>
      </c>
      <c r="D20" s="251">
        <v>0</v>
      </c>
      <c r="E20" s="251">
        <v>0</v>
      </c>
      <c r="F20" s="251">
        <v>0</v>
      </c>
      <c r="G20" s="251">
        <v>0</v>
      </c>
      <c r="H20" s="251">
        <v>0</v>
      </c>
      <c r="I20" s="251">
        <v>0</v>
      </c>
      <c r="J20" s="251">
        <v>0</v>
      </c>
      <c r="K20" s="251">
        <v>0</v>
      </c>
      <c r="L20" s="251">
        <v>0</v>
      </c>
      <c r="M20" s="251">
        <v>0</v>
      </c>
      <c r="N20" s="251">
        <v>0</v>
      </c>
      <c r="O20" s="251">
        <v>0</v>
      </c>
      <c r="P20" s="251">
        <v>0</v>
      </c>
      <c r="Q20" s="251">
        <v>0</v>
      </c>
      <c r="R20" s="251">
        <v>0</v>
      </c>
      <c r="S20" s="251">
        <v>6.1633449999999999E-2</v>
      </c>
      <c r="T20" s="251">
        <v>0</v>
      </c>
      <c r="U20" s="242">
        <f t="shared" si="28"/>
        <v>6.1633449999999999E-2</v>
      </c>
      <c r="V20" s="163"/>
      <c r="W20" s="251">
        <v>0</v>
      </c>
      <c r="X20" s="251">
        <v>0</v>
      </c>
      <c r="Y20" s="251">
        <v>0</v>
      </c>
      <c r="Z20" s="251">
        <v>0</v>
      </c>
      <c r="AA20" s="251">
        <v>0</v>
      </c>
      <c r="AB20" s="251">
        <v>0</v>
      </c>
      <c r="AC20" s="251">
        <v>0</v>
      </c>
      <c r="AD20" s="251">
        <v>0</v>
      </c>
      <c r="AE20" s="251">
        <v>0</v>
      </c>
      <c r="AF20" s="251">
        <v>0</v>
      </c>
      <c r="AG20" s="251">
        <v>0</v>
      </c>
      <c r="AH20" s="251">
        <v>0</v>
      </c>
      <c r="AI20" s="251">
        <v>1.7755000000000001E-4</v>
      </c>
      <c r="AJ20" s="251">
        <v>0</v>
      </c>
      <c r="AK20" s="251">
        <v>0</v>
      </c>
      <c r="AL20" s="251">
        <v>1.84329E-3</v>
      </c>
      <c r="AM20" s="251">
        <v>0</v>
      </c>
      <c r="AN20" s="242">
        <f t="shared" si="29"/>
        <v>2.0208399999999999E-3</v>
      </c>
      <c r="AO20" s="163"/>
      <c r="AP20" s="172" t="str">
        <f t="shared" si="2"/>
        <v>-</v>
      </c>
      <c r="AQ20" s="172" t="str">
        <f t="shared" si="3"/>
        <v>-</v>
      </c>
      <c r="AR20" s="172" t="str">
        <f t="shared" si="4"/>
        <v>-</v>
      </c>
      <c r="AS20" s="172" t="str">
        <f t="shared" si="5"/>
        <v>-</v>
      </c>
      <c r="AT20" s="172" t="str">
        <f t="shared" si="6"/>
        <v>-</v>
      </c>
      <c r="AU20" s="172" t="str">
        <f t="shared" si="7"/>
        <v>-</v>
      </c>
      <c r="AV20" s="172" t="str">
        <f t="shared" si="8"/>
        <v>-</v>
      </c>
      <c r="AW20" s="172" t="str">
        <f t="shared" si="9"/>
        <v>-</v>
      </c>
      <c r="AX20" s="172" t="str">
        <f t="shared" si="10"/>
        <v>-</v>
      </c>
      <c r="AY20" s="172" t="str">
        <f t="shared" si="11"/>
        <v>-</v>
      </c>
      <c r="AZ20" s="172" t="str">
        <f t="shared" si="12"/>
        <v>-</v>
      </c>
      <c r="BA20" s="172" t="str">
        <f t="shared" si="13"/>
        <v>-</v>
      </c>
      <c r="BB20" s="172">
        <f t="shared" si="14"/>
        <v>-100</v>
      </c>
      <c r="BC20" s="172" t="str">
        <f t="shared" si="15"/>
        <v>-</v>
      </c>
      <c r="BD20" s="172" t="str">
        <f t="shared" si="16"/>
        <v>-</v>
      </c>
      <c r="BE20" s="172" t="str">
        <f t="shared" si="17"/>
        <v>-</v>
      </c>
      <c r="BF20" s="172" t="str">
        <f t="shared" si="18"/>
        <v>-</v>
      </c>
      <c r="BG20" s="173" t="str">
        <f t="shared" si="19"/>
        <v>-</v>
      </c>
      <c r="BH20" s="165"/>
      <c r="BI20" s="165"/>
      <c r="BJ20" s="165"/>
      <c r="BK20" s="166"/>
      <c r="BL20" s="166"/>
      <c r="BM20" s="166"/>
      <c r="BN20" s="166"/>
    </row>
    <row r="21" spans="3:69" ht="14">
      <c r="C21" s="178" t="str">
        <f>IF(Indice_index!$Z$1=1,"Administração Local","Local Government")</f>
        <v>Local Government</v>
      </c>
      <c r="D21" s="251">
        <v>0</v>
      </c>
      <c r="E21" s="251">
        <v>0</v>
      </c>
      <c r="F21" s="251">
        <v>0</v>
      </c>
      <c r="G21" s="251">
        <v>0</v>
      </c>
      <c r="H21" s="251">
        <v>0</v>
      </c>
      <c r="I21" s="251">
        <v>1.07353659</v>
      </c>
      <c r="J21" s="251">
        <v>0</v>
      </c>
      <c r="K21" s="251">
        <v>1.7279800000000001E-3</v>
      </c>
      <c r="L21" s="251">
        <v>0.10125179000000001</v>
      </c>
      <c r="M21" s="251">
        <v>6.4449999999999993E-2</v>
      </c>
      <c r="N21" s="251">
        <v>0</v>
      </c>
      <c r="O21" s="251">
        <v>1.2407140199999998</v>
      </c>
      <c r="P21" s="251">
        <v>0.93570399999999998</v>
      </c>
      <c r="Q21" s="251">
        <v>2.1534717800000003</v>
      </c>
      <c r="R21" s="251">
        <v>6.1277791200000005</v>
      </c>
      <c r="S21" s="251">
        <v>3.6782017400000004</v>
      </c>
      <c r="T21" s="251">
        <v>0</v>
      </c>
      <c r="U21" s="242">
        <f t="shared" si="28"/>
        <v>15.376837020000002</v>
      </c>
      <c r="V21" s="163"/>
      <c r="W21" s="251">
        <v>0</v>
      </c>
      <c r="X21" s="251">
        <v>0</v>
      </c>
      <c r="Y21" s="251">
        <v>0</v>
      </c>
      <c r="Z21" s="251">
        <v>0</v>
      </c>
      <c r="AA21" s="251">
        <v>0</v>
      </c>
      <c r="AB21" s="251">
        <v>0.77238363999999993</v>
      </c>
      <c r="AC21" s="251">
        <v>0</v>
      </c>
      <c r="AD21" s="251">
        <v>0</v>
      </c>
      <c r="AE21" s="251">
        <v>6.9572499999999999E-3</v>
      </c>
      <c r="AF21" s="251">
        <v>0</v>
      </c>
      <c r="AG21" s="251">
        <v>0</v>
      </c>
      <c r="AH21" s="251">
        <v>1.0265774000000003</v>
      </c>
      <c r="AI21" s="251">
        <v>0.10301571</v>
      </c>
      <c r="AJ21" s="251">
        <v>1.1264569899999999</v>
      </c>
      <c r="AK21" s="251">
        <v>1.4666542199999999</v>
      </c>
      <c r="AL21" s="251">
        <v>1.5852371599999999</v>
      </c>
      <c r="AM21" s="251">
        <v>0</v>
      </c>
      <c r="AN21" s="242">
        <f t="shared" si="29"/>
        <v>6.0872823699999996</v>
      </c>
      <c r="AO21" s="163"/>
      <c r="AP21" s="172" t="str">
        <f t="shared" si="2"/>
        <v>-</v>
      </c>
      <c r="AQ21" s="172" t="str">
        <f t="shared" si="3"/>
        <v>-</v>
      </c>
      <c r="AR21" s="172" t="str">
        <f t="shared" si="4"/>
        <v>-</v>
      </c>
      <c r="AS21" s="172" t="str">
        <f t="shared" si="5"/>
        <v>-</v>
      </c>
      <c r="AT21" s="172" t="str">
        <f t="shared" si="6"/>
        <v>-</v>
      </c>
      <c r="AU21" s="172">
        <f t="shared" si="7"/>
        <v>38.990073637499641</v>
      </c>
      <c r="AV21" s="172" t="str">
        <f t="shared" si="8"/>
        <v>-</v>
      </c>
      <c r="AW21" s="172" t="str">
        <f t="shared" si="9"/>
        <v>-</v>
      </c>
      <c r="AX21" s="172" t="str">
        <f t="shared" si="10"/>
        <v>-</v>
      </c>
      <c r="AY21" s="172" t="str">
        <f t="shared" si="11"/>
        <v>-</v>
      </c>
      <c r="AZ21" s="172" t="str">
        <f t="shared" si="12"/>
        <v>-</v>
      </c>
      <c r="BA21" s="172">
        <f t="shared" si="13"/>
        <v>20.859276660483602</v>
      </c>
      <c r="BB21" s="172" t="str">
        <f t="shared" si="14"/>
        <v>-</v>
      </c>
      <c r="BC21" s="172">
        <f t="shared" si="15"/>
        <v>91.17212633213812</v>
      </c>
      <c r="BD21" s="172" t="str">
        <f t="shared" si="16"/>
        <v>-</v>
      </c>
      <c r="BE21" s="172">
        <f t="shared" si="17"/>
        <v>132.02848335954985</v>
      </c>
      <c r="BF21" s="172" t="str">
        <f t="shared" si="18"/>
        <v>-</v>
      </c>
      <c r="BG21" s="173">
        <f t="shared" si="19"/>
        <v>152.60594277311313</v>
      </c>
      <c r="BH21" s="165"/>
      <c r="BI21" s="165"/>
      <c r="BJ21" s="165"/>
      <c r="BK21" s="166"/>
      <c r="BL21" s="166"/>
      <c r="BM21" s="166"/>
      <c r="BN21" s="166"/>
      <c r="BO21" s="154"/>
      <c r="BP21" s="154"/>
      <c r="BQ21" s="154"/>
    </row>
    <row r="22" spans="3:69" ht="14">
      <c r="C22" s="178" t="str">
        <f>IF(Indice_index!$Z$1=1,"Segurança Social","Social Security")</f>
        <v>Social Security</v>
      </c>
      <c r="D22" s="251">
        <v>0</v>
      </c>
      <c r="E22" s="251">
        <v>0</v>
      </c>
      <c r="F22" s="251">
        <v>0</v>
      </c>
      <c r="G22" s="251">
        <v>0</v>
      </c>
      <c r="H22" s="251">
        <v>0</v>
      </c>
      <c r="I22" s="251">
        <v>0</v>
      </c>
      <c r="J22" s="251">
        <v>0</v>
      </c>
      <c r="K22" s="251">
        <v>0</v>
      </c>
      <c r="L22" s="251">
        <v>0</v>
      </c>
      <c r="M22" s="251">
        <v>96.75</v>
      </c>
      <c r="N22" s="251">
        <v>122.91603647999999</v>
      </c>
      <c r="O22" s="251">
        <v>0.72859799999999997</v>
      </c>
      <c r="P22" s="251">
        <v>3.04842E-3</v>
      </c>
      <c r="Q22" s="251">
        <v>0.97633153000000006</v>
      </c>
      <c r="R22" s="251">
        <v>1.00657E-3</v>
      </c>
      <c r="S22" s="251">
        <v>0</v>
      </c>
      <c r="T22" s="251">
        <v>0</v>
      </c>
      <c r="U22" s="242">
        <f t="shared" si="28"/>
        <v>221.375021</v>
      </c>
      <c r="V22" s="163"/>
      <c r="W22" s="251">
        <v>0</v>
      </c>
      <c r="X22" s="251">
        <v>0</v>
      </c>
      <c r="Y22" s="251">
        <v>0</v>
      </c>
      <c r="Z22" s="251">
        <v>0</v>
      </c>
      <c r="AA22" s="251">
        <v>0</v>
      </c>
      <c r="AB22" s="251">
        <v>0</v>
      </c>
      <c r="AC22" s="251">
        <v>0</v>
      </c>
      <c r="AD22" s="251">
        <v>2.1878400000000004E-3</v>
      </c>
      <c r="AE22" s="251">
        <v>0.19124492999999992</v>
      </c>
      <c r="AF22" s="251">
        <v>96.750803349999998</v>
      </c>
      <c r="AG22" s="251">
        <v>113.46214399999998</v>
      </c>
      <c r="AH22" s="251">
        <v>0.63171653999999999</v>
      </c>
      <c r="AI22" s="251">
        <v>5.8501899999999999E-3</v>
      </c>
      <c r="AJ22" s="251">
        <v>2.25</v>
      </c>
      <c r="AK22" s="251">
        <v>1.2553800000000002E-3</v>
      </c>
      <c r="AL22" s="251">
        <v>1.6841500000000001E-3</v>
      </c>
      <c r="AM22" s="251">
        <v>0</v>
      </c>
      <c r="AN22" s="242">
        <f t="shared" si="29"/>
        <v>213.29688637999999</v>
      </c>
      <c r="AO22" s="163"/>
      <c r="AP22" s="172" t="str">
        <f t="shared" si="2"/>
        <v>-</v>
      </c>
      <c r="AQ22" s="172" t="str">
        <f t="shared" si="3"/>
        <v>-</v>
      </c>
      <c r="AR22" s="172" t="str">
        <f t="shared" si="4"/>
        <v>-</v>
      </c>
      <c r="AS22" s="172" t="str">
        <f t="shared" si="5"/>
        <v>-</v>
      </c>
      <c r="AT22" s="172" t="str">
        <f t="shared" si="6"/>
        <v>-</v>
      </c>
      <c r="AU22" s="172" t="str">
        <f t="shared" si="7"/>
        <v>-</v>
      </c>
      <c r="AV22" s="172" t="str">
        <f t="shared" si="8"/>
        <v>-</v>
      </c>
      <c r="AW22" s="172">
        <f t="shared" si="9"/>
        <v>-100</v>
      </c>
      <c r="AX22" s="172">
        <f t="shared" si="10"/>
        <v>-100</v>
      </c>
      <c r="AY22" s="172">
        <f t="shared" si="11"/>
        <v>-8.3032902279069727E-4</v>
      </c>
      <c r="AZ22" s="172">
        <f t="shared" si="12"/>
        <v>8.332199751134624</v>
      </c>
      <c r="BA22" s="172">
        <f t="shared" si="13"/>
        <v>15.336223427045297</v>
      </c>
      <c r="BB22" s="172">
        <f t="shared" si="14"/>
        <v>-47.891948808500231</v>
      </c>
      <c r="BC22" s="172">
        <f t="shared" si="15"/>
        <v>-56.607487555555558</v>
      </c>
      <c r="BD22" s="172">
        <f t="shared" si="16"/>
        <v>-19.819496885405226</v>
      </c>
      <c r="BE22" s="172">
        <f t="shared" si="17"/>
        <v>-100</v>
      </c>
      <c r="BF22" s="172" t="str">
        <f t="shared" si="18"/>
        <v>-</v>
      </c>
      <c r="BG22" s="173">
        <f t="shared" si="19"/>
        <v>3.7872726400742573</v>
      </c>
      <c r="BH22" s="165"/>
      <c r="BI22" s="165"/>
      <c r="BJ22" s="165"/>
      <c r="BK22" s="166"/>
      <c r="BL22" s="166"/>
      <c r="BM22" s="166"/>
      <c r="BN22" s="166"/>
    </row>
    <row r="23" spans="3:69" ht="14">
      <c r="C23" s="174" t="str">
        <f>IF(Indice_index!$Z$1=1,"Outras transferências correntes","Other current transfers")</f>
        <v>Other current transfers</v>
      </c>
      <c r="D23" s="251">
        <v>0.49665333</v>
      </c>
      <c r="E23" s="251">
        <v>9.3303603300000013</v>
      </c>
      <c r="F23" s="251">
        <v>18.856411040000001</v>
      </c>
      <c r="G23" s="251">
        <v>37.489260569999985</v>
      </c>
      <c r="H23" s="251">
        <v>0.89875868000000003</v>
      </c>
      <c r="I23" s="251">
        <v>60.660028060000016</v>
      </c>
      <c r="J23" s="251">
        <v>3.8342550000000131</v>
      </c>
      <c r="K23" s="251">
        <v>12.017429720000003</v>
      </c>
      <c r="L23" s="251">
        <v>173.76874199000008</v>
      </c>
      <c r="M23" s="251">
        <v>40.207354669999972</v>
      </c>
      <c r="N23" s="251">
        <v>6973.7672303300023</v>
      </c>
      <c r="O23" s="251">
        <v>39.893535650000103</v>
      </c>
      <c r="P23" s="251">
        <v>16.964167110000005</v>
      </c>
      <c r="Q23" s="251">
        <v>37.604164869999991</v>
      </c>
      <c r="R23" s="251">
        <v>52.86008125999998</v>
      </c>
      <c r="S23" s="251">
        <v>112.09820713000002</v>
      </c>
      <c r="T23" s="251">
        <v>6.1899828599999998</v>
      </c>
      <c r="U23" s="242">
        <f t="shared" si="28"/>
        <v>7596.9366226000029</v>
      </c>
      <c r="V23" s="163"/>
      <c r="W23" s="251">
        <v>5.476265000000069E-2</v>
      </c>
      <c r="X23" s="251">
        <v>7.3470551900000007</v>
      </c>
      <c r="Y23" s="251">
        <v>18.849565970000004</v>
      </c>
      <c r="Z23" s="251">
        <v>40.979668799999985</v>
      </c>
      <c r="AA23" s="251">
        <v>0.90870368000000001</v>
      </c>
      <c r="AB23" s="251">
        <v>53.170245670000007</v>
      </c>
      <c r="AC23" s="251">
        <v>3.2762287299999855</v>
      </c>
      <c r="AD23" s="251">
        <v>12.996223840000003</v>
      </c>
      <c r="AE23" s="251">
        <v>157.44424303999995</v>
      </c>
      <c r="AF23" s="251">
        <v>36.004795830000006</v>
      </c>
      <c r="AG23" s="251">
        <v>7103.7158666000005</v>
      </c>
      <c r="AH23" s="251">
        <v>36.038440419999688</v>
      </c>
      <c r="AI23" s="251">
        <v>6.1863133699999651</v>
      </c>
      <c r="AJ23" s="251">
        <v>24.153860989999998</v>
      </c>
      <c r="AK23" s="251">
        <v>28.401688779999994</v>
      </c>
      <c r="AL23" s="251">
        <v>93.661153420000005</v>
      </c>
      <c r="AM23" s="251">
        <v>6.7705525900000012</v>
      </c>
      <c r="AN23" s="242">
        <f t="shared" si="29"/>
        <v>7629.9593695699996</v>
      </c>
      <c r="AO23" s="163"/>
      <c r="AP23" s="172" t="str">
        <f t="shared" si="2"/>
        <v>-</v>
      </c>
      <c r="AQ23" s="172">
        <f t="shared" si="3"/>
        <v>26.994558890743818</v>
      </c>
      <c r="AR23" s="172">
        <f t="shared" si="4"/>
        <v>3.6314204851673415E-2</v>
      </c>
      <c r="AS23" s="172">
        <f t="shared" si="5"/>
        <v>-8.5174144452821974</v>
      </c>
      <c r="AT23" s="172">
        <f t="shared" si="6"/>
        <v>-1.0944161687559117</v>
      </c>
      <c r="AU23" s="172">
        <f t="shared" si="7"/>
        <v>14.086416746097402</v>
      </c>
      <c r="AV23" s="172">
        <f t="shared" si="8"/>
        <v>17.032579712468063</v>
      </c>
      <c r="AW23" s="172">
        <f t="shared" si="9"/>
        <v>-7.5313732054033302</v>
      </c>
      <c r="AX23" s="172">
        <f t="shared" si="10"/>
        <v>10.368431791979059</v>
      </c>
      <c r="AY23" s="172">
        <f t="shared" si="11"/>
        <v>11.672219611639347</v>
      </c>
      <c r="AZ23" s="172">
        <f t="shared" si="12"/>
        <v>-1.8293050948305241</v>
      </c>
      <c r="BA23" s="172">
        <f t="shared" si="13"/>
        <v>10.697175529996059</v>
      </c>
      <c r="BB23" s="172">
        <f t="shared" si="14"/>
        <v>174.22094703877087</v>
      </c>
      <c r="BC23" s="172">
        <f t="shared" si="15"/>
        <v>55.685937273418062</v>
      </c>
      <c r="BD23" s="172">
        <f t="shared" si="16"/>
        <v>86.115979473809276</v>
      </c>
      <c r="BE23" s="172">
        <f t="shared" si="17"/>
        <v>19.6848458905088</v>
      </c>
      <c r="BF23" s="172">
        <f t="shared" si="18"/>
        <v>-8.5749238674771355</v>
      </c>
      <c r="BG23" s="173">
        <f t="shared" si="19"/>
        <v>-0.4328037066841906</v>
      </c>
      <c r="BH23" s="165"/>
      <c r="BI23" s="165"/>
      <c r="BJ23" s="165"/>
      <c r="BK23" s="166"/>
      <c r="BL23" s="166"/>
      <c r="BM23" s="166"/>
      <c r="BN23" s="166"/>
    </row>
    <row r="24" spans="3:69" ht="14">
      <c r="C24" s="171" t="str">
        <f>IF(Indice_index!$Z$1=1,"Subsídios","Subsidies")</f>
        <v>Subsidies</v>
      </c>
      <c r="D24" s="251">
        <v>24.244949160000001</v>
      </c>
      <c r="E24" s="251">
        <v>0</v>
      </c>
      <c r="F24" s="251">
        <v>0</v>
      </c>
      <c r="G24" s="251">
        <v>0</v>
      </c>
      <c r="H24" s="251">
        <v>0</v>
      </c>
      <c r="I24" s="251">
        <v>0</v>
      </c>
      <c r="J24" s="251">
        <v>0</v>
      </c>
      <c r="K24" s="251">
        <v>10.999215629999998</v>
      </c>
      <c r="L24" s="251">
        <v>1.03E-2</v>
      </c>
      <c r="M24" s="251">
        <v>0</v>
      </c>
      <c r="N24" s="251">
        <v>206.19495119999999</v>
      </c>
      <c r="O24" s="251">
        <v>0</v>
      </c>
      <c r="P24" s="251">
        <v>1.554849E-2</v>
      </c>
      <c r="Q24" s="251">
        <v>0.29279782999999998</v>
      </c>
      <c r="R24" s="251">
        <v>1.48041285</v>
      </c>
      <c r="S24" s="251">
        <v>11.1568904</v>
      </c>
      <c r="T24" s="251">
        <v>0</v>
      </c>
      <c r="U24" s="242">
        <f t="shared" si="28"/>
        <v>254.39506555999998</v>
      </c>
      <c r="V24" s="163"/>
      <c r="W24" s="251">
        <v>12.657501399999999</v>
      </c>
      <c r="X24" s="251">
        <v>0</v>
      </c>
      <c r="Y24" s="251">
        <v>0</v>
      </c>
      <c r="Z24" s="251">
        <v>0</v>
      </c>
      <c r="AA24" s="251">
        <v>0</v>
      </c>
      <c r="AB24" s="251">
        <v>0</v>
      </c>
      <c r="AC24" s="251">
        <v>0</v>
      </c>
      <c r="AD24" s="251">
        <v>10.41622986</v>
      </c>
      <c r="AE24" s="251">
        <v>1.1042E-2</v>
      </c>
      <c r="AF24" s="251">
        <v>0</v>
      </c>
      <c r="AG24" s="251">
        <v>262.04755926000001</v>
      </c>
      <c r="AH24" s="251">
        <v>0.22049964999999999</v>
      </c>
      <c r="AI24" s="251">
        <v>0.38825696000000004</v>
      </c>
      <c r="AJ24" s="251">
        <v>0.21238404</v>
      </c>
      <c r="AK24" s="251">
        <v>1.6571772199999999</v>
      </c>
      <c r="AL24" s="251">
        <v>26.197197929999998</v>
      </c>
      <c r="AM24" s="251">
        <v>0</v>
      </c>
      <c r="AN24" s="242">
        <f t="shared" si="29"/>
        <v>313.80784832000006</v>
      </c>
      <c r="AO24" s="163"/>
      <c r="AP24" s="172">
        <f t="shared" si="2"/>
        <v>91.546091079239403</v>
      </c>
      <c r="AQ24" s="172" t="str">
        <f t="shared" si="3"/>
        <v>-</v>
      </c>
      <c r="AR24" s="172" t="str">
        <f t="shared" si="4"/>
        <v>-</v>
      </c>
      <c r="AS24" s="172" t="str">
        <f t="shared" si="5"/>
        <v>-</v>
      </c>
      <c r="AT24" s="172" t="str">
        <f t="shared" si="6"/>
        <v>-</v>
      </c>
      <c r="AU24" s="172" t="str">
        <f t="shared" si="7"/>
        <v>-</v>
      </c>
      <c r="AV24" s="172" t="str">
        <f t="shared" si="8"/>
        <v>-</v>
      </c>
      <c r="AW24" s="172">
        <f t="shared" si="9"/>
        <v>5.5968980891901969</v>
      </c>
      <c r="AX24" s="172">
        <f t="shared" si="10"/>
        <v>-6.7197971381995982</v>
      </c>
      <c r="AY24" s="172" t="str">
        <f t="shared" si="11"/>
        <v>-</v>
      </c>
      <c r="AZ24" s="172">
        <f t="shared" si="12"/>
        <v>-21.313920350078067</v>
      </c>
      <c r="BA24" s="172">
        <f t="shared" si="13"/>
        <v>-100</v>
      </c>
      <c r="BB24" s="172">
        <f t="shared" si="14"/>
        <v>-95.995309395097507</v>
      </c>
      <c r="BC24" s="172">
        <f t="shared" si="15"/>
        <v>37.862444842842237</v>
      </c>
      <c r="BD24" s="172">
        <f t="shared" si="16"/>
        <v>-10.666594246329304</v>
      </c>
      <c r="BE24" s="172">
        <f t="shared" si="17"/>
        <v>-57.41189408954471</v>
      </c>
      <c r="BF24" s="172" t="str">
        <f t="shared" si="18"/>
        <v>-</v>
      </c>
      <c r="BG24" s="173">
        <f t="shared" si="19"/>
        <v>-18.932854317720867</v>
      </c>
      <c r="BH24" s="165"/>
      <c r="BI24" s="165"/>
      <c r="BJ24" s="165"/>
      <c r="BK24" s="166"/>
      <c r="BL24" s="166"/>
      <c r="BM24" s="166"/>
      <c r="BN24" s="166"/>
    </row>
    <row r="25" spans="3:69" ht="14">
      <c r="C25" s="171" t="str">
        <f>IF(Indice_index!$Z$1=1,"Outras despesas correntes","Other current expenditure")</f>
        <v>Other current expenditure</v>
      </c>
      <c r="D25" s="251">
        <v>0.20538387000000002</v>
      </c>
      <c r="E25" s="251">
        <v>1.9273061700000003</v>
      </c>
      <c r="F25" s="251">
        <v>0.70643202999999988</v>
      </c>
      <c r="G25" s="251">
        <v>38.062841460000008</v>
      </c>
      <c r="H25" s="251">
        <v>6.5481154100000003</v>
      </c>
      <c r="I25" s="251">
        <v>0.67834176999999996</v>
      </c>
      <c r="J25" s="251">
        <v>0.33525477000000004</v>
      </c>
      <c r="K25" s="251">
        <v>5.7956069000000001</v>
      </c>
      <c r="L25" s="251">
        <v>9.2434037700000022</v>
      </c>
      <c r="M25" s="251">
        <v>28.328889240000002</v>
      </c>
      <c r="N25" s="251">
        <v>7.4166191999999986</v>
      </c>
      <c r="O25" s="251">
        <v>14.878203709999999</v>
      </c>
      <c r="P25" s="251">
        <v>99.145082650000006</v>
      </c>
      <c r="Q25" s="251">
        <v>14.682693420000001</v>
      </c>
      <c r="R25" s="251">
        <v>6.4399694599999986</v>
      </c>
      <c r="S25" s="251">
        <v>1.7531090499999999</v>
      </c>
      <c r="T25" s="251">
        <v>2.9204399999999998E-3</v>
      </c>
      <c r="U25" s="242">
        <f t="shared" si="28"/>
        <v>236.15017331999999</v>
      </c>
      <c r="V25" s="163"/>
      <c r="W25" s="251">
        <v>0.23857096000000003</v>
      </c>
      <c r="X25" s="251">
        <v>1.9599055299999999</v>
      </c>
      <c r="Y25" s="251">
        <v>1.0200310700000002</v>
      </c>
      <c r="Z25" s="251">
        <v>97.74051092000002</v>
      </c>
      <c r="AA25" s="251">
        <v>8.2094024700000006</v>
      </c>
      <c r="AB25" s="251">
        <v>0.71291624000000009</v>
      </c>
      <c r="AC25" s="251">
        <v>0.35748397999999998</v>
      </c>
      <c r="AD25" s="251">
        <v>3.8268539399999999</v>
      </c>
      <c r="AE25" s="251">
        <v>9.1126280199999972</v>
      </c>
      <c r="AF25" s="251">
        <v>16.222581120000001</v>
      </c>
      <c r="AG25" s="251">
        <v>6.5707976000000006</v>
      </c>
      <c r="AH25" s="251">
        <v>16.713170740000002</v>
      </c>
      <c r="AI25" s="251">
        <v>47.305640250000017</v>
      </c>
      <c r="AJ25" s="251">
        <v>9.7931208699999992</v>
      </c>
      <c r="AK25" s="251">
        <v>5.1658500600000004</v>
      </c>
      <c r="AL25" s="251">
        <v>2.5541063099999999</v>
      </c>
      <c r="AM25" s="251">
        <v>1.4684300000000002E-3</v>
      </c>
      <c r="AN25" s="242">
        <f>SUM(W25:AM25)</f>
        <v>227.50503851000005</v>
      </c>
      <c r="AO25" s="163"/>
      <c r="AP25" s="172">
        <f t="shared" si="2"/>
        <v>-13.910783609203737</v>
      </c>
      <c r="AQ25" s="172">
        <f t="shared" si="3"/>
        <v>-1.6633128230420184</v>
      </c>
      <c r="AR25" s="172">
        <f t="shared" si="4"/>
        <v>-30.744067433161643</v>
      </c>
      <c r="AS25" s="172">
        <f t="shared" si="5"/>
        <v>-61.057251387652144</v>
      </c>
      <c r="AT25" s="172">
        <f t="shared" si="6"/>
        <v>-20.236394379139266</v>
      </c>
      <c r="AU25" s="172">
        <f t="shared" si="7"/>
        <v>-4.8497240012375276</v>
      </c>
      <c r="AV25" s="172">
        <f t="shared" si="8"/>
        <v>-6.2182394858644985</v>
      </c>
      <c r="AW25" s="172">
        <f t="shared" si="9"/>
        <v>51.44573037976987</v>
      </c>
      <c r="AX25" s="172">
        <f t="shared" si="10"/>
        <v>1.4351046669850254</v>
      </c>
      <c r="AY25" s="172">
        <f t="shared" si="11"/>
        <v>74.626275747665986</v>
      </c>
      <c r="AZ25" s="172">
        <f t="shared" si="12"/>
        <v>12.872434238424846</v>
      </c>
      <c r="BA25" s="172">
        <f t="shared" si="13"/>
        <v>-10.979167619034346</v>
      </c>
      <c r="BB25" s="172">
        <f t="shared" si="14"/>
        <v>109.58406254738296</v>
      </c>
      <c r="BC25" s="172">
        <f t="shared" si="15"/>
        <v>49.928644963206736</v>
      </c>
      <c r="BD25" s="172">
        <f t="shared" si="16"/>
        <v>24.664273743942118</v>
      </c>
      <c r="BE25" s="172">
        <f t="shared" si="17"/>
        <v>-31.361155832233152</v>
      </c>
      <c r="BF25" s="172">
        <f t="shared" si="18"/>
        <v>98.881798928106861</v>
      </c>
      <c r="BG25" s="173">
        <f t="shared" si="19"/>
        <v>3.7999750979668727</v>
      </c>
      <c r="BH25" s="165"/>
      <c r="BI25" s="165"/>
      <c r="BJ25" s="165"/>
      <c r="BK25" s="166"/>
      <c r="BL25" s="166"/>
      <c r="BM25" s="166"/>
      <c r="BN25" s="166"/>
    </row>
    <row r="26" spans="3:69" ht="14">
      <c r="C26" s="179"/>
      <c r="D26" s="251"/>
      <c r="E26" s="251"/>
      <c r="F26" s="251"/>
      <c r="G26" s="251"/>
      <c r="H26" s="251"/>
      <c r="I26" s="251"/>
      <c r="J26" s="251"/>
      <c r="K26" s="251"/>
      <c r="L26" s="251"/>
      <c r="M26" s="251"/>
      <c r="N26" s="251"/>
      <c r="O26" s="251"/>
      <c r="P26" s="251"/>
      <c r="Q26" s="251"/>
      <c r="R26" s="251"/>
      <c r="S26" s="251"/>
      <c r="T26" s="251"/>
      <c r="U26" s="242"/>
      <c r="V26" s="163"/>
      <c r="W26" s="251"/>
      <c r="X26" s="251"/>
      <c r="Y26" s="251"/>
      <c r="Z26" s="251"/>
      <c r="AA26" s="251"/>
      <c r="AB26" s="251"/>
      <c r="AC26" s="251"/>
      <c r="AD26" s="251"/>
      <c r="AE26" s="251"/>
      <c r="AF26" s="251"/>
      <c r="AG26" s="251"/>
      <c r="AH26" s="251"/>
      <c r="AI26" s="251"/>
      <c r="AJ26" s="251"/>
      <c r="AK26" s="251"/>
      <c r="AL26" s="251"/>
      <c r="AM26" s="251"/>
      <c r="AN26" s="242"/>
      <c r="AO26" s="163"/>
      <c r="AP26" s="172"/>
      <c r="AQ26" s="172"/>
      <c r="AR26" s="172"/>
      <c r="AS26" s="172"/>
      <c r="AT26" s="172"/>
      <c r="AU26" s="172"/>
      <c r="AV26" s="172"/>
      <c r="AW26" s="172"/>
      <c r="AX26" s="172"/>
      <c r="AY26" s="172"/>
      <c r="AZ26" s="172"/>
      <c r="BA26" s="172"/>
      <c r="BB26" s="172"/>
      <c r="BC26" s="172"/>
      <c r="BD26" s="172"/>
      <c r="BE26" s="172"/>
      <c r="BF26" s="172"/>
      <c r="BG26" s="173"/>
      <c r="BH26" s="165"/>
      <c r="BI26" s="165"/>
      <c r="BJ26" s="165"/>
      <c r="BK26" s="166"/>
      <c r="BL26" s="166"/>
      <c r="BM26" s="166"/>
      <c r="BN26" s="166"/>
    </row>
    <row r="27" spans="3:69" ht="14">
      <c r="C27" s="180" t="str">
        <f>IF(Indice_index!$Z$1=1,"Despesa de capital","Capital expenditure")</f>
        <v>Capital expenditure</v>
      </c>
      <c r="D27" s="253">
        <f t="shared" ref="D27:T27" si="30">+D28+D29+D36</f>
        <v>2.6979130999999996</v>
      </c>
      <c r="E27" s="253">
        <f t="shared" si="30"/>
        <v>1.1622565600000001</v>
      </c>
      <c r="F27" s="253">
        <f t="shared" si="30"/>
        <v>5.9515368600000009</v>
      </c>
      <c r="G27" s="253">
        <f t="shared" si="30"/>
        <v>142.74062760999999</v>
      </c>
      <c r="H27" s="253">
        <f t="shared" si="30"/>
        <v>1.727657</v>
      </c>
      <c r="I27" s="253">
        <f t="shared" si="30"/>
        <v>1.9699212899999998</v>
      </c>
      <c r="J27" s="253">
        <f t="shared" si="30"/>
        <v>13.872247429999998</v>
      </c>
      <c r="K27" s="253">
        <f>+K28+K29+K36</f>
        <v>8.5560093799999972</v>
      </c>
      <c r="L27" s="253">
        <f>+L28+L29+L36</f>
        <v>234.59702540999996</v>
      </c>
      <c r="M27" s="253">
        <f>+M28+M29+M36</f>
        <v>9.702649540000003</v>
      </c>
      <c r="N27" s="253">
        <f>+N28+N29+N36</f>
        <v>35.105505289999996</v>
      </c>
      <c r="O27" s="253">
        <f t="shared" si="30"/>
        <v>86.108618319999977</v>
      </c>
      <c r="P27" s="253">
        <f t="shared" si="30"/>
        <v>1200.4976939400001</v>
      </c>
      <c r="Q27" s="253">
        <f t="shared" si="30"/>
        <v>52.34618754000001</v>
      </c>
      <c r="R27" s="253">
        <f t="shared" si="30"/>
        <v>43.313711210000001</v>
      </c>
      <c r="S27" s="253">
        <f t="shared" si="30"/>
        <v>160.47108861999999</v>
      </c>
      <c r="T27" s="253">
        <f t="shared" si="30"/>
        <v>1.12839969</v>
      </c>
      <c r="U27" s="247">
        <f t="shared" si="28"/>
        <v>2001.94904879</v>
      </c>
      <c r="V27" s="181"/>
      <c r="W27" s="253">
        <f t="shared" ref="W27:AM27" si="31">+W28+W29+W36</f>
        <v>4.1392908300000002</v>
      </c>
      <c r="X27" s="253">
        <f t="shared" si="31"/>
        <v>0.85845899000000003</v>
      </c>
      <c r="Y27" s="253">
        <f t="shared" si="31"/>
        <v>4.9558534699999992</v>
      </c>
      <c r="Z27" s="253">
        <f t="shared" si="31"/>
        <v>132.81688958999999</v>
      </c>
      <c r="AA27" s="253">
        <f t="shared" si="31"/>
        <v>0.94987860000000013</v>
      </c>
      <c r="AB27" s="253">
        <f t="shared" si="31"/>
        <v>1.0199666500000002</v>
      </c>
      <c r="AC27" s="253">
        <f t="shared" si="31"/>
        <v>10.452895139999999</v>
      </c>
      <c r="AD27" s="253">
        <f t="shared" si="31"/>
        <v>10.323876810000002</v>
      </c>
      <c r="AE27" s="253">
        <f t="shared" si="31"/>
        <v>204.88210361000003</v>
      </c>
      <c r="AF27" s="253">
        <f t="shared" si="31"/>
        <v>15.396551629999999</v>
      </c>
      <c r="AG27" s="253">
        <f t="shared" si="31"/>
        <v>33.906310269999999</v>
      </c>
      <c r="AH27" s="253">
        <f t="shared" si="31"/>
        <v>59.107122460000014</v>
      </c>
      <c r="AI27" s="253">
        <f t="shared" si="31"/>
        <v>1118.9896702899996</v>
      </c>
      <c r="AJ27" s="253">
        <f t="shared" si="31"/>
        <v>55.197204430000014</v>
      </c>
      <c r="AK27" s="253">
        <f t="shared" si="31"/>
        <v>33.250944490000002</v>
      </c>
      <c r="AL27" s="253">
        <f t="shared" si="31"/>
        <v>188.48199808000004</v>
      </c>
      <c r="AM27" s="253">
        <f t="shared" si="31"/>
        <v>3.6850062499999998</v>
      </c>
      <c r="AN27" s="247">
        <f>SUM(W27:AM27)</f>
        <v>1878.4140215899997</v>
      </c>
      <c r="AO27" s="181"/>
      <c r="AP27" s="182">
        <f t="shared" ref="AP27:AP36" si="32">IF(W27=0,"-",IF((D27/W27)&gt;3,"-",((D27-W27)/W27)*100))</f>
        <v>-34.821852080396113</v>
      </c>
      <c r="AQ27" s="182">
        <f t="shared" ref="AQ27:AQ36" si="33">IF(X27=0,"-",IF((E27/X27)&gt;3,"-",((E27-X27)/X27)*100))</f>
        <v>35.388710880644403</v>
      </c>
      <c r="AR27" s="182">
        <f t="shared" ref="AR27:AR36" si="34">IF(Y27=0,"-",IF((F27/Y27)&gt;3,"-",((F27-Y27)/Y27)*100))</f>
        <v>20.091057898045602</v>
      </c>
      <c r="AS27" s="182">
        <f t="shared" ref="AS27:AS36" si="35">IF(Z27=0,"-",IF((G27/Z27)&gt;3,"-",((G27-Z27)/Z27)*100))</f>
        <v>7.4717440309241949</v>
      </c>
      <c r="AT27" s="182">
        <f t="shared" ref="AT27:AT36" si="36">IF(AA27=0,"-",IF((H27/AA27)&gt;3,"-",((H27-AA27)/AA27)*100))</f>
        <v>81.88187416791996</v>
      </c>
      <c r="AU27" s="182">
        <f t="shared" ref="AU27:AU36" si="37">IF(AB27=0,"-",IF((I27/AB27)&gt;3,"-",((I27-AB27)/AB27)*100))</f>
        <v>93.13585302029233</v>
      </c>
      <c r="AV27" s="182">
        <f t="shared" ref="AV27:AV36" si="38">IF(AC27=0,"-",IF((J27/AC27)&gt;3,"-",((J27-AC27)/AC27)*100))</f>
        <v>32.712011784325611</v>
      </c>
      <c r="AW27" s="182">
        <f t="shared" ref="AW27:AW36" si="39">IF(AD27=0,"-",IF((K27/AD27)&gt;3,"-",((K27-AD27)/AD27)*100))</f>
        <v>-17.124065528248046</v>
      </c>
      <c r="AX27" s="182">
        <f t="shared" ref="AX27:AX36" si="40">IF(AE27=0,"-",IF((L27/AE27)&gt;3,"-",((L27-AE27)/AE27)*100))</f>
        <v>14.503424787439357</v>
      </c>
      <c r="AY27" s="182">
        <f t="shared" ref="AY27:AY36" si="41">IF(AF27=0,"-",IF((M27/AF27)&gt;3,"-",((M27-AF27)/AF27)*100))</f>
        <v>-36.981671135408625</v>
      </c>
      <c r="AZ27" s="182">
        <f t="shared" ref="AZ27:AZ36" si="42">IF(AG27=0,"-",IF((N27/AG27)&gt;3,"-",((N27-AG27)/AG27)*100))</f>
        <v>3.5367900855347112</v>
      </c>
      <c r="BA27" s="182">
        <f t="shared" ref="BA27:BA36" si="43">IF(AH27=0,"-",IF((O27/AH27)&gt;3,"-",((O27-AH27)/AH27)*100))</f>
        <v>45.68230483267542</v>
      </c>
      <c r="BB27" s="182">
        <f t="shared" ref="BB27:BB36" si="44">IF(AI27=0,"-",IF((P27/AI27)&gt;3,"-",((P27-AI27)/AI27)*100))</f>
        <v>7.2840729288302288</v>
      </c>
      <c r="BC27" s="182">
        <f t="shared" ref="BC27:BC36" si="45">IF(AJ27=0,"-",IF((Q27/AJ27)&gt;3,"-",((Q27-AJ27)/AJ27)*100))</f>
        <v>-5.1651472559912097</v>
      </c>
      <c r="BD27" s="182">
        <f t="shared" ref="BD27:BD36" si="46">IF(AK27=0,"-",IF((R27/AK27)&gt;3,"-",((R27-AK27)/AK27)*100))</f>
        <v>30.263100415166576</v>
      </c>
      <c r="BE27" s="182">
        <f t="shared" ref="BE27:BE36" si="47">IF(AL27=0,"-",IF((S27/AL27)&gt;3,"-",((S27-AL27)/AL27)*100))</f>
        <v>-14.861318187061551</v>
      </c>
      <c r="BF27" s="182">
        <f t="shared" ref="BF27:BF36" si="48">IF(AM27=0,"-",IF((T27/AM27)&gt;3,"-",((T27-AM27)/AM27)*100))</f>
        <v>-69.378622085105007</v>
      </c>
      <c r="BG27" s="183">
        <f t="shared" ref="BG27:BG36" si="49">IF(AN27=0,"-",IF((U27/AN27)&gt;3,"-",((U27-AN27)/AN27)*100))</f>
        <v>6.576560107629148</v>
      </c>
      <c r="BH27" s="184"/>
      <c r="BI27" s="165"/>
      <c r="BJ27" s="165"/>
      <c r="BK27" s="166"/>
      <c r="BL27" s="166"/>
      <c r="BM27" s="166"/>
      <c r="BN27" s="166"/>
    </row>
    <row r="28" spans="3:69" ht="14">
      <c r="C28" s="171" t="str">
        <f>IF(Indice_index!$Z$1=1,"Investimento","Investment")</f>
        <v>Investment</v>
      </c>
      <c r="D28" s="251">
        <v>2.2980142199999998</v>
      </c>
      <c r="E28" s="251">
        <v>1.1622565600000001</v>
      </c>
      <c r="F28" s="251">
        <v>1.2556738600000004</v>
      </c>
      <c r="G28" s="251">
        <v>9.5574724399999997</v>
      </c>
      <c r="H28" s="251">
        <v>1.727657</v>
      </c>
      <c r="I28" s="251">
        <v>1.7738232899999999</v>
      </c>
      <c r="J28" s="251">
        <v>5.3957165799999993</v>
      </c>
      <c r="K28" s="251">
        <v>8.0282593799999979</v>
      </c>
      <c r="L28" s="251">
        <v>57.169421749999977</v>
      </c>
      <c r="M28" s="251">
        <v>9.3084438700000032</v>
      </c>
      <c r="N28" s="251">
        <v>27.088279319999998</v>
      </c>
      <c r="O28" s="251">
        <v>81.958759299999983</v>
      </c>
      <c r="P28" s="251">
        <v>1200.3754616000001</v>
      </c>
      <c r="Q28" s="251">
        <v>3.3456936800000001</v>
      </c>
      <c r="R28" s="251">
        <v>41.38621775</v>
      </c>
      <c r="S28" s="251">
        <v>9.7458750399999996</v>
      </c>
      <c r="T28" s="251">
        <v>1.10324069</v>
      </c>
      <c r="U28" s="242">
        <f t="shared" si="28"/>
        <v>1462.6802663300002</v>
      </c>
      <c r="V28" s="163"/>
      <c r="W28" s="251">
        <v>3.9550820799999999</v>
      </c>
      <c r="X28" s="251">
        <v>0.85845899000000003</v>
      </c>
      <c r="Y28" s="251">
        <v>1.3166844699999998</v>
      </c>
      <c r="Z28" s="251">
        <v>2.9532400000000001</v>
      </c>
      <c r="AA28" s="251">
        <v>0.94987860000000013</v>
      </c>
      <c r="AB28" s="251">
        <v>0.85896665000000016</v>
      </c>
      <c r="AC28" s="251">
        <v>4.5313249200000003</v>
      </c>
      <c r="AD28" s="251">
        <v>9.8224768100000013</v>
      </c>
      <c r="AE28" s="251">
        <v>45.086330330000003</v>
      </c>
      <c r="AF28" s="251">
        <v>15.0331464</v>
      </c>
      <c r="AG28" s="251">
        <v>31.522104989999999</v>
      </c>
      <c r="AH28" s="251">
        <v>55.23020824000001</v>
      </c>
      <c r="AI28" s="251">
        <v>1118.9793703399996</v>
      </c>
      <c r="AJ28" s="251">
        <v>3.0059726899999992</v>
      </c>
      <c r="AK28" s="251">
        <v>27.5058775</v>
      </c>
      <c r="AL28" s="251">
        <v>17.464271750000002</v>
      </c>
      <c r="AM28" s="251">
        <v>3.6850062499999998</v>
      </c>
      <c r="AN28" s="242">
        <f>SUM(W28:AM28)</f>
        <v>1342.7584010099995</v>
      </c>
      <c r="AO28" s="163"/>
      <c r="AP28" s="172">
        <f t="shared" si="32"/>
        <v>-41.897180045375954</v>
      </c>
      <c r="AQ28" s="172">
        <f t="shared" si="33"/>
        <v>35.388710880644403</v>
      </c>
      <c r="AR28" s="172">
        <f t="shared" si="34"/>
        <v>-4.6336545611417002</v>
      </c>
      <c r="AS28" s="172" t="str">
        <f t="shared" si="35"/>
        <v>-</v>
      </c>
      <c r="AT28" s="172">
        <f t="shared" si="36"/>
        <v>81.88187416791996</v>
      </c>
      <c r="AU28" s="172">
        <f t="shared" si="37"/>
        <v>106.50665424554022</v>
      </c>
      <c r="AV28" s="172">
        <f t="shared" si="38"/>
        <v>19.075914335447809</v>
      </c>
      <c r="AW28" s="172">
        <f t="shared" si="39"/>
        <v>-18.266446077768883</v>
      </c>
      <c r="AX28" s="172">
        <f t="shared" si="40"/>
        <v>26.799899950961422</v>
      </c>
      <c r="AY28" s="172">
        <f t="shared" si="41"/>
        <v>-38.08053469099454</v>
      </c>
      <c r="AZ28" s="172">
        <f t="shared" si="42"/>
        <v>-14.065766456290204</v>
      </c>
      <c r="BA28" s="172">
        <f t="shared" si="43"/>
        <v>48.394804060582999</v>
      </c>
      <c r="BB28" s="172">
        <f t="shared" si="44"/>
        <v>7.2741368980974563</v>
      </c>
      <c r="BC28" s="172">
        <f t="shared" si="45"/>
        <v>11.301532815988457</v>
      </c>
      <c r="BD28" s="172">
        <f t="shared" si="46"/>
        <v>50.463179187793592</v>
      </c>
      <c r="BE28" s="172">
        <f t="shared" si="47"/>
        <v>-44.195353923074414</v>
      </c>
      <c r="BF28" s="172">
        <f t="shared" si="48"/>
        <v>-70.061361768382341</v>
      </c>
      <c r="BG28" s="173">
        <f t="shared" si="49"/>
        <v>8.931008380196884</v>
      </c>
      <c r="BH28" s="184"/>
      <c r="BI28" s="165"/>
      <c r="BJ28" s="165"/>
      <c r="BK28" s="166"/>
      <c r="BL28" s="166"/>
      <c r="BM28" s="166"/>
      <c r="BN28" s="166"/>
    </row>
    <row r="29" spans="3:69" ht="14">
      <c r="C29" s="171" t="str">
        <f>IF(Indice_index!$Z$1=1,"Transferências de capital","Capital transfers")</f>
        <v>Capital transfers</v>
      </c>
      <c r="D29" s="252">
        <f t="shared" ref="D29:T29" si="50">+D30+D35</f>
        <v>0.39989888000000001</v>
      </c>
      <c r="E29" s="252">
        <f t="shared" si="50"/>
        <v>0</v>
      </c>
      <c r="F29" s="252">
        <f t="shared" si="50"/>
        <v>4.6958630000000001</v>
      </c>
      <c r="G29" s="252">
        <f t="shared" si="50"/>
        <v>133.18315516999999</v>
      </c>
      <c r="H29" s="252">
        <f t="shared" si="50"/>
        <v>0</v>
      </c>
      <c r="I29" s="252">
        <f t="shared" si="50"/>
        <v>0.19609799999999999</v>
      </c>
      <c r="J29" s="252">
        <f t="shared" si="50"/>
        <v>8.4765308499999996</v>
      </c>
      <c r="K29" s="252">
        <f>+K30+K35</f>
        <v>0.52775000000000005</v>
      </c>
      <c r="L29" s="252">
        <f>+L30+L35</f>
        <v>177.42760365999999</v>
      </c>
      <c r="M29" s="252">
        <f>+M30+M35</f>
        <v>0.36846667000000005</v>
      </c>
      <c r="N29" s="252">
        <f>+N30+N35</f>
        <v>8.0172259700000001</v>
      </c>
      <c r="O29" s="252">
        <f t="shared" si="50"/>
        <v>4.1498590200000001</v>
      </c>
      <c r="P29" s="252">
        <f t="shared" si="50"/>
        <v>0.12223233999999999</v>
      </c>
      <c r="Q29" s="252">
        <f t="shared" si="50"/>
        <v>48.984855200000005</v>
      </c>
      <c r="R29" s="252">
        <f t="shared" si="50"/>
        <v>1.92749346</v>
      </c>
      <c r="S29" s="252">
        <f t="shared" si="50"/>
        <v>150.62497905000001</v>
      </c>
      <c r="T29" s="252">
        <f t="shared" si="50"/>
        <v>2.5159000000000001E-2</v>
      </c>
      <c r="U29" s="242">
        <f>+U30+U35</f>
        <v>539.12717026999997</v>
      </c>
      <c r="V29" s="163"/>
      <c r="W29" s="252">
        <f t="shared" ref="W29:AM29" si="51">+W30+W35</f>
        <v>0.18420875</v>
      </c>
      <c r="X29" s="252">
        <f t="shared" si="51"/>
        <v>0</v>
      </c>
      <c r="Y29" s="252">
        <f t="shared" si="51"/>
        <v>3.6391689999999999</v>
      </c>
      <c r="Z29" s="252">
        <f t="shared" si="51"/>
        <v>129.86364958999999</v>
      </c>
      <c r="AA29" s="252">
        <f t="shared" si="51"/>
        <v>0</v>
      </c>
      <c r="AB29" s="252">
        <f t="shared" si="51"/>
        <v>0.161</v>
      </c>
      <c r="AC29" s="252">
        <f t="shared" si="51"/>
        <v>5.9215702199999996</v>
      </c>
      <c r="AD29" s="252">
        <f t="shared" si="51"/>
        <v>0.50139999999999996</v>
      </c>
      <c r="AE29" s="252">
        <f t="shared" si="51"/>
        <v>159.79577328000002</v>
      </c>
      <c r="AF29" s="252">
        <f t="shared" si="51"/>
        <v>0.20999988</v>
      </c>
      <c r="AG29" s="252">
        <f t="shared" si="51"/>
        <v>2.3842052800000002</v>
      </c>
      <c r="AH29" s="252">
        <f t="shared" si="51"/>
        <v>3.8769142200000002</v>
      </c>
      <c r="AI29" s="252">
        <f t="shared" si="51"/>
        <v>1.029995E-2</v>
      </c>
      <c r="AJ29" s="252">
        <f t="shared" si="51"/>
        <v>52.191142740000011</v>
      </c>
      <c r="AK29" s="252">
        <f t="shared" si="51"/>
        <v>5.7450669899999989</v>
      </c>
      <c r="AL29" s="252">
        <f t="shared" si="51"/>
        <v>171.01772633000004</v>
      </c>
      <c r="AM29" s="252">
        <f t="shared" si="51"/>
        <v>0</v>
      </c>
      <c r="AN29" s="242">
        <f>+AN30+AN35</f>
        <v>535.50212623000004</v>
      </c>
      <c r="AO29" s="163"/>
      <c r="AP29" s="172">
        <f t="shared" si="32"/>
        <v>117.09005679697626</v>
      </c>
      <c r="AQ29" s="172" t="str">
        <f t="shared" si="33"/>
        <v>-</v>
      </c>
      <c r="AR29" s="172">
        <f t="shared" si="34"/>
        <v>29.036683924269528</v>
      </c>
      <c r="AS29" s="172">
        <f t="shared" si="35"/>
        <v>2.5561468436165162</v>
      </c>
      <c r="AT29" s="172" t="str">
        <f t="shared" si="36"/>
        <v>-</v>
      </c>
      <c r="AU29" s="172">
        <f t="shared" si="37"/>
        <v>21.799999999999994</v>
      </c>
      <c r="AV29" s="172">
        <f t="shared" si="38"/>
        <v>43.1466745318778</v>
      </c>
      <c r="AW29" s="172">
        <f t="shared" si="39"/>
        <v>5.2552852014359992</v>
      </c>
      <c r="AX29" s="172">
        <f t="shared" si="40"/>
        <v>11.033977944525997</v>
      </c>
      <c r="AY29" s="172">
        <f t="shared" si="41"/>
        <v>75.460419310715821</v>
      </c>
      <c r="AZ29" s="172" t="str">
        <f t="shared" si="42"/>
        <v>-</v>
      </c>
      <c r="BA29" s="172">
        <f t="shared" si="43"/>
        <v>7.0402589407820297</v>
      </c>
      <c r="BB29" s="172" t="str">
        <f t="shared" si="44"/>
        <v>-</v>
      </c>
      <c r="BC29" s="172">
        <f t="shared" si="45"/>
        <v>-6.1433556953767603</v>
      </c>
      <c r="BD29" s="172">
        <f t="shared" si="46"/>
        <v>-66.449591217038176</v>
      </c>
      <c r="BE29" s="172">
        <f t="shared" si="47"/>
        <v>-11.924347094084087</v>
      </c>
      <c r="BF29" s="172" t="str">
        <f t="shared" si="48"/>
        <v>-</v>
      </c>
      <c r="BG29" s="173">
        <f t="shared" si="49"/>
        <v>0.67694297789640356</v>
      </c>
      <c r="BH29" s="184"/>
      <c r="BI29" s="165"/>
      <c r="BJ29" s="165"/>
      <c r="BK29" s="166"/>
      <c r="BL29" s="166"/>
      <c r="BM29" s="166"/>
      <c r="BN29" s="166"/>
    </row>
    <row r="30" spans="3:69" ht="14">
      <c r="C30" s="174" t="str">
        <f>IF(Indice_index!$Z$1=1,"Administrações Públicas","General Government")</f>
        <v>General Government</v>
      </c>
      <c r="D30" s="252">
        <f t="shared" ref="D30:T30" si="52">SUM(D31:D34)</f>
        <v>0.39589400000000002</v>
      </c>
      <c r="E30" s="252">
        <f t="shared" si="52"/>
        <v>0</v>
      </c>
      <c r="F30" s="252">
        <f t="shared" si="52"/>
        <v>4.6958630000000001</v>
      </c>
      <c r="G30" s="252">
        <f t="shared" si="52"/>
        <v>0</v>
      </c>
      <c r="H30" s="252">
        <f t="shared" si="52"/>
        <v>0</v>
      </c>
      <c r="I30" s="252">
        <f t="shared" si="52"/>
        <v>1.9210000000000001E-2</v>
      </c>
      <c r="J30" s="252">
        <f t="shared" si="52"/>
        <v>8.4765308499999996</v>
      </c>
      <c r="K30" s="252">
        <f>SUM(K31:K34)</f>
        <v>0</v>
      </c>
      <c r="L30" s="252">
        <f>SUM(L31:L34)</f>
        <v>54.914171279999991</v>
      </c>
      <c r="M30" s="252">
        <f>SUM(M31:M34)</f>
        <v>0</v>
      </c>
      <c r="N30" s="252">
        <f>SUM(N31:N34)</f>
        <v>2.6682259700000004</v>
      </c>
      <c r="O30" s="252">
        <f t="shared" si="52"/>
        <v>1.694283</v>
      </c>
      <c r="P30" s="252">
        <f t="shared" si="52"/>
        <v>0.12223233999999999</v>
      </c>
      <c r="Q30" s="252">
        <f t="shared" si="52"/>
        <v>12.460971899999999</v>
      </c>
      <c r="R30" s="252">
        <f t="shared" si="52"/>
        <v>0.26258476000000003</v>
      </c>
      <c r="S30" s="252">
        <f t="shared" si="52"/>
        <v>2.31096696</v>
      </c>
      <c r="T30" s="252">
        <f t="shared" si="52"/>
        <v>0</v>
      </c>
      <c r="U30" s="242">
        <f>SUM(U31:U34)</f>
        <v>88.020934060000002</v>
      </c>
      <c r="V30" s="163"/>
      <c r="W30" s="252">
        <f t="shared" ref="W30:AM30" si="53">SUM(W31:W34)</f>
        <v>0.18420875</v>
      </c>
      <c r="X30" s="252">
        <f t="shared" si="53"/>
        <v>0</v>
      </c>
      <c r="Y30" s="252">
        <f t="shared" si="53"/>
        <v>3.6391689999999999</v>
      </c>
      <c r="Z30" s="252">
        <f t="shared" si="53"/>
        <v>3.4416349999999998E-2</v>
      </c>
      <c r="AA30" s="252">
        <f t="shared" si="53"/>
        <v>0</v>
      </c>
      <c r="AB30" s="252">
        <f t="shared" si="53"/>
        <v>0</v>
      </c>
      <c r="AC30" s="252">
        <f t="shared" si="53"/>
        <v>5.9215702199999996</v>
      </c>
      <c r="AD30" s="252">
        <f t="shared" si="53"/>
        <v>0</v>
      </c>
      <c r="AE30" s="252">
        <f t="shared" si="53"/>
        <v>68.521932180000022</v>
      </c>
      <c r="AF30" s="252">
        <f t="shared" si="53"/>
        <v>0</v>
      </c>
      <c r="AG30" s="252">
        <f t="shared" si="53"/>
        <v>2.3707052800000001</v>
      </c>
      <c r="AH30" s="252">
        <f t="shared" si="53"/>
        <v>1.9114532200000003</v>
      </c>
      <c r="AI30" s="252">
        <f t="shared" si="53"/>
        <v>0.01</v>
      </c>
      <c r="AJ30" s="252">
        <f t="shared" si="53"/>
        <v>31.984875280000004</v>
      </c>
      <c r="AK30" s="252">
        <f t="shared" si="53"/>
        <v>0.60219822000000001</v>
      </c>
      <c r="AL30" s="252">
        <f t="shared" si="53"/>
        <v>1.09823793</v>
      </c>
      <c r="AM30" s="252">
        <f t="shared" si="53"/>
        <v>0</v>
      </c>
      <c r="AN30" s="242">
        <f>SUM(AN31:AN34)</f>
        <v>116.27876643000002</v>
      </c>
      <c r="AO30" s="163"/>
      <c r="AP30" s="172">
        <f t="shared" si="32"/>
        <v>114.91595811816757</v>
      </c>
      <c r="AQ30" s="172" t="str">
        <f t="shared" si="33"/>
        <v>-</v>
      </c>
      <c r="AR30" s="172">
        <f t="shared" si="34"/>
        <v>29.036683924269528</v>
      </c>
      <c r="AS30" s="172">
        <f t="shared" si="35"/>
        <v>-100</v>
      </c>
      <c r="AT30" s="172" t="str">
        <f t="shared" si="36"/>
        <v>-</v>
      </c>
      <c r="AU30" s="172" t="str">
        <f t="shared" si="37"/>
        <v>-</v>
      </c>
      <c r="AV30" s="172">
        <f t="shared" si="38"/>
        <v>43.1466745318778</v>
      </c>
      <c r="AW30" s="172" t="str">
        <f t="shared" si="39"/>
        <v>-</v>
      </c>
      <c r="AX30" s="172">
        <f t="shared" si="40"/>
        <v>-19.858985972920102</v>
      </c>
      <c r="AY30" s="172" t="str">
        <f t="shared" si="41"/>
        <v>-</v>
      </c>
      <c r="AZ30" s="172">
        <f t="shared" si="42"/>
        <v>12.549880936697463</v>
      </c>
      <c r="BA30" s="172">
        <f t="shared" si="43"/>
        <v>-11.361524191525874</v>
      </c>
      <c r="BB30" s="172" t="str">
        <f t="shared" si="44"/>
        <v>-</v>
      </c>
      <c r="BC30" s="172">
        <f t="shared" si="45"/>
        <v>-61.041048961689135</v>
      </c>
      <c r="BD30" s="172">
        <f t="shared" si="46"/>
        <v>-56.395626675880905</v>
      </c>
      <c r="BE30" s="172">
        <f t="shared" si="47"/>
        <v>110.42498140635153</v>
      </c>
      <c r="BF30" s="172" t="str">
        <f t="shared" si="48"/>
        <v>-</v>
      </c>
      <c r="BG30" s="173">
        <f t="shared" si="49"/>
        <v>-24.301799234352277</v>
      </c>
      <c r="BH30" s="184"/>
      <c r="BI30" s="165"/>
      <c r="BJ30" s="165"/>
      <c r="BK30" s="166"/>
      <c r="BL30" s="166"/>
      <c r="BM30" s="166"/>
      <c r="BN30" s="166"/>
    </row>
    <row r="31" spans="3:69" ht="14">
      <c r="C31" s="178" t="str">
        <f>IF(Indice_index!$Z$1=1,"Administração Central","Central Government")</f>
        <v>Central Government</v>
      </c>
      <c r="D31" s="251">
        <v>0.39589400000000002</v>
      </c>
      <c r="E31" s="251">
        <v>0</v>
      </c>
      <c r="F31" s="251">
        <v>4.6958630000000001</v>
      </c>
      <c r="G31" s="251">
        <v>0</v>
      </c>
      <c r="H31" s="251">
        <v>0</v>
      </c>
      <c r="I31" s="251">
        <v>0</v>
      </c>
      <c r="J31" s="251">
        <v>8.4765308499999996</v>
      </c>
      <c r="K31" s="251">
        <v>0</v>
      </c>
      <c r="L31" s="251">
        <v>54.914171279999991</v>
      </c>
      <c r="M31" s="251">
        <v>0</v>
      </c>
      <c r="N31" s="251">
        <v>2.6682259700000004</v>
      </c>
      <c r="O31" s="251">
        <v>0</v>
      </c>
      <c r="P31" s="251">
        <v>2.4097470000000003E-2</v>
      </c>
      <c r="Q31" s="251">
        <v>0.98392550000000001</v>
      </c>
      <c r="R31" s="251">
        <v>0</v>
      </c>
      <c r="S31" s="251">
        <v>1.6467938100000001</v>
      </c>
      <c r="T31" s="251">
        <v>0</v>
      </c>
      <c r="U31" s="242">
        <f t="shared" si="28"/>
        <v>73.805501879999994</v>
      </c>
      <c r="V31" s="163"/>
      <c r="W31" s="251">
        <v>0.18420875</v>
      </c>
      <c r="X31" s="251">
        <v>0</v>
      </c>
      <c r="Y31" s="251">
        <v>3.6391689999999999</v>
      </c>
      <c r="Z31" s="251">
        <v>3.4416349999999998E-2</v>
      </c>
      <c r="AA31" s="251">
        <v>0</v>
      </c>
      <c r="AB31" s="251">
        <v>0</v>
      </c>
      <c r="AC31" s="251">
        <v>5.9215702199999996</v>
      </c>
      <c r="AD31" s="251">
        <v>0</v>
      </c>
      <c r="AE31" s="251">
        <v>68.521932180000022</v>
      </c>
      <c r="AF31" s="251">
        <v>0</v>
      </c>
      <c r="AG31" s="251">
        <v>2.3707052800000001</v>
      </c>
      <c r="AH31" s="251">
        <v>1.0780000000000001</v>
      </c>
      <c r="AI31" s="251">
        <v>0.01</v>
      </c>
      <c r="AJ31" s="251">
        <v>24.290767030000001</v>
      </c>
      <c r="AK31" s="251">
        <v>0.17091851999999999</v>
      </c>
      <c r="AL31" s="251">
        <v>0.78073026000000001</v>
      </c>
      <c r="AM31" s="251">
        <v>0</v>
      </c>
      <c r="AN31" s="242">
        <f t="shared" ref="AN31:AN37" si="54">SUM(W31:AM31)</f>
        <v>107.00241759000002</v>
      </c>
      <c r="AO31" s="163"/>
      <c r="AP31" s="172">
        <f t="shared" si="32"/>
        <v>114.91595811816757</v>
      </c>
      <c r="AQ31" s="172" t="str">
        <f t="shared" si="33"/>
        <v>-</v>
      </c>
      <c r="AR31" s="172">
        <f t="shared" si="34"/>
        <v>29.036683924269528</v>
      </c>
      <c r="AS31" s="172">
        <f t="shared" si="35"/>
        <v>-100</v>
      </c>
      <c r="AT31" s="172" t="str">
        <f t="shared" si="36"/>
        <v>-</v>
      </c>
      <c r="AU31" s="172" t="str">
        <f t="shared" si="37"/>
        <v>-</v>
      </c>
      <c r="AV31" s="172">
        <f t="shared" si="38"/>
        <v>43.1466745318778</v>
      </c>
      <c r="AW31" s="172" t="str">
        <f t="shared" si="39"/>
        <v>-</v>
      </c>
      <c r="AX31" s="172">
        <f t="shared" si="40"/>
        <v>-19.858985972920102</v>
      </c>
      <c r="AY31" s="172" t="str">
        <f t="shared" si="41"/>
        <v>-</v>
      </c>
      <c r="AZ31" s="172">
        <f t="shared" si="42"/>
        <v>12.549880936697463</v>
      </c>
      <c r="BA31" s="172">
        <f t="shared" si="43"/>
        <v>-100</v>
      </c>
      <c r="BB31" s="172">
        <f t="shared" si="44"/>
        <v>140.97470000000004</v>
      </c>
      <c r="BC31" s="172">
        <f t="shared" si="45"/>
        <v>-95.949384806231862</v>
      </c>
      <c r="BD31" s="172">
        <f t="shared" si="46"/>
        <v>-100</v>
      </c>
      <c r="BE31" s="172">
        <f t="shared" si="47"/>
        <v>110.92993244555424</v>
      </c>
      <c r="BF31" s="172" t="str">
        <f t="shared" si="48"/>
        <v>-</v>
      </c>
      <c r="BG31" s="173">
        <f t="shared" si="49"/>
        <v>-31.024453893369291</v>
      </c>
      <c r="BH31" s="184"/>
      <c r="BI31" s="165"/>
      <c r="BJ31" s="165"/>
      <c r="BK31" s="166"/>
      <c r="BL31" s="166"/>
      <c r="BM31" s="166"/>
      <c r="BN31" s="166"/>
    </row>
    <row r="32" spans="3:69" ht="14">
      <c r="C32" s="178" t="str">
        <f>IF(Indice_index!$Z$1=1,"Administração Regional","Regional Government")</f>
        <v>Regional Government</v>
      </c>
      <c r="D32" s="251">
        <v>0</v>
      </c>
      <c r="E32" s="251">
        <v>0</v>
      </c>
      <c r="F32" s="251">
        <v>0</v>
      </c>
      <c r="G32" s="251">
        <v>0</v>
      </c>
      <c r="H32" s="251">
        <v>0</v>
      </c>
      <c r="I32" s="251">
        <v>0</v>
      </c>
      <c r="J32" s="251">
        <v>0</v>
      </c>
      <c r="K32" s="251">
        <v>0</v>
      </c>
      <c r="L32" s="251">
        <v>0</v>
      </c>
      <c r="M32" s="251">
        <v>0</v>
      </c>
      <c r="N32" s="251">
        <v>0</v>
      </c>
      <c r="O32" s="251">
        <v>0</v>
      </c>
      <c r="P32" s="251">
        <v>0</v>
      </c>
      <c r="Q32" s="251">
        <v>0</v>
      </c>
      <c r="R32" s="251">
        <v>0</v>
      </c>
      <c r="S32" s="251">
        <v>8.2312600000000007E-3</v>
      </c>
      <c r="T32" s="251">
        <v>0</v>
      </c>
      <c r="U32" s="242">
        <f t="shared" si="28"/>
        <v>8.2312600000000007E-3</v>
      </c>
      <c r="V32" s="163"/>
      <c r="W32" s="251">
        <v>0</v>
      </c>
      <c r="X32" s="251">
        <v>0</v>
      </c>
      <c r="Y32" s="251">
        <v>0</v>
      </c>
      <c r="Z32" s="251">
        <v>0</v>
      </c>
      <c r="AA32" s="251">
        <v>0</v>
      </c>
      <c r="AB32" s="251">
        <v>0</v>
      </c>
      <c r="AC32" s="251">
        <v>0</v>
      </c>
      <c r="AD32" s="251">
        <v>0</v>
      </c>
      <c r="AE32" s="251">
        <v>0</v>
      </c>
      <c r="AF32" s="251">
        <v>0</v>
      </c>
      <c r="AG32" s="251">
        <v>0</v>
      </c>
      <c r="AH32" s="251">
        <v>0</v>
      </c>
      <c r="AI32" s="251">
        <v>0</v>
      </c>
      <c r="AJ32" s="251">
        <v>0.44901584</v>
      </c>
      <c r="AK32" s="251">
        <v>0</v>
      </c>
      <c r="AL32" s="251">
        <v>0</v>
      </c>
      <c r="AM32" s="251">
        <v>0</v>
      </c>
      <c r="AN32" s="242">
        <f t="shared" si="54"/>
        <v>0.44901584</v>
      </c>
      <c r="AO32" s="163"/>
      <c r="AP32" s="172" t="str">
        <f t="shared" si="32"/>
        <v>-</v>
      </c>
      <c r="AQ32" s="172" t="str">
        <f t="shared" si="33"/>
        <v>-</v>
      </c>
      <c r="AR32" s="172" t="str">
        <f t="shared" si="34"/>
        <v>-</v>
      </c>
      <c r="AS32" s="172" t="str">
        <f t="shared" si="35"/>
        <v>-</v>
      </c>
      <c r="AT32" s="172" t="str">
        <f t="shared" si="36"/>
        <v>-</v>
      </c>
      <c r="AU32" s="172" t="str">
        <f t="shared" si="37"/>
        <v>-</v>
      </c>
      <c r="AV32" s="172" t="str">
        <f t="shared" si="38"/>
        <v>-</v>
      </c>
      <c r="AW32" s="172" t="str">
        <f t="shared" si="39"/>
        <v>-</v>
      </c>
      <c r="AX32" s="172" t="str">
        <f t="shared" si="40"/>
        <v>-</v>
      </c>
      <c r="AY32" s="172" t="str">
        <f t="shared" si="41"/>
        <v>-</v>
      </c>
      <c r="AZ32" s="172" t="str">
        <f t="shared" si="42"/>
        <v>-</v>
      </c>
      <c r="BA32" s="172" t="str">
        <f t="shared" si="43"/>
        <v>-</v>
      </c>
      <c r="BB32" s="172" t="str">
        <f t="shared" si="44"/>
        <v>-</v>
      </c>
      <c r="BC32" s="172">
        <f t="shared" si="45"/>
        <v>-100</v>
      </c>
      <c r="BD32" s="172" t="str">
        <f t="shared" si="46"/>
        <v>-</v>
      </c>
      <c r="BE32" s="172" t="str">
        <f t="shared" si="47"/>
        <v>-</v>
      </c>
      <c r="BF32" s="172" t="str">
        <f t="shared" si="48"/>
        <v>-</v>
      </c>
      <c r="BG32" s="173">
        <f t="shared" si="49"/>
        <v>-98.166821909890743</v>
      </c>
      <c r="BH32" s="184"/>
      <c r="BI32" s="165"/>
      <c r="BJ32" s="165"/>
      <c r="BK32" s="166"/>
      <c r="BL32" s="166"/>
      <c r="BM32" s="166"/>
      <c r="BN32" s="166"/>
    </row>
    <row r="33" spans="3:199" ht="14">
      <c r="C33" s="178" t="str">
        <f>IF(Indice_index!$Z$1=1,"Administração Local","Local Government")</f>
        <v>Local Government</v>
      </c>
      <c r="D33" s="251">
        <v>0</v>
      </c>
      <c r="E33" s="251">
        <v>0</v>
      </c>
      <c r="F33" s="251">
        <v>0</v>
      </c>
      <c r="G33" s="251">
        <v>0</v>
      </c>
      <c r="H33" s="251">
        <v>0</v>
      </c>
      <c r="I33" s="251">
        <v>1.9210000000000001E-2</v>
      </c>
      <c r="J33" s="251">
        <v>0</v>
      </c>
      <c r="K33" s="251">
        <v>0</v>
      </c>
      <c r="L33" s="251">
        <v>0</v>
      </c>
      <c r="M33" s="251">
        <v>0</v>
      </c>
      <c r="N33" s="251">
        <v>0</v>
      </c>
      <c r="O33" s="251">
        <v>1.694283</v>
      </c>
      <c r="P33" s="251">
        <v>9.8134869999999999E-2</v>
      </c>
      <c r="Q33" s="251">
        <v>11.477046399999999</v>
      </c>
      <c r="R33" s="251">
        <v>0.26258476000000003</v>
      </c>
      <c r="S33" s="251">
        <v>0.65594189000000003</v>
      </c>
      <c r="T33" s="251">
        <v>0</v>
      </c>
      <c r="U33" s="242">
        <f t="shared" si="28"/>
        <v>14.207200919999998</v>
      </c>
      <c r="V33" s="163"/>
      <c r="W33" s="251">
        <v>0</v>
      </c>
      <c r="X33" s="251">
        <v>0</v>
      </c>
      <c r="Y33" s="251">
        <v>0</v>
      </c>
      <c r="Z33" s="251">
        <v>0</v>
      </c>
      <c r="AA33" s="251">
        <v>0</v>
      </c>
      <c r="AB33" s="251">
        <v>0</v>
      </c>
      <c r="AC33" s="251">
        <v>0</v>
      </c>
      <c r="AD33" s="251">
        <v>0</v>
      </c>
      <c r="AE33" s="251">
        <v>0</v>
      </c>
      <c r="AF33" s="251">
        <v>0</v>
      </c>
      <c r="AG33" s="251">
        <v>0</v>
      </c>
      <c r="AH33" s="251">
        <v>0.83345322000000011</v>
      </c>
      <c r="AI33" s="251">
        <v>0</v>
      </c>
      <c r="AJ33" s="251">
        <v>7.2450924099999998</v>
      </c>
      <c r="AK33" s="251">
        <v>0.43127969999999999</v>
      </c>
      <c r="AL33" s="251">
        <v>0.31750766999999996</v>
      </c>
      <c r="AM33" s="251">
        <v>0</v>
      </c>
      <c r="AN33" s="242">
        <f t="shared" si="54"/>
        <v>8.8273329999999994</v>
      </c>
      <c r="AO33" s="163"/>
      <c r="AP33" s="172" t="str">
        <f t="shared" si="32"/>
        <v>-</v>
      </c>
      <c r="AQ33" s="172" t="str">
        <f t="shared" si="33"/>
        <v>-</v>
      </c>
      <c r="AR33" s="172" t="str">
        <f t="shared" si="34"/>
        <v>-</v>
      </c>
      <c r="AS33" s="172" t="str">
        <f t="shared" si="35"/>
        <v>-</v>
      </c>
      <c r="AT33" s="172" t="str">
        <f t="shared" si="36"/>
        <v>-</v>
      </c>
      <c r="AU33" s="172" t="str">
        <f t="shared" si="37"/>
        <v>-</v>
      </c>
      <c r="AV33" s="172" t="str">
        <f t="shared" si="38"/>
        <v>-</v>
      </c>
      <c r="AW33" s="172" t="str">
        <f t="shared" si="39"/>
        <v>-</v>
      </c>
      <c r="AX33" s="172" t="str">
        <f t="shared" si="40"/>
        <v>-</v>
      </c>
      <c r="AY33" s="172" t="str">
        <f t="shared" si="41"/>
        <v>-</v>
      </c>
      <c r="AZ33" s="172" t="str">
        <f t="shared" si="42"/>
        <v>-</v>
      </c>
      <c r="BA33" s="172">
        <f t="shared" si="43"/>
        <v>103.28471464781188</v>
      </c>
      <c r="BB33" s="172" t="str">
        <f t="shared" si="44"/>
        <v>-</v>
      </c>
      <c r="BC33" s="172">
        <f t="shared" si="45"/>
        <v>58.41131831747056</v>
      </c>
      <c r="BD33" s="172">
        <f t="shared" si="46"/>
        <v>-39.114973415164215</v>
      </c>
      <c r="BE33" s="172">
        <f t="shared" si="47"/>
        <v>106.59088015102127</v>
      </c>
      <c r="BF33" s="172" t="str">
        <f t="shared" si="48"/>
        <v>-</v>
      </c>
      <c r="BG33" s="173">
        <f t="shared" si="49"/>
        <v>60.945564419060652</v>
      </c>
      <c r="BH33" s="184"/>
      <c r="BI33" s="165"/>
      <c r="BJ33" s="165"/>
      <c r="BK33" s="166"/>
      <c r="BL33" s="166"/>
      <c r="BM33" s="166"/>
      <c r="BN33" s="166"/>
    </row>
    <row r="34" spans="3:199" ht="14">
      <c r="C34" s="178" t="str">
        <f>IF(Indice_index!$Z$1=1,"Segurança Social","Social Security")</f>
        <v>Social Security</v>
      </c>
      <c r="D34" s="251">
        <v>0</v>
      </c>
      <c r="E34" s="251">
        <v>0</v>
      </c>
      <c r="F34" s="251">
        <v>0</v>
      </c>
      <c r="G34" s="251">
        <v>0</v>
      </c>
      <c r="H34" s="251">
        <v>0</v>
      </c>
      <c r="I34" s="251">
        <v>0</v>
      </c>
      <c r="J34" s="251">
        <v>0</v>
      </c>
      <c r="K34" s="251">
        <v>0</v>
      </c>
      <c r="L34" s="251">
        <v>0</v>
      </c>
      <c r="M34" s="251">
        <v>0</v>
      </c>
      <c r="N34" s="251">
        <v>0</v>
      </c>
      <c r="O34" s="251">
        <v>0</v>
      </c>
      <c r="P34" s="251">
        <v>0</v>
      </c>
      <c r="Q34" s="251">
        <v>0</v>
      </c>
      <c r="R34" s="251">
        <v>0</v>
      </c>
      <c r="S34" s="251">
        <v>0</v>
      </c>
      <c r="T34" s="251">
        <v>0</v>
      </c>
      <c r="U34" s="242">
        <f t="shared" si="28"/>
        <v>0</v>
      </c>
      <c r="V34" s="163"/>
      <c r="W34" s="251">
        <v>0</v>
      </c>
      <c r="X34" s="251">
        <v>0</v>
      </c>
      <c r="Y34" s="251">
        <v>0</v>
      </c>
      <c r="Z34" s="251">
        <v>0</v>
      </c>
      <c r="AA34" s="251">
        <v>0</v>
      </c>
      <c r="AB34" s="251">
        <v>0</v>
      </c>
      <c r="AC34" s="251">
        <v>0</v>
      </c>
      <c r="AD34" s="251">
        <v>0</v>
      </c>
      <c r="AE34" s="251">
        <v>0</v>
      </c>
      <c r="AF34" s="251">
        <v>0</v>
      </c>
      <c r="AG34" s="251">
        <v>0</v>
      </c>
      <c r="AH34" s="251">
        <v>0</v>
      </c>
      <c r="AI34" s="251">
        <v>0</v>
      </c>
      <c r="AJ34" s="251">
        <v>0</v>
      </c>
      <c r="AK34" s="251">
        <v>0</v>
      </c>
      <c r="AL34" s="251">
        <v>0</v>
      </c>
      <c r="AM34" s="251">
        <v>0</v>
      </c>
      <c r="AN34" s="242">
        <f t="shared" si="54"/>
        <v>0</v>
      </c>
      <c r="AO34" s="163"/>
      <c r="AP34" s="172" t="str">
        <f t="shared" si="32"/>
        <v>-</v>
      </c>
      <c r="AQ34" s="172" t="str">
        <f t="shared" si="33"/>
        <v>-</v>
      </c>
      <c r="AR34" s="172" t="str">
        <f t="shared" si="34"/>
        <v>-</v>
      </c>
      <c r="AS34" s="172" t="str">
        <f t="shared" si="35"/>
        <v>-</v>
      </c>
      <c r="AT34" s="172" t="str">
        <f t="shared" si="36"/>
        <v>-</v>
      </c>
      <c r="AU34" s="172" t="str">
        <f t="shared" si="37"/>
        <v>-</v>
      </c>
      <c r="AV34" s="172" t="str">
        <f t="shared" si="38"/>
        <v>-</v>
      </c>
      <c r="AW34" s="172" t="str">
        <f t="shared" si="39"/>
        <v>-</v>
      </c>
      <c r="AX34" s="172" t="str">
        <f t="shared" si="40"/>
        <v>-</v>
      </c>
      <c r="AY34" s="172" t="str">
        <f t="shared" si="41"/>
        <v>-</v>
      </c>
      <c r="AZ34" s="172" t="str">
        <f t="shared" si="42"/>
        <v>-</v>
      </c>
      <c r="BA34" s="172" t="str">
        <f t="shared" si="43"/>
        <v>-</v>
      </c>
      <c r="BB34" s="172" t="str">
        <f t="shared" si="44"/>
        <v>-</v>
      </c>
      <c r="BC34" s="172" t="str">
        <f t="shared" si="45"/>
        <v>-</v>
      </c>
      <c r="BD34" s="172" t="str">
        <f t="shared" si="46"/>
        <v>-</v>
      </c>
      <c r="BE34" s="172" t="str">
        <f t="shared" si="47"/>
        <v>-</v>
      </c>
      <c r="BF34" s="172" t="str">
        <f t="shared" si="48"/>
        <v>-</v>
      </c>
      <c r="BG34" s="173" t="str">
        <f t="shared" si="49"/>
        <v>-</v>
      </c>
      <c r="BH34" s="184"/>
      <c r="BI34" s="165"/>
      <c r="BJ34" s="165"/>
      <c r="BK34" s="166"/>
      <c r="BL34" s="166"/>
      <c r="BM34" s="166"/>
      <c r="BN34" s="166"/>
    </row>
    <row r="35" spans="3:199" ht="14">
      <c r="C35" s="185" t="str">
        <f>IF(Indice_index!$Z$1=1,"Outras transferências de capital","Other capital transfers")</f>
        <v>Other capital transfers</v>
      </c>
      <c r="D35" s="251">
        <v>4.0048799999999884E-3</v>
      </c>
      <c r="E35" s="251">
        <v>0</v>
      </c>
      <c r="F35" s="251">
        <v>0</v>
      </c>
      <c r="G35" s="251">
        <v>133.18315516999999</v>
      </c>
      <c r="H35" s="251">
        <v>0</v>
      </c>
      <c r="I35" s="251">
        <v>0.17688799999999999</v>
      </c>
      <c r="J35" s="251">
        <v>0</v>
      </c>
      <c r="K35" s="251">
        <v>0.52775000000000005</v>
      </c>
      <c r="L35" s="251">
        <v>122.51343238</v>
      </c>
      <c r="M35" s="251">
        <v>0.36846667000000005</v>
      </c>
      <c r="N35" s="251">
        <v>5.3490000000000002</v>
      </c>
      <c r="O35" s="251">
        <v>2.4555760200000001</v>
      </c>
      <c r="P35" s="251">
        <v>0</v>
      </c>
      <c r="Q35" s="251">
        <v>36.523883300000008</v>
      </c>
      <c r="R35" s="251">
        <v>1.6649087</v>
      </c>
      <c r="S35" s="251">
        <v>148.31401209000001</v>
      </c>
      <c r="T35" s="251">
        <v>2.5159000000000001E-2</v>
      </c>
      <c r="U35" s="242">
        <f t="shared" si="28"/>
        <v>451.10623620999996</v>
      </c>
      <c r="V35" s="163"/>
      <c r="W35" s="251">
        <v>0</v>
      </c>
      <c r="X35" s="251">
        <v>0</v>
      </c>
      <c r="Y35" s="251">
        <v>0</v>
      </c>
      <c r="Z35" s="251">
        <v>129.82923324000001</v>
      </c>
      <c r="AA35" s="251">
        <v>0</v>
      </c>
      <c r="AB35" s="251">
        <v>0.161</v>
      </c>
      <c r="AC35" s="251">
        <v>0</v>
      </c>
      <c r="AD35" s="251">
        <v>0.50139999999999996</v>
      </c>
      <c r="AE35" s="251">
        <v>91.273841099999999</v>
      </c>
      <c r="AF35" s="251">
        <v>0.20999988</v>
      </c>
      <c r="AG35" s="251">
        <v>1.3500000000000068E-2</v>
      </c>
      <c r="AH35" s="251">
        <v>1.9654609999999999</v>
      </c>
      <c r="AI35" s="251">
        <v>2.9995000000000022E-4</v>
      </c>
      <c r="AJ35" s="251">
        <v>20.206267460000007</v>
      </c>
      <c r="AK35" s="251">
        <v>5.1428687699999989</v>
      </c>
      <c r="AL35" s="251">
        <v>169.91948840000003</v>
      </c>
      <c r="AM35" s="251">
        <v>0</v>
      </c>
      <c r="AN35" s="242">
        <f t="shared" si="54"/>
        <v>419.22335980000003</v>
      </c>
      <c r="AO35" s="163"/>
      <c r="AP35" s="172" t="str">
        <f t="shared" si="32"/>
        <v>-</v>
      </c>
      <c r="AQ35" s="172" t="str">
        <f t="shared" si="33"/>
        <v>-</v>
      </c>
      <c r="AR35" s="172" t="str">
        <f t="shared" si="34"/>
        <v>-</v>
      </c>
      <c r="AS35" s="172">
        <f t="shared" si="35"/>
        <v>2.583333388251615</v>
      </c>
      <c r="AT35" s="172" t="str">
        <f t="shared" si="36"/>
        <v>-</v>
      </c>
      <c r="AU35" s="172">
        <f t="shared" si="37"/>
        <v>9.8683229813664504</v>
      </c>
      <c r="AV35" s="172" t="str">
        <f t="shared" si="38"/>
        <v>-</v>
      </c>
      <c r="AW35" s="172">
        <f t="shared" si="39"/>
        <v>5.2552852014359992</v>
      </c>
      <c r="AX35" s="172">
        <f t="shared" si="40"/>
        <v>34.226226160213606</v>
      </c>
      <c r="AY35" s="172">
        <f t="shared" si="41"/>
        <v>75.460419310715821</v>
      </c>
      <c r="AZ35" s="172" t="str">
        <f t="shared" si="42"/>
        <v>-</v>
      </c>
      <c r="BA35" s="172">
        <f t="shared" si="43"/>
        <v>24.936389986878407</v>
      </c>
      <c r="BB35" s="172">
        <f t="shared" si="44"/>
        <v>-100</v>
      </c>
      <c r="BC35" s="172">
        <f t="shared" si="45"/>
        <v>80.755220489395612</v>
      </c>
      <c r="BD35" s="172">
        <f t="shared" si="46"/>
        <v>-67.626848468077867</v>
      </c>
      <c r="BE35" s="172">
        <f t="shared" si="47"/>
        <v>-12.715125565314512</v>
      </c>
      <c r="BF35" s="172" t="str">
        <f t="shared" si="48"/>
        <v>-</v>
      </c>
      <c r="BG35" s="173">
        <f t="shared" si="49"/>
        <v>7.605224199627231</v>
      </c>
      <c r="BH35" s="184"/>
      <c r="BI35" s="165"/>
      <c r="BJ35" s="165"/>
      <c r="BK35" s="166"/>
      <c r="BL35" s="166"/>
      <c r="BM35" s="166"/>
      <c r="BN35" s="166"/>
    </row>
    <row r="36" spans="3:199" ht="14">
      <c r="C36" s="186" t="str">
        <f>IF(Indice_index!$Z$1=1,"Outras despesas de capital","Other capital expenditure")</f>
        <v>Other capital expenditure</v>
      </c>
      <c r="D36" s="251">
        <v>0</v>
      </c>
      <c r="E36" s="251">
        <v>0</v>
      </c>
      <c r="F36" s="251">
        <v>0</v>
      </c>
      <c r="G36" s="251">
        <v>0</v>
      </c>
      <c r="H36" s="251">
        <v>0</v>
      </c>
      <c r="I36" s="251">
        <v>0</v>
      </c>
      <c r="J36" s="251">
        <v>0</v>
      </c>
      <c r="K36" s="251">
        <v>0</v>
      </c>
      <c r="L36" s="251">
        <v>0</v>
      </c>
      <c r="M36" s="251">
        <v>2.5739000000000001E-2</v>
      </c>
      <c r="N36" s="251">
        <v>0</v>
      </c>
      <c r="O36" s="251">
        <v>0</v>
      </c>
      <c r="P36" s="251">
        <v>0</v>
      </c>
      <c r="Q36" s="251">
        <v>1.5638659999999999E-2</v>
      </c>
      <c r="R36" s="251">
        <v>0</v>
      </c>
      <c r="S36" s="251">
        <v>0.10023453</v>
      </c>
      <c r="T36" s="251">
        <v>0</v>
      </c>
      <c r="U36" s="242">
        <f t="shared" si="28"/>
        <v>0.14161219</v>
      </c>
      <c r="V36" s="163"/>
      <c r="W36" s="251">
        <v>0</v>
      </c>
      <c r="X36" s="251">
        <v>0</v>
      </c>
      <c r="Y36" s="251">
        <v>0</v>
      </c>
      <c r="Z36" s="251">
        <v>0</v>
      </c>
      <c r="AA36" s="251">
        <v>0</v>
      </c>
      <c r="AB36" s="251">
        <v>0</v>
      </c>
      <c r="AC36" s="251">
        <v>0</v>
      </c>
      <c r="AD36" s="251">
        <v>0</v>
      </c>
      <c r="AE36" s="251">
        <v>0</v>
      </c>
      <c r="AF36" s="251">
        <v>0.15340535</v>
      </c>
      <c r="AG36" s="251">
        <v>0</v>
      </c>
      <c r="AH36" s="251">
        <v>0</v>
      </c>
      <c r="AI36" s="251">
        <v>0</v>
      </c>
      <c r="AJ36" s="251">
        <v>8.8999999999999995E-5</v>
      </c>
      <c r="AK36" s="251">
        <v>0</v>
      </c>
      <c r="AL36" s="251">
        <v>0</v>
      </c>
      <c r="AM36" s="251">
        <v>0</v>
      </c>
      <c r="AN36" s="242">
        <f t="shared" si="54"/>
        <v>0.15349435</v>
      </c>
      <c r="AO36" s="163"/>
      <c r="AP36" s="172" t="str">
        <f t="shared" si="32"/>
        <v>-</v>
      </c>
      <c r="AQ36" s="172" t="str">
        <f t="shared" si="33"/>
        <v>-</v>
      </c>
      <c r="AR36" s="172" t="str">
        <f t="shared" si="34"/>
        <v>-</v>
      </c>
      <c r="AS36" s="172" t="str">
        <f t="shared" si="35"/>
        <v>-</v>
      </c>
      <c r="AT36" s="172" t="str">
        <f t="shared" si="36"/>
        <v>-</v>
      </c>
      <c r="AU36" s="172" t="str">
        <f t="shared" si="37"/>
        <v>-</v>
      </c>
      <c r="AV36" s="172" t="str">
        <f t="shared" si="38"/>
        <v>-</v>
      </c>
      <c r="AW36" s="172" t="str">
        <f t="shared" si="39"/>
        <v>-</v>
      </c>
      <c r="AX36" s="172" t="str">
        <f t="shared" si="40"/>
        <v>-</v>
      </c>
      <c r="AY36" s="172">
        <f t="shared" si="41"/>
        <v>-83.221576040209797</v>
      </c>
      <c r="AZ36" s="172" t="str">
        <f t="shared" si="42"/>
        <v>-</v>
      </c>
      <c r="BA36" s="172" t="str">
        <f t="shared" si="43"/>
        <v>-</v>
      </c>
      <c r="BB36" s="172" t="str">
        <f t="shared" si="44"/>
        <v>-</v>
      </c>
      <c r="BC36" s="172" t="str">
        <f t="shared" si="45"/>
        <v>-</v>
      </c>
      <c r="BD36" s="172" t="str">
        <f t="shared" si="46"/>
        <v>-</v>
      </c>
      <c r="BE36" s="172" t="str">
        <f t="shared" si="47"/>
        <v>-</v>
      </c>
      <c r="BF36" s="172" t="str">
        <f t="shared" si="48"/>
        <v>-</v>
      </c>
      <c r="BG36" s="173">
        <f t="shared" si="49"/>
        <v>-7.7411057801150349</v>
      </c>
      <c r="BH36" s="184"/>
      <c r="BI36" s="165"/>
      <c r="BJ36" s="165"/>
      <c r="BK36" s="166"/>
      <c r="BL36" s="166"/>
      <c r="BM36" s="166"/>
      <c r="BN36" s="166"/>
    </row>
    <row r="37" spans="3:199" ht="14">
      <c r="C37" s="186"/>
      <c r="D37" s="252"/>
      <c r="E37" s="252"/>
      <c r="F37" s="252"/>
      <c r="G37" s="252"/>
      <c r="H37" s="252"/>
      <c r="I37" s="252"/>
      <c r="J37" s="252"/>
      <c r="K37" s="252"/>
      <c r="L37" s="252"/>
      <c r="M37" s="252"/>
      <c r="N37" s="252"/>
      <c r="O37" s="252"/>
      <c r="P37" s="252"/>
      <c r="Q37" s="252"/>
      <c r="R37" s="252"/>
      <c r="S37" s="252"/>
      <c r="T37" s="252"/>
      <c r="U37" s="242">
        <f t="shared" si="28"/>
        <v>0</v>
      </c>
      <c r="V37" s="163"/>
      <c r="W37" s="252"/>
      <c r="X37" s="252"/>
      <c r="Y37" s="252"/>
      <c r="Z37" s="252"/>
      <c r="AA37" s="252"/>
      <c r="AB37" s="252"/>
      <c r="AC37" s="252"/>
      <c r="AD37" s="252"/>
      <c r="AE37" s="252"/>
      <c r="AF37" s="252"/>
      <c r="AG37" s="252"/>
      <c r="AH37" s="252"/>
      <c r="AI37" s="252"/>
      <c r="AJ37" s="252"/>
      <c r="AK37" s="252"/>
      <c r="AL37" s="252"/>
      <c r="AM37" s="252"/>
      <c r="AN37" s="242">
        <f t="shared" si="54"/>
        <v>0</v>
      </c>
      <c r="AO37" s="163"/>
      <c r="AP37" s="172"/>
      <c r="AQ37" s="172"/>
      <c r="AR37" s="172"/>
      <c r="AS37" s="172"/>
      <c r="AT37" s="172"/>
      <c r="AU37" s="172"/>
      <c r="AV37" s="172"/>
      <c r="AW37" s="172"/>
      <c r="AX37" s="172"/>
      <c r="AY37" s="172"/>
      <c r="AZ37" s="172"/>
      <c r="BA37" s="172"/>
      <c r="BB37" s="172"/>
      <c r="BC37" s="172"/>
      <c r="BD37" s="172"/>
      <c r="BE37" s="172"/>
      <c r="BF37" s="172"/>
      <c r="BG37" s="173"/>
      <c r="BH37" s="184"/>
      <c r="BI37" s="165"/>
      <c r="BJ37" s="165"/>
      <c r="BK37" s="166"/>
      <c r="BL37" s="166"/>
      <c r="BM37" s="166"/>
      <c r="BN37" s="166"/>
    </row>
    <row r="38" spans="3:199" s="139" customFormat="1" ht="17.25" customHeight="1">
      <c r="C38" s="187" t="str">
        <f>IF(Indice_index!$Z$1=1,"Despesa efetiva","Effective Expenditure")</f>
        <v>Effective Expenditure</v>
      </c>
      <c r="D38" s="254">
        <f>+D27+D8</f>
        <v>210.49805038999997</v>
      </c>
      <c r="E38" s="254">
        <f>+E27+E8</f>
        <v>47.708279960000006</v>
      </c>
      <c r="F38" s="254">
        <f t="shared" ref="F38:T38" si="55">+F8+F27</f>
        <v>88.802043220000016</v>
      </c>
      <c r="G38" s="254">
        <f t="shared" si="55"/>
        <v>472.98709332999999</v>
      </c>
      <c r="H38" s="254">
        <f t="shared" si="55"/>
        <v>102.61405343000003</v>
      </c>
      <c r="I38" s="254">
        <f t="shared" si="55"/>
        <v>99.681456300000022</v>
      </c>
      <c r="J38" s="254">
        <f t="shared" si="55"/>
        <v>264.51737296000005</v>
      </c>
      <c r="K38" s="254">
        <f>+K8+K27</f>
        <v>286.96429339999997</v>
      </c>
      <c r="L38" s="254">
        <f>+L8+L27</f>
        <v>1571.63858086</v>
      </c>
      <c r="M38" s="254">
        <f>+M8+M27</f>
        <v>237.90695147999998</v>
      </c>
      <c r="N38" s="254">
        <f>+N8+N27</f>
        <v>7784.4120128500026</v>
      </c>
      <c r="O38" s="254">
        <f t="shared" si="55"/>
        <v>13647.950317940002</v>
      </c>
      <c r="P38" s="254">
        <f t="shared" si="55"/>
        <v>2074.3509511500006</v>
      </c>
      <c r="Q38" s="254">
        <f>+Q8+Q27</f>
        <v>256.20533369000003</v>
      </c>
      <c r="R38" s="254">
        <f t="shared" si="55"/>
        <v>820.37060037000003</v>
      </c>
      <c r="S38" s="254">
        <f t="shared" si="55"/>
        <v>398.67442583000002</v>
      </c>
      <c r="T38" s="254">
        <f t="shared" si="55"/>
        <v>21.371767169999998</v>
      </c>
      <c r="U38" s="248">
        <f>+U8+U27</f>
        <v>28386.653584330004</v>
      </c>
      <c r="V38" s="188"/>
      <c r="W38" s="254">
        <f>+W27+W8</f>
        <v>202.02641602</v>
      </c>
      <c r="X38" s="254">
        <f>+X27+X8</f>
        <v>42.172869980000009</v>
      </c>
      <c r="Y38" s="254">
        <f t="shared" ref="Y38:AM38" si="56">+Y8+Y27</f>
        <v>93.532295439999999</v>
      </c>
      <c r="Z38" s="254">
        <f t="shared" si="56"/>
        <v>683.54350794999993</v>
      </c>
      <c r="AA38" s="254">
        <f t="shared" si="56"/>
        <v>113.75459917000001</v>
      </c>
      <c r="AB38" s="254">
        <f t="shared" si="56"/>
        <v>91.630820369999995</v>
      </c>
      <c r="AC38" s="254">
        <f t="shared" si="56"/>
        <v>250.08759869999997</v>
      </c>
      <c r="AD38" s="254">
        <f t="shared" si="56"/>
        <v>270.15033483999997</v>
      </c>
      <c r="AE38" s="254">
        <f t="shared" si="56"/>
        <v>1536.0802321200001</v>
      </c>
      <c r="AF38" s="254">
        <f t="shared" si="56"/>
        <v>219.36961418000001</v>
      </c>
      <c r="AG38" s="254">
        <f t="shared" si="56"/>
        <v>7944.3339950999998</v>
      </c>
      <c r="AH38" s="254">
        <f t="shared" si="56"/>
        <v>12312.02417975</v>
      </c>
      <c r="AI38" s="254">
        <f t="shared" si="56"/>
        <v>1858.0990248899998</v>
      </c>
      <c r="AJ38" s="254">
        <f t="shared" si="56"/>
        <v>245.09784139999999</v>
      </c>
      <c r="AK38" s="254">
        <f t="shared" si="56"/>
        <v>585.13672010000005</v>
      </c>
      <c r="AL38" s="254">
        <f t="shared" si="56"/>
        <v>411.90900500000004</v>
      </c>
      <c r="AM38" s="254">
        <f t="shared" si="56"/>
        <v>24.842913470000003</v>
      </c>
      <c r="AN38" s="248">
        <f>+AN8+AN27</f>
        <v>26883.79196848</v>
      </c>
      <c r="AO38" s="188"/>
      <c r="AP38" s="189">
        <f t="shared" ref="AP38:BG38" si="57">IF(W38=0,"-",IF((D38/W38)&gt;3,"-",((D38-W38)/W38)*100))</f>
        <v>4.1933300292578117</v>
      </c>
      <c r="AQ38" s="189">
        <f t="shared" si="57"/>
        <v>13.125523547781077</v>
      </c>
      <c r="AR38" s="189">
        <f t="shared" si="57"/>
        <v>-5.0573464467515299</v>
      </c>
      <c r="AS38" s="189">
        <f t="shared" si="57"/>
        <v>-30.803659484891455</v>
      </c>
      <c r="AT38" s="189">
        <f t="shared" si="57"/>
        <v>-9.7934903918487226</v>
      </c>
      <c r="AU38" s="189">
        <f t="shared" si="57"/>
        <v>8.7859476729467456</v>
      </c>
      <c r="AV38" s="189">
        <f t="shared" si="57"/>
        <v>5.7698879652604198</v>
      </c>
      <c r="AW38" s="189">
        <f t="shared" si="57"/>
        <v>6.2239266036661727</v>
      </c>
      <c r="AX38" s="189">
        <f t="shared" si="57"/>
        <v>2.3148757464917415</v>
      </c>
      <c r="AY38" s="189">
        <f t="shared" si="57"/>
        <v>8.4502757454774304</v>
      </c>
      <c r="AZ38" s="189">
        <f t="shared" si="57"/>
        <v>-2.0130319589865655</v>
      </c>
      <c r="BA38" s="189">
        <f t="shared" si="57"/>
        <v>10.850580852393419</v>
      </c>
      <c r="BB38" s="189">
        <f t="shared" si="57"/>
        <v>11.638342379131435</v>
      </c>
      <c r="BC38" s="189">
        <f t="shared" si="57"/>
        <v>4.5318605119302529</v>
      </c>
      <c r="BD38" s="189">
        <f t="shared" si="57"/>
        <v>40.201524223227423</v>
      </c>
      <c r="BE38" s="189">
        <f t="shared" si="57"/>
        <v>-3.2129861229909302</v>
      </c>
      <c r="BF38" s="189">
        <f t="shared" si="57"/>
        <v>-13.97238010828206</v>
      </c>
      <c r="BG38" s="190">
        <f t="shared" si="57"/>
        <v>5.590214422176901</v>
      </c>
      <c r="BH38" s="184"/>
      <c r="BI38" s="165"/>
      <c r="BJ38" s="165"/>
      <c r="BK38" s="166"/>
      <c r="BL38" s="166"/>
      <c r="BM38" s="166"/>
      <c r="BN38" s="166"/>
      <c r="BO38" s="153"/>
      <c r="BP38" s="153"/>
      <c r="BQ38" s="153"/>
      <c r="BR38" s="152"/>
      <c r="BS38" s="152"/>
      <c r="BT38" s="152"/>
      <c r="BU38" s="152"/>
      <c r="BV38" s="152"/>
      <c r="BW38" s="152"/>
      <c r="BX38" s="137"/>
      <c r="BY38" s="137"/>
      <c r="BZ38" s="137"/>
      <c r="CA38" s="137"/>
      <c r="CB38" s="137"/>
      <c r="CC38" s="137"/>
      <c r="CD38" s="137"/>
      <c r="CE38" s="137"/>
      <c r="CF38" s="137"/>
      <c r="CG38" s="137"/>
      <c r="CH38" s="137"/>
      <c r="CI38" s="137"/>
      <c r="CJ38" s="137"/>
      <c r="CK38" s="137"/>
      <c r="CL38" s="137"/>
      <c r="CM38" s="137"/>
      <c r="CN38" s="137"/>
      <c r="CO38" s="137"/>
      <c r="CP38" s="137"/>
      <c r="CQ38" s="137"/>
      <c r="CR38" s="137"/>
      <c r="CS38" s="137"/>
      <c r="CT38" s="137"/>
      <c r="CU38" s="137"/>
      <c r="CV38" s="137"/>
      <c r="CW38" s="137"/>
      <c r="CX38" s="137"/>
      <c r="CY38" s="137"/>
      <c r="CZ38" s="137"/>
      <c r="DA38" s="137"/>
      <c r="DB38" s="137"/>
      <c r="DC38" s="137"/>
      <c r="DD38" s="137"/>
      <c r="DE38" s="137"/>
      <c r="DF38" s="137"/>
      <c r="DG38" s="137"/>
      <c r="DH38" s="137"/>
      <c r="DI38" s="137"/>
      <c r="DJ38" s="137"/>
      <c r="DK38" s="137"/>
      <c r="DL38" s="137"/>
      <c r="DM38" s="137"/>
      <c r="DN38" s="137"/>
      <c r="DO38" s="137"/>
      <c r="DP38" s="137"/>
      <c r="DQ38" s="137"/>
      <c r="DR38" s="137"/>
      <c r="DS38" s="137"/>
      <c r="DT38" s="137"/>
      <c r="DU38" s="137"/>
      <c r="DV38" s="137"/>
      <c r="DW38" s="137"/>
      <c r="DX38" s="137"/>
      <c r="DY38" s="137"/>
      <c r="DZ38" s="137"/>
      <c r="EA38" s="137"/>
      <c r="EB38" s="137"/>
      <c r="EC38" s="137"/>
      <c r="ED38" s="137"/>
      <c r="EE38" s="137"/>
      <c r="EF38" s="137"/>
      <c r="EG38" s="137"/>
      <c r="EH38" s="137"/>
      <c r="EI38" s="137"/>
      <c r="EJ38" s="137"/>
      <c r="EK38" s="137"/>
      <c r="EL38" s="137"/>
      <c r="EM38" s="137"/>
      <c r="EN38" s="137"/>
      <c r="EO38" s="137"/>
      <c r="EP38" s="137"/>
      <c r="EQ38" s="137"/>
      <c r="ER38" s="137"/>
      <c r="ES38" s="137"/>
      <c r="ET38" s="137"/>
      <c r="EU38" s="137"/>
      <c r="EV38" s="137"/>
      <c r="EW38" s="137"/>
      <c r="EX38" s="137"/>
      <c r="EY38" s="137"/>
      <c r="EZ38" s="137"/>
      <c r="FA38" s="137"/>
      <c r="FB38" s="137"/>
      <c r="FC38" s="137"/>
      <c r="FD38" s="137"/>
      <c r="FE38" s="137"/>
      <c r="FF38" s="137"/>
      <c r="FG38" s="137"/>
      <c r="FH38" s="137"/>
      <c r="FI38" s="137"/>
      <c r="FJ38" s="137"/>
      <c r="FK38" s="137"/>
      <c r="FL38" s="137"/>
      <c r="FM38" s="137"/>
      <c r="FN38" s="137"/>
      <c r="FO38" s="137"/>
      <c r="FP38" s="137"/>
      <c r="FQ38" s="137"/>
      <c r="FR38" s="137"/>
      <c r="FS38" s="137"/>
      <c r="FT38" s="137"/>
      <c r="FU38" s="137"/>
      <c r="FV38" s="137"/>
      <c r="FW38" s="137"/>
      <c r="FX38" s="137"/>
      <c r="FY38" s="137"/>
      <c r="FZ38" s="137"/>
      <c r="GA38" s="137"/>
      <c r="GB38" s="137"/>
      <c r="GC38" s="137"/>
      <c r="GD38" s="137"/>
      <c r="GE38" s="137"/>
      <c r="GF38" s="137"/>
      <c r="GG38" s="137"/>
      <c r="GH38" s="137"/>
      <c r="GI38" s="137"/>
      <c r="GJ38" s="137"/>
      <c r="GK38" s="137"/>
      <c r="GL38" s="137"/>
      <c r="GM38" s="137"/>
      <c r="GN38" s="137"/>
      <c r="GO38" s="137"/>
      <c r="GP38" s="137"/>
      <c r="GQ38" s="137"/>
    </row>
    <row r="39" spans="3:199" ht="14">
      <c r="C39" s="191" t="str">
        <f>IF(Indice_index!$Z$1=1,"   Por memória:","   Memo item:")</f>
        <v xml:space="preserve">   Memo item:</v>
      </c>
      <c r="D39" s="252"/>
      <c r="E39" s="252"/>
      <c r="F39" s="252"/>
      <c r="G39" s="252"/>
      <c r="H39" s="252"/>
      <c r="I39" s="252"/>
      <c r="J39" s="252"/>
      <c r="K39" s="252"/>
      <c r="L39" s="252"/>
      <c r="M39" s="252"/>
      <c r="N39" s="252"/>
      <c r="O39" s="252"/>
      <c r="P39" s="252"/>
      <c r="Q39" s="252"/>
      <c r="R39" s="252"/>
      <c r="S39" s="252"/>
      <c r="T39" s="252"/>
      <c r="U39" s="242"/>
      <c r="V39" s="163"/>
      <c r="W39" s="252"/>
      <c r="X39" s="252"/>
      <c r="Y39" s="252"/>
      <c r="Z39" s="252"/>
      <c r="AA39" s="252"/>
      <c r="AB39" s="252"/>
      <c r="AC39" s="252"/>
      <c r="AD39" s="252"/>
      <c r="AE39" s="252"/>
      <c r="AF39" s="252"/>
      <c r="AG39" s="252"/>
      <c r="AH39" s="252"/>
      <c r="AI39" s="252"/>
      <c r="AJ39" s="252"/>
      <c r="AK39" s="252"/>
      <c r="AL39" s="252"/>
      <c r="AM39" s="252"/>
      <c r="AN39" s="242"/>
      <c r="AO39" s="163"/>
      <c r="AP39" s="172"/>
      <c r="AQ39" s="172"/>
      <c r="AR39" s="172"/>
      <c r="AS39" s="172"/>
      <c r="AT39" s="172"/>
      <c r="AU39" s="172"/>
      <c r="AV39" s="172"/>
      <c r="AW39" s="172"/>
      <c r="AX39" s="172"/>
      <c r="AY39" s="172"/>
      <c r="AZ39" s="172"/>
      <c r="BA39" s="172"/>
      <c r="BB39" s="172"/>
      <c r="BC39" s="172"/>
      <c r="BD39" s="172"/>
      <c r="BE39" s="172"/>
      <c r="BF39" s="172"/>
      <c r="BG39" s="192"/>
      <c r="BH39" s="184"/>
      <c r="BI39" s="165"/>
      <c r="BJ39" s="165"/>
      <c r="BK39" s="166"/>
      <c r="BL39" s="166"/>
      <c r="BM39" s="166"/>
      <c r="BN39" s="166"/>
    </row>
    <row r="40" spans="3:199" ht="14">
      <c r="C40" s="193" t="str">
        <f>IF(Indice_index!$Z$1=1,"Ativos financeiros","Financial assets")</f>
        <v>Financial assets</v>
      </c>
      <c r="D40" s="251">
        <v>0</v>
      </c>
      <c r="E40" s="251">
        <v>2.6978749999999998</v>
      </c>
      <c r="F40" s="251">
        <v>0</v>
      </c>
      <c r="G40" s="251">
        <v>2577.3087933100001</v>
      </c>
      <c r="H40" s="251">
        <v>2.2064699999999999E-3</v>
      </c>
      <c r="I40" s="251">
        <v>45.180066989999993</v>
      </c>
      <c r="J40" s="251">
        <v>0</v>
      </c>
      <c r="K40" s="251">
        <v>0</v>
      </c>
      <c r="L40" s="251">
        <v>5.2706999999999997E-2</v>
      </c>
      <c r="M40" s="251">
        <v>0</v>
      </c>
      <c r="N40" s="251">
        <v>142.92597891000003</v>
      </c>
      <c r="O40" s="251">
        <v>25.477927050000002</v>
      </c>
      <c r="P40" s="251">
        <v>63.415799560000004</v>
      </c>
      <c r="Q40" s="251">
        <v>392.38771188999993</v>
      </c>
      <c r="R40" s="251">
        <v>4.74244501</v>
      </c>
      <c r="S40" s="251">
        <v>0</v>
      </c>
      <c r="T40" s="251">
        <v>0</v>
      </c>
      <c r="U40" s="242">
        <f>SUM(D40:T40)</f>
        <v>3254.1915111899998</v>
      </c>
      <c r="V40" s="194"/>
      <c r="W40" s="251">
        <v>0</v>
      </c>
      <c r="X40" s="251">
        <v>2.5135489999999998</v>
      </c>
      <c r="Y40" s="251">
        <v>0</v>
      </c>
      <c r="Z40" s="251">
        <v>798.19520075000003</v>
      </c>
      <c r="AA40" s="251">
        <v>2.0816099999999998E-3</v>
      </c>
      <c r="AB40" s="251">
        <v>208.91515746000002</v>
      </c>
      <c r="AC40" s="251">
        <v>0</v>
      </c>
      <c r="AD40" s="251">
        <v>1.5</v>
      </c>
      <c r="AE40" s="251">
        <v>0.33200000000000002</v>
      </c>
      <c r="AF40" s="251">
        <v>0</v>
      </c>
      <c r="AG40" s="251">
        <v>234.39953830000002</v>
      </c>
      <c r="AH40" s="251">
        <v>0.79496771000000022</v>
      </c>
      <c r="AI40" s="251">
        <v>46.991879609999998</v>
      </c>
      <c r="AJ40" s="251">
        <v>425.29240522000003</v>
      </c>
      <c r="AK40" s="251">
        <v>10.786242200000002</v>
      </c>
      <c r="AL40" s="251">
        <v>0</v>
      </c>
      <c r="AM40" s="251">
        <v>2</v>
      </c>
      <c r="AN40" s="242">
        <f>SUM(W40:AM40)</f>
        <v>1731.7230218600005</v>
      </c>
      <c r="AO40" s="194"/>
      <c r="AP40" s="172"/>
      <c r="AQ40" s="172"/>
      <c r="AR40" s="172"/>
      <c r="AS40" s="172"/>
      <c r="AT40" s="172"/>
      <c r="AU40" s="172"/>
      <c r="AV40" s="172"/>
      <c r="AW40" s="172"/>
      <c r="AX40" s="172"/>
      <c r="AY40" s="172"/>
      <c r="AZ40" s="172"/>
      <c r="BA40" s="172"/>
      <c r="BB40" s="172"/>
      <c r="BC40" s="172"/>
      <c r="BD40" s="172"/>
      <c r="BE40" s="172"/>
      <c r="BF40" s="172"/>
      <c r="BG40" s="192"/>
      <c r="BH40" s="184"/>
      <c r="BI40" s="165"/>
      <c r="BJ40" s="165"/>
      <c r="BK40" s="166"/>
      <c r="BL40" s="166"/>
      <c r="BM40" s="166"/>
      <c r="BN40" s="166"/>
    </row>
    <row r="41" spans="3:199" ht="14">
      <c r="C41" s="177" t="s">
        <v>15</v>
      </c>
      <c r="D41" s="251"/>
      <c r="E41" s="251"/>
      <c r="F41" s="251"/>
      <c r="G41" s="251"/>
      <c r="H41" s="251"/>
      <c r="I41" s="251"/>
      <c r="J41" s="251"/>
      <c r="K41" s="251"/>
      <c r="L41" s="251"/>
      <c r="M41" s="251"/>
      <c r="N41" s="251"/>
      <c r="O41" s="251"/>
      <c r="P41" s="251"/>
      <c r="Q41" s="251"/>
      <c r="R41" s="251"/>
      <c r="S41" s="251"/>
      <c r="T41" s="251"/>
      <c r="U41" s="242"/>
      <c r="V41" s="194"/>
      <c r="W41" s="251">
        <v>0</v>
      </c>
      <c r="X41" s="251"/>
      <c r="Y41" s="251"/>
      <c r="Z41" s="251"/>
      <c r="AA41" s="251"/>
      <c r="AB41" s="251"/>
      <c r="AC41" s="251"/>
      <c r="AD41" s="251"/>
      <c r="AE41" s="251"/>
      <c r="AF41" s="251"/>
      <c r="AG41" s="251"/>
      <c r="AH41" s="251"/>
      <c r="AI41" s="251"/>
      <c r="AJ41" s="251"/>
      <c r="AK41" s="251"/>
      <c r="AL41" s="251"/>
      <c r="AM41" s="251">
        <v>0</v>
      </c>
      <c r="AN41" s="242"/>
      <c r="AO41" s="194"/>
      <c r="AP41" s="172"/>
      <c r="AQ41" s="172"/>
      <c r="AR41" s="172"/>
      <c r="AS41" s="172"/>
      <c r="AT41" s="172"/>
      <c r="AU41" s="172"/>
      <c r="AV41" s="172"/>
      <c r="AW41" s="172"/>
      <c r="AX41" s="172"/>
      <c r="AY41" s="172"/>
      <c r="AZ41" s="172"/>
      <c r="BA41" s="172"/>
      <c r="BB41" s="172"/>
      <c r="BC41" s="172"/>
      <c r="BD41" s="172"/>
      <c r="BE41" s="172"/>
      <c r="BF41" s="172"/>
      <c r="BG41" s="192"/>
      <c r="BH41" s="184"/>
      <c r="BI41" s="165"/>
      <c r="BJ41" s="165"/>
      <c r="BK41" s="166"/>
      <c r="BL41" s="166"/>
      <c r="BM41" s="166"/>
      <c r="BN41" s="166"/>
    </row>
    <row r="42" spans="3:199" s="323" customFormat="1" ht="27.75" customHeight="1">
      <c r="C42" s="227" t="str">
        <f>IF(Indice_index!$Z$1=1,"Fundo de Regularização da Dívida Pública","Public Debt Settlement Fund transfers")</f>
        <v>Public Debt Settlement Fund transfers</v>
      </c>
      <c r="D42" s="313">
        <v>0</v>
      </c>
      <c r="E42" s="313"/>
      <c r="F42" s="313"/>
      <c r="G42" s="313">
        <v>0</v>
      </c>
      <c r="H42" s="313"/>
      <c r="I42" s="313"/>
      <c r="J42" s="313"/>
      <c r="K42" s="313"/>
      <c r="L42" s="313"/>
      <c r="M42" s="313"/>
      <c r="N42" s="313"/>
      <c r="O42" s="313"/>
      <c r="P42" s="313"/>
      <c r="Q42" s="313"/>
      <c r="R42" s="313"/>
      <c r="S42" s="313"/>
      <c r="T42" s="313"/>
      <c r="U42" s="314">
        <f>SUM(D42:T42)</f>
        <v>0</v>
      </c>
      <c r="V42" s="315"/>
      <c r="W42" s="313"/>
      <c r="X42" s="313"/>
      <c r="Y42" s="313"/>
      <c r="Z42" s="313">
        <v>0</v>
      </c>
      <c r="AA42" s="313"/>
      <c r="AB42" s="313"/>
      <c r="AC42" s="313"/>
      <c r="AD42" s="313"/>
      <c r="AE42" s="313"/>
      <c r="AF42" s="313"/>
      <c r="AG42" s="313"/>
      <c r="AH42" s="313"/>
      <c r="AI42" s="313"/>
      <c r="AJ42" s="313"/>
      <c r="AK42" s="313"/>
      <c r="AL42" s="313"/>
      <c r="AM42" s="313"/>
      <c r="AN42" s="314">
        <f>SUM(W42:AM42)</f>
        <v>0</v>
      </c>
      <c r="AO42" s="315"/>
      <c r="AP42" s="316"/>
      <c r="AQ42" s="316"/>
      <c r="AR42" s="316"/>
      <c r="AS42" s="316"/>
      <c r="AT42" s="316"/>
      <c r="AU42" s="316"/>
      <c r="AV42" s="316"/>
      <c r="AW42" s="316"/>
      <c r="AX42" s="316"/>
      <c r="AY42" s="316"/>
      <c r="AZ42" s="316"/>
      <c r="BA42" s="316"/>
      <c r="BB42" s="316"/>
      <c r="BC42" s="316"/>
      <c r="BD42" s="316"/>
      <c r="BE42" s="316"/>
      <c r="BF42" s="316"/>
      <c r="BG42" s="317"/>
      <c r="BH42" s="318"/>
      <c r="BI42" s="319"/>
      <c r="BJ42" s="319"/>
      <c r="BK42" s="320"/>
      <c r="BL42" s="320"/>
      <c r="BM42" s="320"/>
      <c r="BN42" s="320"/>
      <c r="BO42" s="321"/>
      <c r="BP42" s="321"/>
      <c r="BQ42" s="321"/>
      <c r="BR42" s="322"/>
      <c r="BS42" s="322"/>
      <c r="BT42" s="322"/>
      <c r="BU42" s="322"/>
      <c r="BV42" s="322"/>
      <c r="BW42" s="322"/>
    </row>
    <row r="43" spans="3:199" ht="14">
      <c r="C43" s="193" t="str">
        <f>IF(Indice_index!$Z$1=1,"Passivos financeiros","Financial liabilities")</f>
        <v>Financial liabilities</v>
      </c>
      <c r="D43" s="251">
        <v>0</v>
      </c>
      <c r="E43" s="251">
        <v>0</v>
      </c>
      <c r="F43" s="251">
        <v>0</v>
      </c>
      <c r="G43" s="251">
        <v>84.240130730000004</v>
      </c>
      <c r="H43" s="251">
        <v>0</v>
      </c>
      <c r="I43" s="251">
        <v>1.66664E-3</v>
      </c>
      <c r="J43" s="251">
        <v>0</v>
      </c>
      <c r="K43" s="251">
        <v>5.4444444400000007</v>
      </c>
      <c r="L43" s="251">
        <v>0.15</v>
      </c>
      <c r="M43" s="251">
        <v>24.983286079999999</v>
      </c>
      <c r="N43" s="251">
        <v>0.16106645999999999</v>
      </c>
      <c r="O43" s="251">
        <v>11.954428999999999</v>
      </c>
      <c r="P43" s="251">
        <v>101.71051880000002</v>
      </c>
      <c r="Q43" s="251">
        <v>2.6465226200000003</v>
      </c>
      <c r="R43" s="251">
        <v>144.80120405000002</v>
      </c>
      <c r="S43" s="251">
        <v>13.42406834</v>
      </c>
      <c r="T43" s="251">
        <v>0</v>
      </c>
      <c r="U43" s="242">
        <f>SUM(D43:T43)</f>
        <v>389.51733716000007</v>
      </c>
      <c r="V43" s="194"/>
      <c r="W43" s="251">
        <v>0</v>
      </c>
      <c r="X43" s="251">
        <v>0</v>
      </c>
      <c r="Y43" s="251">
        <v>0</v>
      </c>
      <c r="Z43" s="255">
        <v>963.82356082000001</v>
      </c>
      <c r="AA43" s="251">
        <v>0</v>
      </c>
      <c r="AB43" s="251">
        <v>1.66664E-3</v>
      </c>
      <c r="AC43" s="251">
        <v>0</v>
      </c>
      <c r="AD43" s="251">
        <v>5.4444444400000007</v>
      </c>
      <c r="AE43" s="251">
        <v>0.45</v>
      </c>
      <c r="AF43" s="251">
        <v>24.983280000000001</v>
      </c>
      <c r="AG43" s="251">
        <v>0.15990604</v>
      </c>
      <c r="AH43" s="251">
        <v>15.826403000000001</v>
      </c>
      <c r="AI43" s="251">
        <v>121.15868206</v>
      </c>
      <c r="AJ43" s="251">
        <v>3.4278837800000002</v>
      </c>
      <c r="AK43" s="251">
        <v>429.06636443999992</v>
      </c>
      <c r="AL43" s="251">
        <v>13.42406834</v>
      </c>
      <c r="AM43" s="251">
        <v>0</v>
      </c>
      <c r="AN43" s="242">
        <f>SUM(W43:AM43)</f>
        <v>1577.7662595600002</v>
      </c>
      <c r="AO43" s="194"/>
      <c r="AP43" s="172"/>
      <c r="AQ43" s="172"/>
      <c r="AR43" s="172"/>
      <c r="AS43" s="172"/>
      <c r="AT43" s="172"/>
      <c r="AU43" s="172"/>
      <c r="AV43" s="172"/>
      <c r="AW43" s="172"/>
      <c r="AX43" s="172"/>
      <c r="AY43" s="172"/>
      <c r="AZ43" s="172"/>
      <c r="BA43" s="172"/>
      <c r="BB43" s="172"/>
      <c r="BC43" s="172"/>
      <c r="BD43" s="172"/>
      <c r="BE43" s="172"/>
      <c r="BF43" s="172"/>
      <c r="BG43" s="192"/>
      <c r="BH43" s="184"/>
      <c r="BI43" s="165"/>
      <c r="BJ43" s="165"/>
      <c r="BK43" s="166"/>
      <c r="BL43" s="166"/>
      <c r="BM43" s="166"/>
      <c r="BN43" s="166"/>
    </row>
    <row r="44" spans="3:199" ht="14">
      <c r="C44" s="177" t="s">
        <v>15</v>
      </c>
      <c r="D44" s="251"/>
      <c r="E44" s="251"/>
      <c r="F44" s="251"/>
      <c r="G44" s="251"/>
      <c r="H44" s="251"/>
      <c r="I44" s="251"/>
      <c r="J44" s="251"/>
      <c r="K44" s="251"/>
      <c r="L44" s="251"/>
      <c r="M44" s="251"/>
      <c r="N44" s="251"/>
      <c r="O44" s="251"/>
      <c r="P44" s="251"/>
      <c r="Q44" s="251"/>
      <c r="R44" s="251"/>
      <c r="S44" s="251"/>
      <c r="T44" s="251"/>
      <c r="U44" s="242"/>
      <c r="V44" s="194"/>
      <c r="W44" s="251"/>
      <c r="X44" s="251"/>
      <c r="Y44" s="251"/>
      <c r="Z44" s="251"/>
      <c r="AA44" s="251"/>
      <c r="AB44" s="251"/>
      <c r="AC44" s="251"/>
      <c r="AD44" s="251"/>
      <c r="AE44" s="251"/>
      <c r="AF44" s="251"/>
      <c r="AG44" s="251"/>
      <c r="AH44" s="251"/>
      <c r="AI44" s="251"/>
      <c r="AJ44" s="251"/>
      <c r="AK44" s="251"/>
      <c r="AL44" s="251"/>
      <c r="AM44" s="251"/>
      <c r="AN44" s="242"/>
      <c r="AO44" s="194"/>
      <c r="AP44" s="172"/>
      <c r="AQ44" s="172"/>
      <c r="AR44" s="172"/>
      <c r="AS44" s="172"/>
      <c r="AT44" s="172"/>
      <c r="AU44" s="172"/>
      <c r="AV44" s="172"/>
      <c r="AW44" s="172"/>
      <c r="AX44" s="172"/>
      <c r="AY44" s="172"/>
      <c r="AZ44" s="172"/>
      <c r="BA44" s="172"/>
      <c r="BB44" s="172"/>
      <c r="BC44" s="172"/>
      <c r="BD44" s="172"/>
      <c r="BE44" s="172"/>
      <c r="BF44" s="172"/>
      <c r="BG44" s="192"/>
      <c r="BH44" s="184"/>
      <c r="BI44" s="165"/>
      <c r="BJ44" s="165"/>
      <c r="BK44" s="166"/>
      <c r="BL44" s="166"/>
      <c r="BM44" s="166"/>
      <c r="BN44" s="166"/>
    </row>
    <row r="45" spans="3:199" s="323" customFormat="1" ht="30.75" customHeight="1">
      <c r="C45" s="228" t="str">
        <f>IF(Indice_index!$Z$1=1,"Fundo de Regularização da Dívida Pública","Public Debt Settlement Fund transfers")</f>
        <v>Public Debt Settlement Fund transfers</v>
      </c>
      <c r="D45" s="324">
        <v>0</v>
      </c>
      <c r="E45" s="324"/>
      <c r="F45" s="324"/>
      <c r="G45" s="324">
        <v>0</v>
      </c>
      <c r="H45" s="324"/>
      <c r="I45" s="324"/>
      <c r="J45" s="324"/>
      <c r="K45" s="324"/>
      <c r="L45" s="324"/>
      <c r="M45" s="324"/>
      <c r="N45" s="324"/>
      <c r="O45" s="324"/>
      <c r="P45" s="324"/>
      <c r="Q45" s="324"/>
      <c r="R45" s="324"/>
      <c r="S45" s="324"/>
      <c r="T45" s="324"/>
      <c r="U45" s="325">
        <f>SUM(D45:T45)</f>
        <v>0</v>
      </c>
      <c r="V45" s="326"/>
      <c r="W45" s="324">
        <v>0</v>
      </c>
      <c r="X45" s="324"/>
      <c r="Y45" s="324"/>
      <c r="Z45" s="324">
        <v>0</v>
      </c>
      <c r="AA45" s="324"/>
      <c r="AB45" s="324"/>
      <c r="AC45" s="324"/>
      <c r="AD45" s="324"/>
      <c r="AE45" s="324"/>
      <c r="AF45" s="324"/>
      <c r="AG45" s="324"/>
      <c r="AH45" s="324"/>
      <c r="AI45" s="324"/>
      <c r="AJ45" s="324"/>
      <c r="AK45" s="324"/>
      <c r="AL45" s="324"/>
      <c r="AM45" s="324"/>
      <c r="AN45" s="325">
        <f>SUM(W45:AM45)</f>
        <v>0</v>
      </c>
      <c r="AO45" s="326"/>
      <c r="AP45" s="327"/>
      <c r="AQ45" s="327"/>
      <c r="AR45" s="327"/>
      <c r="AS45" s="327"/>
      <c r="AT45" s="327"/>
      <c r="AU45" s="327"/>
      <c r="AV45" s="327"/>
      <c r="AW45" s="327"/>
      <c r="AX45" s="327"/>
      <c r="AY45" s="327"/>
      <c r="AZ45" s="327"/>
      <c r="BA45" s="327"/>
      <c r="BB45" s="327"/>
      <c r="BC45" s="327"/>
      <c r="BD45" s="327"/>
      <c r="BE45" s="327"/>
      <c r="BF45" s="327"/>
      <c r="BG45" s="328"/>
      <c r="BH45" s="318"/>
      <c r="BI45" s="319"/>
      <c r="BJ45" s="319"/>
      <c r="BK45" s="320"/>
      <c r="BL45" s="320"/>
      <c r="BM45" s="320"/>
      <c r="BN45" s="320"/>
      <c r="BO45" s="321"/>
      <c r="BP45" s="321"/>
      <c r="BQ45" s="321"/>
      <c r="BR45" s="322"/>
      <c r="BS45" s="322"/>
      <c r="BT45" s="322"/>
      <c r="BU45" s="322"/>
      <c r="BV45" s="322"/>
      <c r="BW45" s="322"/>
    </row>
    <row r="46" spans="3:199" s="259" customFormat="1" ht="14">
      <c r="AC46" s="118"/>
      <c r="AD46" s="118"/>
      <c r="AE46" s="118"/>
      <c r="AF46" s="118"/>
      <c r="AG46" s="118"/>
    </row>
    <row r="47" spans="3:199" s="259" customFormat="1" ht="14">
      <c r="U47" s="118"/>
      <c r="AC47" s="118"/>
      <c r="AD47" s="118"/>
      <c r="AE47" s="118"/>
      <c r="AF47" s="118"/>
      <c r="AG47" s="118"/>
    </row>
    <row r="48" spans="3:199" s="259" customFormat="1" ht="14">
      <c r="AC48" s="118"/>
      <c r="AD48" s="118"/>
      <c r="AE48" s="118"/>
      <c r="AF48" s="118"/>
      <c r="AG48" s="118"/>
    </row>
    <row r="49" spans="3:33" s="259" customFormat="1" ht="14">
      <c r="AC49" s="118"/>
      <c r="AD49" s="118"/>
      <c r="AE49" s="118"/>
      <c r="AF49" s="118"/>
      <c r="AG49" s="118"/>
    </row>
    <row r="50" spans="3:33" s="259" customFormat="1" ht="14">
      <c r="AC50" s="118"/>
      <c r="AD50" s="118"/>
      <c r="AE50" s="118"/>
      <c r="AF50" s="118"/>
      <c r="AG50" s="118"/>
    </row>
    <row r="51" spans="3:33" s="259" customFormat="1" ht="14">
      <c r="AC51" s="118"/>
      <c r="AD51" s="118"/>
      <c r="AE51" s="118"/>
      <c r="AF51" s="118"/>
      <c r="AG51" s="118"/>
    </row>
    <row r="52" spans="3:33" s="259" customFormat="1" ht="14" hidden="1">
      <c r="C52" s="289" t="s">
        <v>17</v>
      </c>
      <c r="AC52" s="118"/>
      <c r="AD52" s="118"/>
      <c r="AE52" s="118"/>
      <c r="AF52" s="118"/>
      <c r="AG52" s="118"/>
    </row>
    <row r="53" spans="3:33" s="259" customFormat="1" ht="14" hidden="1">
      <c r="C53" s="280" t="s">
        <v>18</v>
      </c>
      <c r="AC53" s="118"/>
      <c r="AD53" s="118"/>
      <c r="AE53" s="118"/>
      <c r="AF53" s="118"/>
      <c r="AG53" s="118"/>
    </row>
    <row r="54" spans="3:33" s="259" customFormat="1" ht="14" hidden="1">
      <c r="C54" s="280" t="s">
        <v>19</v>
      </c>
      <c r="AC54" s="118"/>
      <c r="AD54" s="118"/>
      <c r="AE54" s="118"/>
      <c r="AF54" s="118"/>
      <c r="AG54" s="118"/>
    </row>
    <row r="55" spans="3:33" s="259" customFormat="1" ht="14" hidden="1">
      <c r="C55" s="280" t="s">
        <v>20</v>
      </c>
      <c r="AC55" s="118"/>
      <c r="AD55" s="118"/>
      <c r="AE55" s="118"/>
      <c r="AF55" s="118"/>
      <c r="AG55" s="118"/>
    </row>
    <row r="56" spans="3:33" s="259" customFormat="1" ht="14" hidden="1">
      <c r="C56" s="280" t="s">
        <v>21</v>
      </c>
      <c r="AC56" s="118"/>
      <c r="AD56" s="118"/>
      <c r="AE56" s="118"/>
      <c r="AF56" s="118"/>
      <c r="AG56" s="118"/>
    </row>
    <row r="57" spans="3:33" s="259" customFormat="1" ht="14" hidden="1">
      <c r="C57" s="280" t="s">
        <v>22</v>
      </c>
      <c r="AC57" s="118"/>
      <c r="AD57" s="118"/>
      <c r="AE57" s="118"/>
      <c r="AF57" s="118"/>
      <c r="AG57" s="118"/>
    </row>
    <row r="58" spans="3:33" s="259" customFormat="1" ht="14" hidden="1">
      <c r="C58" s="280"/>
      <c r="AC58" s="118"/>
      <c r="AD58" s="118"/>
      <c r="AE58" s="118"/>
      <c r="AF58" s="118"/>
      <c r="AG58" s="118"/>
    </row>
    <row r="59" spans="3:33" s="259" customFormat="1" ht="14">
      <c r="AC59" s="118"/>
      <c r="AD59" s="118"/>
      <c r="AE59" s="118"/>
      <c r="AF59" s="118"/>
      <c r="AG59" s="118"/>
    </row>
    <row r="60" spans="3:33" s="259" customFormat="1" ht="14">
      <c r="AC60" s="118"/>
      <c r="AD60" s="118"/>
      <c r="AE60" s="118"/>
      <c r="AF60" s="118"/>
      <c r="AG60" s="118"/>
    </row>
    <row r="61" spans="3:33" s="259" customFormat="1" ht="14">
      <c r="AC61" s="118"/>
      <c r="AD61" s="118"/>
      <c r="AE61" s="118"/>
      <c r="AF61" s="118"/>
      <c r="AG61" s="118"/>
    </row>
    <row r="62" spans="3:33" s="259" customFormat="1" ht="14">
      <c r="AC62" s="118"/>
      <c r="AD62" s="118"/>
      <c r="AE62" s="118"/>
      <c r="AF62" s="118"/>
      <c r="AG62" s="118"/>
    </row>
    <row r="63" spans="3:33" s="259" customFormat="1" ht="14">
      <c r="AC63" s="118"/>
      <c r="AD63" s="118"/>
      <c r="AE63" s="118"/>
      <c r="AF63" s="118"/>
      <c r="AG63" s="118"/>
    </row>
    <row r="64" spans="3:33">
      <c r="T64" s="141"/>
    </row>
    <row r="65" spans="20:20">
      <c r="T65" s="141"/>
    </row>
    <row r="66" spans="20:20">
      <c r="T66" s="141"/>
    </row>
    <row r="67" spans="20:20">
      <c r="T67" s="141"/>
    </row>
    <row r="68" spans="20:20">
      <c r="T68" s="141"/>
    </row>
    <row r="69" spans="20:20">
      <c r="T69" s="141"/>
    </row>
    <row r="70" spans="20:20">
      <c r="T70" s="141"/>
    </row>
  </sheetData>
  <mergeCells count="4">
    <mergeCell ref="D6:U6"/>
    <mergeCell ref="W6:AN6"/>
    <mergeCell ref="AP6:BG6"/>
    <mergeCell ref="C2:J2"/>
  </mergeCells>
  <printOptions horizontalCentered="1" verticalCentered="1"/>
  <pageMargins left="0.25" right="0.25" top="0.75" bottom="0.75" header="0.3" footer="0.3"/>
  <pageSetup paperSize="256" scale="59" fitToWidth="3" orientation="landscape"/>
  <headerFooter alignWithMargins="0">
    <oddHeader>&amp;L&amp;G</oddHeader>
  </headerFooter>
  <colBreaks count="2" manualBreakCount="2">
    <brk id="21" min="1" max="55" man="1"/>
    <brk id="41" min="1" max="55" man="1"/>
  </colBreaks>
  <ignoredErrors>
    <ignoredError sqref="U34:U36 T13 AH39:AN39 T17:T18 T26:T27 T29:T30 AN40 AN34:AN36 AH37 AJ37:AN37 D29:J30 D26:J27 D17:J18 D13:J13 W29:AC30 W26:AC27 W17:AC18 W13:AC13 W37:AC39 AI38:AN38 AI27:AM27 AI30:AM30 AH29:AM29 AH26:AM26 AH17:AM18 AH13:AM13 AD13:AG13 AO13:BE13 AN19:BE24 AD17:AG18 AN17:BE18 AD26:AG26 AO26:BE26 AD29:AG29 AO29:BE29 AD30:AH30 AO30:BE30 AD27:AH27 AO27:BE27 AO14:BE16 AO25:BE25 AO28:BE28 AO31:BE32 O29:S30 O26:S27 O17:S18 O13:S13 K13:N13 K17:N18 K26:N27 K29:N30" formulaRange="1"/>
    <ignoredError sqref="BD6:BG6 O6:P6 R6:V6 AZ6:BB6 E6:J6 AO6:AU6" numberStoredAsText="1"/>
    <ignoredError sqref="U13:U33 AN33 AN25:AN32 AN13:AN16" formula="1" formulaRange="1"/>
  </ignoredErrors>
  <drawing r:id="rId1"/>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280"/>
  <sheetViews>
    <sheetView showGridLines="0" zoomScaleNormal="100" workbookViewId="0">
      <selection activeCell="A2" sqref="A2"/>
    </sheetView>
  </sheetViews>
  <sheetFormatPr baseColWidth="10" defaultColWidth="9.1640625" defaultRowHeight="13"/>
  <cols>
    <col min="1" max="1" width="28.6640625" style="290" customWidth="1"/>
    <col min="2" max="2" width="45.6640625" style="290" customWidth="1"/>
    <col min="3" max="3" width="45.6640625" style="308" customWidth="1"/>
    <col min="4" max="4" width="28.6640625" style="308" customWidth="1"/>
    <col min="5" max="5" width="9.1640625" style="293" customWidth="1"/>
    <col min="6" max="7" width="9.1640625" style="290" customWidth="1"/>
    <col min="8" max="8" width="54.5" style="290" customWidth="1"/>
    <col min="9" max="11" width="9.1640625" style="290" customWidth="1"/>
    <col min="12" max="16384" width="9.1640625" style="291"/>
  </cols>
  <sheetData>
    <row r="1" spans="1:11">
      <c r="C1" s="305"/>
      <c r="D1" s="305"/>
      <c r="F1" s="292"/>
      <c r="G1" s="291"/>
      <c r="H1" s="291"/>
      <c r="I1" s="291"/>
      <c r="J1" s="291"/>
      <c r="K1" s="291"/>
    </row>
    <row r="2" spans="1:11">
      <c r="C2" s="305"/>
      <c r="D2" s="305"/>
      <c r="F2" s="294"/>
      <c r="G2" s="291"/>
      <c r="H2" s="291"/>
      <c r="I2" s="291"/>
      <c r="J2" s="291"/>
      <c r="K2" s="291"/>
    </row>
    <row r="3" spans="1:11">
      <c r="C3" s="305"/>
      <c r="D3" s="305"/>
      <c r="F3" s="292"/>
      <c r="G3" s="291"/>
      <c r="H3" s="291"/>
      <c r="I3" s="291"/>
      <c r="J3" s="291"/>
      <c r="K3" s="291"/>
    </row>
    <row r="4" spans="1:11">
      <c r="C4" s="306"/>
      <c r="D4" s="307" t="s">
        <v>105</v>
      </c>
      <c r="F4" s="294"/>
      <c r="G4" s="291"/>
      <c r="H4" s="291"/>
      <c r="I4" s="291"/>
      <c r="J4" s="291"/>
      <c r="K4" s="291"/>
    </row>
    <row r="5" spans="1:11" s="290" customFormat="1" ht="15" customHeight="1">
      <c r="A5" s="295"/>
      <c r="C5" s="308"/>
      <c r="D5" s="308"/>
      <c r="E5" s="293"/>
    </row>
    <row r="6" spans="1:11" s="290" customFormat="1" ht="15" customHeight="1">
      <c r="A6" s="296" t="s">
        <v>62</v>
      </c>
      <c r="C6" s="308"/>
      <c r="D6" s="309" t="s">
        <v>63</v>
      </c>
      <c r="E6" s="293"/>
    </row>
    <row r="7" spans="1:11" s="290" customFormat="1" ht="15" customHeight="1">
      <c r="A7" s="299" t="s">
        <v>24</v>
      </c>
      <c r="B7" s="330" t="s">
        <v>64</v>
      </c>
      <c r="C7" s="331" t="s">
        <v>65</v>
      </c>
      <c r="D7" s="301" t="s">
        <v>25</v>
      </c>
      <c r="E7" s="293"/>
    </row>
    <row r="8" spans="1:11" s="290" customFormat="1" ht="15" customHeight="1">
      <c r="A8" s="300" t="s">
        <v>26</v>
      </c>
      <c r="B8" s="332" t="s">
        <v>27</v>
      </c>
      <c r="C8" s="333" t="s">
        <v>28</v>
      </c>
      <c r="D8" s="302" t="s">
        <v>29</v>
      </c>
      <c r="E8" s="293"/>
    </row>
    <row r="9" spans="1:11" s="290" customFormat="1" ht="15" customHeight="1">
      <c r="A9" s="300" t="s">
        <v>30</v>
      </c>
      <c r="B9" s="332" t="s">
        <v>31</v>
      </c>
      <c r="C9" s="333" t="s">
        <v>32</v>
      </c>
      <c r="D9" s="302" t="s">
        <v>33</v>
      </c>
      <c r="E9" s="293"/>
    </row>
    <row r="10" spans="1:11" s="290" customFormat="1" ht="15" customHeight="1">
      <c r="A10" s="300" t="s">
        <v>34</v>
      </c>
      <c r="B10" s="332" t="s">
        <v>35</v>
      </c>
      <c r="C10" s="333" t="s">
        <v>36</v>
      </c>
      <c r="D10" s="302" t="s">
        <v>37</v>
      </c>
      <c r="E10" s="293"/>
    </row>
    <row r="11" spans="1:11" s="290" customFormat="1" ht="15" customHeight="1">
      <c r="A11" s="300" t="s">
        <v>38</v>
      </c>
      <c r="B11" s="334" t="s">
        <v>168</v>
      </c>
      <c r="C11" s="337" t="str">
        <f>B11</f>
        <v>[2010 : 2018-09]</v>
      </c>
      <c r="D11" s="302" t="s">
        <v>39</v>
      </c>
      <c r="E11" s="293"/>
    </row>
    <row r="12" spans="1:11" s="290" customFormat="1" ht="15" customHeight="1">
      <c r="A12" s="300" t="s">
        <v>40</v>
      </c>
      <c r="B12" s="332" t="s">
        <v>41</v>
      </c>
      <c r="C12" s="333" t="s">
        <v>42</v>
      </c>
      <c r="D12" s="302" t="s">
        <v>43</v>
      </c>
      <c r="E12" s="293"/>
    </row>
    <row r="13" spans="1:11" s="290" customFormat="1" ht="15" customHeight="1">
      <c r="A13" s="300" t="s">
        <v>44</v>
      </c>
      <c r="B13" s="332" t="s">
        <v>45</v>
      </c>
      <c r="C13" s="333" t="s">
        <v>57</v>
      </c>
      <c r="D13" s="302" t="s">
        <v>46</v>
      </c>
      <c r="E13" s="293"/>
    </row>
    <row r="14" spans="1:11" s="290" customFormat="1">
      <c r="A14" s="300" t="s">
        <v>47</v>
      </c>
      <c r="B14" s="332" t="s">
        <v>58</v>
      </c>
      <c r="C14" s="333" t="s">
        <v>59</v>
      </c>
      <c r="D14" s="302" t="s">
        <v>48</v>
      </c>
      <c r="E14" s="293"/>
    </row>
    <row r="15" spans="1:11" s="290" customFormat="1" ht="15" customHeight="1">
      <c r="A15" s="300" t="s">
        <v>49</v>
      </c>
      <c r="B15" s="355" t="s">
        <v>169</v>
      </c>
      <c r="C15" s="385" t="s">
        <v>170</v>
      </c>
      <c r="D15" s="302" t="s">
        <v>50</v>
      </c>
      <c r="E15" s="293"/>
    </row>
    <row r="16" spans="1:11" s="290" customFormat="1" ht="15" customHeight="1">
      <c r="A16" s="300" t="s">
        <v>51</v>
      </c>
      <c r="B16" s="336">
        <v>41936</v>
      </c>
      <c r="C16" s="337">
        <f>B16</f>
        <v>41936</v>
      </c>
      <c r="D16" s="302" t="s">
        <v>52</v>
      </c>
      <c r="E16" s="293"/>
    </row>
    <row r="17" spans="1:6" s="290" customFormat="1" ht="15" customHeight="1">
      <c r="A17" s="300" t="s">
        <v>53</v>
      </c>
      <c r="B17" s="336">
        <v>41968</v>
      </c>
      <c r="C17" s="337">
        <f>B17</f>
        <v>41968</v>
      </c>
      <c r="D17" s="302" t="s">
        <v>54</v>
      </c>
      <c r="E17" s="293"/>
    </row>
    <row r="18" spans="1:6" s="290" customFormat="1" ht="15" customHeight="1">
      <c r="A18" s="297" t="s">
        <v>55</v>
      </c>
      <c r="B18" s="338"/>
      <c r="C18" s="339"/>
      <c r="D18" s="298" t="s">
        <v>56</v>
      </c>
      <c r="E18" s="293"/>
    </row>
    <row r="19" spans="1:6" s="290" customFormat="1" ht="60" customHeight="1">
      <c r="A19" s="411" t="s">
        <v>113</v>
      </c>
      <c r="B19" s="412"/>
      <c r="C19" s="405" t="s">
        <v>154</v>
      </c>
      <c r="D19" s="405"/>
      <c r="E19" s="293"/>
      <c r="F19" s="303"/>
    </row>
    <row r="20" spans="1:6" s="290" customFormat="1" ht="27.75" customHeight="1">
      <c r="A20" s="407" t="s">
        <v>85</v>
      </c>
      <c r="B20" s="408"/>
      <c r="C20" s="409" t="s">
        <v>86</v>
      </c>
      <c r="D20" s="410"/>
      <c r="E20" s="293"/>
      <c r="F20" s="303"/>
    </row>
    <row r="21" spans="1:6" s="290" customFormat="1" ht="27.75" customHeight="1">
      <c r="A21" s="407" t="s">
        <v>161</v>
      </c>
      <c r="B21" s="408"/>
      <c r="C21" s="409" t="s">
        <v>163</v>
      </c>
      <c r="D21" s="410"/>
      <c r="E21" s="293"/>
      <c r="F21" s="303"/>
    </row>
    <row r="22" spans="1:6" s="290" customFormat="1" ht="12.75" customHeight="1">
      <c r="A22" s="413"/>
      <c r="B22" s="414"/>
      <c r="C22" s="415"/>
      <c r="D22" s="416"/>
      <c r="E22" s="293"/>
      <c r="F22" s="291"/>
    </row>
    <row r="23" spans="1:6" s="290" customFormat="1" ht="15" customHeight="1">
      <c r="A23" s="295"/>
      <c r="C23" s="308"/>
      <c r="D23" s="308"/>
      <c r="E23" s="293"/>
    </row>
    <row r="24" spans="1:6" s="290" customFormat="1" ht="15" customHeight="1">
      <c r="A24" s="295"/>
      <c r="C24" s="308"/>
      <c r="D24" s="308"/>
      <c r="E24" s="293"/>
    </row>
    <row r="25" spans="1:6" s="290" customFormat="1" ht="15" customHeight="1">
      <c r="A25" s="296" t="s">
        <v>66</v>
      </c>
      <c r="C25" s="308"/>
      <c r="D25" s="309" t="s">
        <v>67</v>
      </c>
      <c r="E25" s="293"/>
    </row>
    <row r="26" spans="1:6" s="290" customFormat="1" ht="15" customHeight="1">
      <c r="A26" s="299" t="s">
        <v>24</v>
      </c>
      <c r="B26" s="330" t="s">
        <v>68</v>
      </c>
      <c r="C26" s="331" t="s">
        <v>69</v>
      </c>
      <c r="D26" s="301" t="s">
        <v>25</v>
      </c>
      <c r="E26" s="293"/>
    </row>
    <row r="27" spans="1:6" s="290" customFormat="1" ht="15" customHeight="1">
      <c r="A27" s="300" t="s">
        <v>26</v>
      </c>
      <c r="B27" s="332" t="s">
        <v>27</v>
      </c>
      <c r="C27" s="333" t="s">
        <v>28</v>
      </c>
      <c r="D27" s="302" t="s">
        <v>29</v>
      </c>
      <c r="E27" s="293"/>
    </row>
    <row r="28" spans="1:6" s="290" customFormat="1" ht="15" customHeight="1">
      <c r="A28" s="300" t="s">
        <v>30</v>
      </c>
      <c r="B28" s="332" t="s">
        <v>31</v>
      </c>
      <c r="C28" s="333" t="s">
        <v>32</v>
      </c>
      <c r="D28" s="302" t="s">
        <v>33</v>
      </c>
      <c r="E28" s="293"/>
    </row>
    <row r="29" spans="1:6" s="290" customFormat="1" ht="15" customHeight="1">
      <c r="A29" s="300" t="s">
        <v>34</v>
      </c>
      <c r="B29" s="332" t="s">
        <v>35</v>
      </c>
      <c r="C29" s="333" t="s">
        <v>36</v>
      </c>
      <c r="D29" s="302" t="s">
        <v>37</v>
      </c>
      <c r="E29" s="293"/>
    </row>
    <row r="30" spans="1:6" s="290" customFormat="1" ht="15" customHeight="1">
      <c r="A30" s="300" t="s">
        <v>38</v>
      </c>
      <c r="B30" s="334" t="str">
        <f>B11</f>
        <v>[2010 : 2018-09]</v>
      </c>
      <c r="C30" s="337" t="str">
        <f>B30</f>
        <v>[2010 : 2018-09]</v>
      </c>
      <c r="D30" s="302" t="s">
        <v>39</v>
      </c>
      <c r="E30" s="293"/>
    </row>
    <row r="31" spans="1:6" s="290" customFormat="1" ht="15" customHeight="1">
      <c r="A31" s="300" t="s">
        <v>40</v>
      </c>
      <c r="B31" s="332" t="s">
        <v>41</v>
      </c>
      <c r="C31" s="333" t="s">
        <v>42</v>
      </c>
      <c r="D31" s="302" t="s">
        <v>43</v>
      </c>
      <c r="E31" s="293"/>
    </row>
    <row r="32" spans="1:6" s="290" customFormat="1" ht="15" customHeight="1">
      <c r="A32" s="300" t="s">
        <v>44</v>
      </c>
      <c r="B32" s="332" t="s">
        <v>45</v>
      </c>
      <c r="C32" s="333" t="s">
        <v>57</v>
      </c>
      <c r="D32" s="302" t="s">
        <v>46</v>
      </c>
      <c r="E32" s="293"/>
    </row>
    <row r="33" spans="1:12" s="290" customFormat="1" ht="31.5" customHeight="1">
      <c r="A33" s="300" t="s">
        <v>47</v>
      </c>
      <c r="B33" s="340" t="s">
        <v>184</v>
      </c>
      <c r="C33" s="341" t="s">
        <v>183</v>
      </c>
      <c r="D33" s="302" t="s">
        <v>48</v>
      </c>
      <c r="E33" s="293"/>
      <c r="F33" s="303"/>
    </row>
    <row r="34" spans="1:12" s="290" customFormat="1" ht="15" customHeight="1">
      <c r="A34" s="300" t="s">
        <v>49</v>
      </c>
      <c r="B34" s="355" t="str">
        <f>+B15</f>
        <v>set-17</v>
      </c>
      <c r="C34" s="353" t="str">
        <f>+C15</f>
        <v>Sep-17</v>
      </c>
      <c r="D34" s="302" t="s">
        <v>50</v>
      </c>
      <c r="E34" s="293"/>
    </row>
    <row r="35" spans="1:12" s="290" customFormat="1" ht="15" customHeight="1">
      <c r="A35" s="300" t="s">
        <v>51</v>
      </c>
      <c r="B35" s="336">
        <f>+B16</f>
        <v>41936</v>
      </c>
      <c r="C35" s="337">
        <f>B35</f>
        <v>41936</v>
      </c>
      <c r="D35" s="302" t="s">
        <v>52</v>
      </c>
      <c r="E35" s="293"/>
    </row>
    <row r="36" spans="1:12" s="290" customFormat="1" ht="15" customHeight="1">
      <c r="A36" s="300" t="s">
        <v>53</v>
      </c>
      <c r="B36" s="336">
        <f>+B17</f>
        <v>41968</v>
      </c>
      <c r="C36" s="337">
        <f>B36</f>
        <v>41968</v>
      </c>
      <c r="D36" s="302" t="s">
        <v>54</v>
      </c>
      <c r="E36" s="293"/>
      <c r="F36" s="303"/>
    </row>
    <row r="37" spans="1:12" s="290" customFormat="1" ht="15" customHeight="1">
      <c r="A37" s="297" t="s">
        <v>55</v>
      </c>
      <c r="B37" s="338"/>
      <c r="C37" s="339"/>
      <c r="D37" s="298" t="s">
        <v>56</v>
      </c>
      <c r="E37" s="293"/>
    </row>
    <row r="38" spans="1:12" s="290" customFormat="1" ht="48.75" customHeight="1">
      <c r="A38" s="411" t="s">
        <v>113</v>
      </c>
      <c r="B38" s="412"/>
      <c r="C38" s="421" t="s">
        <v>114</v>
      </c>
      <c r="D38" s="422"/>
      <c r="E38" s="293"/>
      <c r="F38" s="303"/>
    </row>
    <row r="39" spans="1:12" s="290" customFormat="1" ht="65.25" customHeight="1">
      <c r="A39" s="402" t="s">
        <v>150</v>
      </c>
      <c r="B39" s="402"/>
      <c r="C39" s="401" t="s">
        <v>151</v>
      </c>
      <c r="D39" s="401"/>
      <c r="E39" s="293"/>
      <c r="F39" s="303"/>
      <c r="H39" s="357"/>
      <c r="I39" s="357"/>
    </row>
    <row r="40" spans="1:12" s="290" customFormat="1" ht="64.5" customHeight="1">
      <c r="A40" s="402" t="s">
        <v>152</v>
      </c>
      <c r="B40" s="402"/>
      <c r="C40" s="401" t="s">
        <v>153</v>
      </c>
      <c r="D40" s="401"/>
      <c r="E40" s="417"/>
      <c r="F40" s="418"/>
      <c r="G40" s="418"/>
      <c r="H40" s="418"/>
      <c r="I40" s="418"/>
      <c r="J40" s="418"/>
      <c r="K40" s="418"/>
      <c r="L40" s="418"/>
    </row>
    <row r="41" spans="1:12" s="290" customFormat="1" ht="30" customHeight="1">
      <c r="A41" s="407" t="s">
        <v>85</v>
      </c>
      <c r="B41" s="408"/>
      <c r="C41" s="409" t="s">
        <v>86</v>
      </c>
      <c r="D41" s="410"/>
      <c r="E41" s="293"/>
      <c r="F41" s="303"/>
    </row>
    <row r="42" spans="1:12" s="290" customFormat="1" ht="50.25" customHeight="1">
      <c r="A42" s="407" t="s">
        <v>161</v>
      </c>
      <c r="B42" s="408"/>
      <c r="C42" s="409" t="s">
        <v>162</v>
      </c>
      <c r="D42" s="410"/>
      <c r="E42" s="293"/>
      <c r="F42" s="303"/>
    </row>
    <row r="43" spans="1:12" s="290" customFormat="1" ht="24" customHeight="1">
      <c r="A43" s="402" t="s">
        <v>107</v>
      </c>
      <c r="B43" s="402"/>
      <c r="C43" s="401" t="s">
        <v>108</v>
      </c>
      <c r="D43" s="401"/>
      <c r="E43" s="293"/>
      <c r="F43" s="291"/>
    </row>
    <row r="44" spans="1:12" s="295" customFormat="1" ht="27" customHeight="1">
      <c r="A44" s="419" t="s">
        <v>116</v>
      </c>
      <c r="B44" s="419"/>
      <c r="C44" s="420" t="s">
        <v>106</v>
      </c>
      <c r="D44" s="420"/>
      <c r="E44" s="311"/>
      <c r="F44" s="296"/>
    </row>
    <row r="45" spans="1:12" s="290" customFormat="1" ht="19.5" customHeight="1">
      <c r="A45" s="419">
        <v>2017</v>
      </c>
      <c r="B45" s="419"/>
      <c r="C45" s="420">
        <f>A45</f>
        <v>2017</v>
      </c>
      <c r="D45" s="420"/>
      <c r="E45" s="293"/>
      <c r="F45" s="291"/>
    </row>
    <row r="46" spans="1:12" s="290" customFormat="1" ht="40.5" customHeight="1">
      <c r="A46" s="402" t="s">
        <v>166</v>
      </c>
      <c r="B46" s="402"/>
      <c r="C46" s="401" t="str">
        <f>+A46</f>
        <v>Es Tech Ventures, SGPS, S.A.; Fundação Carlos Lloyd Braga; Praça do Marquês - Serviços Auxiliares,S.A.; Quinta dos Cónegos - Sociedade Imobiliária,S.A.; Righthour, S.A..</v>
      </c>
      <c r="D46" s="401"/>
      <c r="E46" s="293"/>
      <c r="F46" s="291"/>
    </row>
    <row r="47" spans="1:12" s="290" customFormat="1" ht="24" customHeight="1">
      <c r="A47" s="419">
        <v>2018</v>
      </c>
      <c r="B47" s="419"/>
      <c r="C47" s="420">
        <f>A47</f>
        <v>2018</v>
      </c>
      <c r="D47" s="420"/>
      <c r="E47" s="293"/>
      <c r="F47" s="291"/>
    </row>
    <row r="48" spans="1:12" s="290" customFormat="1" ht="84.75" customHeight="1">
      <c r="A48" s="407" t="s">
        <v>185</v>
      </c>
      <c r="B48" s="408"/>
      <c r="C48" s="401" t="str">
        <f>A48</f>
        <v>AVEIROPOLIS - Sociedade para o Desenvolvimento do Programa Polis em Aveiro, S.A.; ECODETRA - Sociedade de Tratamento e Deposição de Resíduos, S.A.; Es Tech Ventures, SGPS, S.A.; Fundação Carlos Lloyd Braga; Fundação Escola Portuguesa de Macau; GNB Concessões, SGPS, S.A.; IMAR - Instituto do Mar; Instituto de Proteção e Assistência na Doença, I.P.; Mobi.E, S.A.; Praça do Marquês - Serviços Auxiliares,S.A.; Quinta dos Cónegos - Sociedade Imobiliária,S.A.; Righthour, S.A.; UL - Faculdade de Motricidade Humana.</v>
      </c>
      <c r="D48" s="401"/>
      <c r="E48" s="312"/>
      <c r="F48" s="291"/>
    </row>
    <row r="49" spans="1:6" s="290" customFormat="1" ht="15" customHeight="1">
      <c r="A49" s="404"/>
      <c r="B49" s="404"/>
      <c r="C49" s="406"/>
      <c r="D49" s="406"/>
      <c r="E49" s="312"/>
      <c r="F49" s="291"/>
    </row>
    <row r="50" spans="1:6" s="290" customFormat="1" ht="15" customHeight="1">
      <c r="A50" s="295"/>
      <c r="C50" s="308"/>
      <c r="D50" s="308"/>
      <c r="E50" s="293"/>
    </row>
    <row r="51" spans="1:6" s="290" customFormat="1" ht="15" customHeight="1">
      <c r="A51" s="295"/>
      <c r="C51" s="308"/>
      <c r="D51" s="308"/>
      <c r="E51" s="293"/>
    </row>
    <row r="52" spans="1:6" s="290" customFormat="1" ht="15" customHeight="1">
      <c r="A52" s="296" t="s">
        <v>70</v>
      </c>
      <c r="C52" s="308"/>
      <c r="D52" s="309" t="s">
        <v>71</v>
      </c>
      <c r="E52" s="293"/>
    </row>
    <row r="53" spans="1:6" s="290" customFormat="1" ht="15" customHeight="1">
      <c r="A53" s="299" t="s">
        <v>24</v>
      </c>
      <c r="B53" s="330" t="s">
        <v>110</v>
      </c>
      <c r="C53" s="331" t="s">
        <v>111</v>
      </c>
      <c r="D53" s="301" t="s">
        <v>25</v>
      </c>
      <c r="E53" s="293"/>
    </row>
    <row r="54" spans="1:6" s="290" customFormat="1" ht="15" customHeight="1">
      <c r="A54" s="300" t="s">
        <v>26</v>
      </c>
      <c r="B54" s="332" t="s">
        <v>27</v>
      </c>
      <c r="C54" s="333" t="s">
        <v>28</v>
      </c>
      <c r="D54" s="302" t="s">
        <v>29</v>
      </c>
      <c r="E54" s="293"/>
    </row>
    <row r="55" spans="1:6" s="290" customFormat="1" ht="15" customHeight="1">
      <c r="A55" s="300" t="s">
        <v>30</v>
      </c>
      <c r="B55" s="332" t="s">
        <v>31</v>
      </c>
      <c r="C55" s="333" t="s">
        <v>32</v>
      </c>
      <c r="D55" s="302" t="s">
        <v>33</v>
      </c>
      <c r="E55" s="293"/>
    </row>
    <row r="56" spans="1:6" s="290" customFormat="1" ht="15" customHeight="1">
      <c r="A56" s="300" t="s">
        <v>34</v>
      </c>
      <c r="B56" s="332" t="s">
        <v>35</v>
      </c>
      <c r="C56" s="333" t="s">
        <v>36</v>
      </c>
      <c r="D56" s="302" t="s">
        <v>37</v>
      </c>
      <c r="E56" s="293"/>
    </row>
    <row r="57" spans="1:6" s="290" customFormat="1" ht="15" customHeight="1">
      <c r="A57" s="300" t="s">
        <v>38</v>
      </c>
      <c r="B57" s="334" t="str">
        <f>B30</f>
        <v>[2010 : 2018-09]</v>
      </c>
      <c r="C57" s="337" t="str">
        <f>B57</f>
        <v>[2010 : 2018-09]</v>
      </c>
      <c r="D57" s="302" t="s">
        <v>39</v>
      </c>
      <c r="E57" s="293"/>
    </row>
    <row r="58" spans="1:6" s="290" customFormat="1" ht="15" customHeight="1">
      <c r="A58" s="300" t="s">
        <v>40</v>
      </c>
      <c r="B58" s="332" t="s">
        <v>41</v>
      </c>
      <c r="C58" s="333" t="s">
        <v>42</v>
      </c>
      <c r="D58" s="302" t="s">
        <v>43</v>
      </c>
      <c r="E58" s="293"/>
    </row>
    <row r="59" spans="1:6" s="290" customFormat="1" ht="15" customHeight="1">
      <c r="A59" s="300" t="s">
        <v>44</v>
      </c>
      <c r="B59" s="332" t="s">
        <v>45</v>
      </c>
      <c r="C59" s="333" t="s">
        <v>57</v>
      </c>
      <c r="D59" s="302" t="s">
        <v>46</v>
      </c>
      <c r="E59" s="293"/>
    </row>
    <row r="60" spans="1:6" s="290" customFormat="1" ht="27.75" customHeight="1">
      <c r="A60" s="300" t="s">
        <v>47</v>
      </c>
      <c r="B60" s="340" t="s">
        <v>187</v>
      </c>
      <c r="C60" s="341" t="s">
        <v>186</v>
      </c>
      <c r="D60" s="302" t="s">
        <v>48</v>
      </c>
      <c r="E60" s="293"/>
    </row>
    <row r="61" spans="1:6" s="290" customFormat="1" ht="15" customHeight="1">
      <c r="A61" s="300" t="s">
        <v>49</v>
      </c>
      <c r="B61" s="355" t="str">
        <f>+B15</f>
        <v>set-17</v>
      </c>
      <c r="C61" s="353" t="str">
        <f>+C15</f>
        <v>Sep-17</v>
      </c>
      <c r="D61" s="302" t="s">
        <v>50</v>
      </c>
      <c r="E61" s="293"/>
    </row>
    <row r="62" spans="1:6" s="290" customFormat="1" ht="15" customHeight="1">
      <c r="A62" s="300" t="s">
        <v>51</v>
      </c>
      <c r="B62" s="336">
        <f>+B35</f>
        <v>41936</v>
      </c>
      <c r="C62" s="337">
        <f>B62</f>
        <v>41936</v>
      </c>
      <c r="D62" s="302" t="s">
        <v>52</v>
      </c>
      <c r="E62" s="293"/>
    </row>
    <row r="63" spans="1:6" s="290" customFormat="1" ht="15" customHeight="1">
      <c r="A63" s="300" t="s">
        <v>53</v>
      </c>
      <c r="B63" s="336">
        <f>+B36</f>
        <v>41968</v>
      </c>
      <c r="C63" s="337">
        <f>B63</f>
        <v>41968</v>
      </c>
      <c r="D63" s="302" t="s">
        <v>54</v>
      </c>
      <c r="E63" s="293"/>
    </row>
    <row r="64" spans="1:6" s="290" customFormat="1" ht="15" customHeight="1">
      <c r="A64" s="297" t="s">
        <v>55</v>
      </c>
      <c r="B64" s="338"/>
      <c r="C64" s="339"/>
      <c r="D64" s="298" t="s">
        <v>56</v>
      </c>
      <c r="E64" s="293"/>
    </row>
    <row r="65" spans="1:12" s="290" customFormat="1" ht="47.5" customHeight="1">
      <c r="A65" s="411" t="s">
        <v>113</v>
      </c>
      <c r="B65" s="412"/>
      <c r="C65" s="421" t="s">
        <v>114</v>
      </c>
      <c r="D65" s="422"/>
      <c r="E65" s="293"/>
      <c r="F65" s="303"/>
    </row>
    <row r="66" spans="1:12" s="290" customFormat="1" ht="73.5" customHeight="1">
      <c r="A66" s="402" t="s">
        <v>150</v>
      </c>
      <c r="B66" s="402"/>
      <c r="C66" s="401" t="s">
        <v>151</v>
      </c>
      <c r="D66" s="401"/>
      <c r="E66" s="293"/>
      <c r="F66" s="303"/>
      <c r="H66" s="357"/>
      <c r="I66" s="357"/>
    </row>
    <row r="67" spans="1:12" s="290" customFormat="1" ht="64.5" customHeight="1">
      <c r="A67" s="402" t="s">
        <v>152</v>
      </c>
      <c r="B67" s="402"/>
      <c r="C67" s="401" t="s">
        <v>153</v>
      </c>
      <c r="D67" s="401"/>
      <c r="E67" s="417"/>
      <c r="F67" s="418"/>
      <c r="G67" s="418"/>
      <c r="H67" s="418"/>
      <c r="I67" s="418"/>
      <c r="J67" s="418"/>
      <c r="K67" s="418"/>
      <c r="L67" s="418"/>
    </row>
    <row r="68" spans="1:12" s="290" customFormat="1" ht="32.25" customHeight="1">
      <c r="A68" s="402" t="s">
        <v>129</v>
      </c>
      <c r="B68" s="402"/>
      <c r="C68" s="401" t="s">
        <v>130</v>
      </c>
      <c r="D68" s="401"/>
      <c r="E68" s="293"/>
    </row>
    <row r="69" spans="1:12" s="290" customFormat="1" ht="25" customHeight="1">
      <c r="A69" s="407" t="s">
        <v>85</v>
      </c>
      <c r="B69" s="408"/>
      <c r="C69" s="409" t="s">
        <v>86</v>
      </c>
      <c r="D69" s="410"/>
      <c r="E69" s="293"/>
      <c r="F69" s="303"/>
    </row>
    <row r="70" spans="1:12" s="290" customFormat="1" ht="27" customHeight="1">
      <c r="A70" s="407" t="s">
        <v>161</v>
      </c>
      <c r="B70" s="408"/>
      <c r="C70" s="409" t="s">
        <v>163</v>
      </c>
      <c r="D70" s="410"/>
      <c r="E70" s="293"/>
      <c r="F70" s="303"/>
    </row>
    <row r="71" spans="1:12" s="295" customFormat="1" ht="27" customHeight="1">
      <c r="A71" s="419" t="s">
        <v>116</v>
      </c>
      <c r="B71" s="419"/>
      <c r="C71" s="420" t="s">
        <v>106</v>
      </c>
      <c r="D71" s="420"/>
      <c r="E71" s="311"/>
      <c r="F71" s="296"/>
    </row>
    <row r="72" spans="1:12" s="290" customFormat="1" ht="19.5" customHeight="1">
      <c r="A72" s="419">
        <v>2017</v>
      </c>
      <c r="B72" s="419"/>
      <c r="C72" s="423">
        <f>A72</f>
        <v>2017</v>
      </c>
      <c r="D72" s="424"/>
      <c r="E72" s="293"/>
      <c r="F72" s="291"/>
    </row>
    <row r="73" spans="1:12" s="290" customFormat="1" ht="36" customHeight="1">
      <c r="A73" s="402" t="s">
        <v>166</v>
      </c>
      <c r="B73" s="402"/>
      <c r="C73" s="409" t="str">
        <f>A73</f>
        <v>Es Tech Ventures, SGPS, S.A.; Fundação Carlos Lloyd Braga; Praça do Marquês - Serviços Auxiliares,S.A.; Quinta dos Cónegos - Sociedade Imobiliária,S.A.; Righthour, S.A..</v>
      </c>
      <c r="D73" s="410"/>
      <c r="E73" s="293"/>
      <c r="F73" s="291"/>
    </row>
    <row r="74" spans="1:12" s="290" customFormat="1" ht="19.5" customHeight="1">
      <c r="A74" s="419">
        <v>2018</v>
      </c>
      <c r="B74" s="419"/>
      <c r="C74" s="420">
        <f>A74</f>
        <v>2018</v>
      </c>
      <c r="D74" s="420"/>
      <c r="E74" s="293"/>
      <c r="F74" s="291"/>
    </row>
    <row r="75" spans="1:12" s="290" customFormat="1" ht="81.75" customHeight="1">
      <c r="A75" s="402" t="s">
        <v>188</v>
      </c>
      <c r="B75" s="402"/>
      <c r="C75" s="401" t="str">
        <f>A75</f>
        <v>AVEIROPOLIS - Sociedade para o Desenvolvimento do Programa Polis em Aveiro, S.A.; ECODETRA - Sociedade de Tratamento e Deposição de Resíduos, S.A.; Es Tech Ventures, SGPS, S.A.; Fundação Carlos Lloyd Braga; Fundação Escola Portuguesa de Macau; GNB Concessões, SGPS, S.A.; IMAR - Instituto do Mar; Mobi.E, S.A.; Praça do Marquês - Serviços Auxiliares,S.A.; Quinta dos Cónegos - Sociedade Imobiliária,S.A.; Righthour, S.A..</v>
      </c>
      <c r="D75" s="401"/>
      <c r="E75" s="312"/>
      <c r="F75" s="291"/>
    </row>
    <row r="76" spans="1:12" s="290" customFormat="1" ht="14.25" customHeight="1">
      <c r="A76" s="404"/>
      <c r="B76" s="404"/>
      <c r="C76" s="406"/>
      <c r="D76" s="406"/>
      <c r="E76" s="312"/>
      <c r="F76" s="291"/>
    </row>
    <row r="77" spans="1:12" s="290" customFormat="1" ht="15" customHeight="1">
      <c r="A77" s="295"/>
      <c r="C77" s="308"/>
      <c r="D77" s="308"/>
      <c r="E77" s="293"/>
    </row>
    <row r="78" spans="1:12" s="290" customFormat="1" ht="15" customHeight="1">
      <c r="A78" s="295"/>
      <c r="C78" s="308"/>
      <c r="D78" s="308"/>
      <c r="E78" s="293"/>
    </row>
    <row r="79" spans="1:12" ht="15" customHeight="1">
      <c r="A79" s="296" t="s">
        <v>72</v>
      </c>
      <c r="D79" s="309" t="s">
        <v>73</v>
      </c>
      <c r="F79" s="291"/>
      <c r="G79" s="291"/>
      <c r="H79" s="291"/>
      <c r="I79" s="291"/>
      <c r="J79" s="291"/>
      <c r="K79" s="291"/>
    </row>
    <row r="80" spans="1:12" ht="15" customHeight="1">
      <c r="A80" s="299" t="s">
        <v>24</v>
      </c>
      <c r="B80" s="330" t="s">
        <v>74</v>
      </c>
      <c r="C80" s="331" t="s">
        <v>75</v>
      </c>
      <c r="D80" s="301" t="s">
        <v>25</v>
      </c>
      <c r="F80" s="291"/>
      <c r="G80" s="291"/>
      <c r="H80" s="291"/>
      <c r="I80" s="291"/>
      <c r="J80" s="291"/>
      <c r="K80" s="291"/>
    </row>
    <row r="81" spans="1:11" ht="15" customHeight="1">
      <c r="A81" s="300" t="s">
        <v>26</v>
      </c>
      <c r="B81" s="332" t="s">
        <v>27</v>
      </c>
      <c r="C81" s="333" t="s">
        <v>28</v>
      </c>
      <c r="D81" s="302" t="s">
        <v>29</v>
      </c>
      <c r="F81" s="291"/>
      <c r="G81" s="291"/>
      <c r="H81" s="291"/>
      <c r="I81" s="291"/>
      <c r="J81" s="291"/>
      <c r="K81" s="291"/>
    </row>
    <row r="82" spans="1:11" ht="15" customHeight="1">
      <c r="A82" s="300" t="s">
        <v>30</v>
      </c>
      <c r="B82" s="332" t="s">
        <v>31</v>
      </c>
      <c r="C82" s="333" t="s">
        <v>32</v>
      </c>
      <c r="D82" s="302" t="s">
        <v>33</v>
      </c>
      <c r="F82" s="291"/>
      <c r="G82" s="291"/>
      <c r="H82" s="291"/>
      <c r="I82" s="291"/>
      <c r="J82" s="291"/>
      <c r="K82" s="291"/>
    </row>
    <row r="83" spans="1:11" ht="15" customHeight="1">
      <c r="A83" s="300" t="s">
        <v>34</v>
      </c>
      <c r="B83" s="332" t="s">
        <v>35</v>
      </c>
      <c r="C83" s="333" t="s">
        <v>36</v>
      </c>
      <c r="D83" s="302" t="s">
        <v>37</v>
      </c>
      <c r="F83" s="291"/>
      <c r="G83" s="291"/>
      <c r="H83" s="291"/>
      <c r="I83" s="291"/>
      <c r="J83" s="291"/>
      <c r="K83" s="291"/>
    </row>
    <row r="84" spans="1:11" ht="15" customHeight="1">
      <c r="A84" s="300" t="s">
        <v>38</v>
      </c>
      <c r="B84" s="334" t="str">
        <f>B57</f>
        <v>[2010 : 2018-09]</v>
      </c>
      <c r="C84" s="337" t="str">
        <f>B84</f>
        <v>[2010 : 2018-09]</v>
      </c>
      <c r="D84" s="302" t="s">
        <v>39</v>
      </c>
      <c r="F84" s="291"/>
      <c r="G84" s="291"/>
      <c r="H84" s="291"/>
      <c r="I84" s="291"/>
      <c r="J84" s="291"/>
      <c r="K84" s="291"/>
    </row>
    <row r="85" spans="1:11" ht="15" customHeight="1">
      <c r="A85" s="300" t="s">
        <v>40</v>
      </c>
      <c r="B85" s="332" t="s">
        <v>41</v>
      </c>
      <c r="C85" s="333" t="s">
        <v>42</v>
      </c>
      <c r="D85" s="302" t="s">
        <v>43</v>
      </c>
      <c r="F85" s="291"/>
      <c r="G85" s="291"/>
      <c r="H85" s="291"/>
      <c r="I85" s="291"/>
      <c r="J85" s="291"/>
      <c r="K85" s="291"/>
    </row>
    <row r="86" spans="1:11" ht="15" customHeight="1">
      <c r="A86" s="300" t="s">
        <v>44</v>
      </c>
      <c r="B86" s="332" t="s">
        <v>45</v>
      </c>
      <c r="C86" s="333" t="s">
        <v>57</v>
      </c>
      <c r="D86" s="302" t="s">
        <v>46</v>
      </c>
      <c r="F86" s="291"/>
      <c r="G86" s="291"/>
      <c r="H86" s="291"/>
      <c r="I86" s="291"/>
      <c r="J86" s="291"/>
      <c r="K86" s="291"/>
    </row>
    <row r="87" spans="1:11" ht="15" customHeight="1">
      <c r="A87" s="300" t="s">
        <v>47</v>
      </c>
      <c r="B87" s="332" t="s">
        <v>58</v>
      </c>
      <c r="C87" s="333" t="s">
        <v>59</v>
      </c>
      <c r="D87" s="302" t="s">
        <v>48</v>
      </c>
      <c r="F87" s="291"/>
      <c r="G87" s="291"/>
      <c r="H87" s="291"/>
      <c r="I87" s="291"/>
      <c r="J87" s="291"/>
      <c r="K87" s="291"/>
    </row>
    <row r="88" spans="1:11" ht="15" customHeight="1">
      <c r="A88" s="300" t="s">
        <v>49</v>
      </c>
      <c r="B88" s="355" t="str">
        <f t="shared" ref="B88:C90" si="0">+B15</f>
        <v>set-17</v>
      </c>
      <c r="C88" s="353" t="str">
        <f t="shared" si="0"/>
        <v>Sep-17</v>
      </c>
      <c r="D88" s="302" t="s">
        <v>50</v>
      </c>
      <c r="F88" s="291"/>
      <c r="G88" s="291"/>
      <c r="H88" s="291"/>
      <c r="I88" s="291"/>
      <c r="J88" s="291"/>
      <c r="K88" s="291"/>
    </row>
    <row r="89" spans="1:11" ht="15" customHeight="1">
      <c r="A89" s="300" t="s">
        <v>51</v>
      </c>
      <c r="B89" s="336">
        <f t="shared" si="0"/>
        <v>41936</v>
      </c>
      <c r="C89" s="337">
        <f t="shared" si="0"/>
        <v>41936</v>
      </c>
      <c r="D89" s="302" t="s">
        <v>52</v>
      </c>
      <c r="F89" s="291"/>
      <c r="G89" s="291"/>
      <c r="H89" s="291"/>
      <c r="I89" s="291"/>
      <c r="J89" s="291"/>
      <c r="K89" s="291"/>
    </row>
    <row r="90" spans="1:11" ht="15" customHeight="1">
      <c r="A90" s="300" t="s">
        <v>53</v>
      </c>
      <c r="B90" s="336">
        <f t="shared" si="0"/>
        <v>41968</v>
      </c>
      <c r="C90" s="337">
        <f t="shared" si="0"/>
        <v>41968</v>
      </c>
      <c r="D90" s="302" t="s">
        <v>54</v>
      </c>
      <c r="F90" s="291"/>
      <c r="G90" s="291"/>
      <c r="H90" s="291"/>
      <c r="I90" s="291"/>
      <c r="J90" s="291"/>
      <c r="K90" s="291"/>
    </row>
    <row r="91" spans="1:11" ht="15" customHeight="1">
      <c r="A91" s="297" t="s">
        <v>55</v>
      </c>
      <c r="B91" s="338"/>
      <c r="C91" s="339"/>
      <c r="D91" s="298" t="s">
        <v>56</v>
      </c>
      <c r="F91" s="291"/>
      <c r="G91" s="291"/>
      <c r="H91" s="291"/>
      <c r="I91" s="291"/>
      <c r="J91" s="291"/>
      <c r="K91" s="291"/>
    </row>
    <row r="92" spans="1:11" ht="47.25" customHeight="1">
      <c r="A92" s="411" t="s">
        <v>113</v>
      </c>
      <c r="B92" s="412"/>
      <c r="C92" s="421" t="s">
        <v>114</v>
      </c>
      <c r="D92" s="422"/>
      <c r="F92" s="303"/>
      <c r="G92" s="291"/>
      <c r="H92" s="291"/>
      <c r="I92" s="291"/>
      <c r="J92" s="291"/>
      <c r="K92" s="291"/>
    </row>
    <row r="93" spans="1:11" s="290" customFormat="1" ht="27" customHeight="1">
      <c r="A93" s="407" t="s">
        <v>157</v>
      </c>
      <c r="B93" s="408"/>
      <c r="C93" s="409" t="s">
        <v>158</v>
      </c>
      <c r="D93" s="410"/>
      <c r="E93" s="293"/>
      <c r="F93" s="303"/>
    </row>
    <row r="94" spans="1:11" ht="9.75" customHeight="1">
      <c r="A94" s="413"/>
      <c r="B94" s="414"/>
      <c r="C94" s="415"/>
      <c r="D94" s="416"/>
      <c r="F94" s="291"/>
      <c r="G94" s="291"/>
      <c r="H94" s="291"/>
      <c r="I94" s="291"/>
      <c r="J94" s="291"/>
      <c r="K94" s="291"/>
    </row>
    <row r="95" spans="1:11" s="290" customFormat="1" ht="15" customHeight="1">
      <c r="A95" s="295"/>
      <c r="C95" s="308"/>
      <c r="D95" s="308"/>
      <c r="E95" s="293"/>
    </row>
    <row r="96" spans="1:11" s="290" customFormat="1" ht="15" customHeight="1">
      <c r="A96" s="295"/>
      <c r="C96" s="308"/>
      <c r="D96" s="308"/>
      <c r="E96" s="293"/>
    </row>
    <row r="97" spans="1:44">
      <c r="A97" s="296" t="s">
        <v>76</v>
      </c>
      <c r="D97" s="309" t="s">
        <v>77</v>
      </c>
      <c r="F97" s="291"/>
      <c r="G97" s="291"/>
      <c r="H97" s="291"/>
      <c r="I97" s="291"/>
      <c r="J97" s="291"/>
      <c r="K97" s="291"/>
    </row>
    <row r="98" spans="1:44" ht="15" customHeight="1">
      <c r="A98" s="299" t="s">
        <v>24</v>
      </c>
      <c r="B98" s="330" t="s">
        <v>78</v>
      </c>
      <c r="C98" s="331" t="s">
        <v>79</v>
      </c>
      <c r="D98" s="301" t="s">
        <v>25</v>
      </c>
      <c r="F98" s="291"/>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row>
    <row r="99" spans="1:44" ht="15" customHeight="1">
      <c r="A99" s="300" t="s">
        <v>26</v>
      </c>
      <c r="B99" s="332" t="s">
        <v>27</v>
      </c>
      <c r="C99" s="333" t="s">
        <v>28</v>
      </c>
      <c r="D99" s="302" t="s">
        <v>29</v>
      </c>
      <c r="F99" s="291"/>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row>
    <row r="100" spans="1:44" ht="15" customHeight="1">
      <c r="A100" s="300" t="s">
        <v>30</v>
      </c>
      <c r="B100" s="332" t="s">
        <v>31</v>
      </c>
      <c r="C100" s="333" t="s">
        <v>32</v>
      </c>
      <c r="D100" s="302" t="s">
        <v>33</v>
      </c>
      <c r="F100" s="291"/>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row>
    <row r="101" spans="1:44" ht="15" customHeight="1">
      <c r="A101" s="300" t="s">
        <v>34</v>
      </c>
      <c r="B101" s="332" t="s">
        <v>35</v>
      </c>
      <c r="C101" s="333" t="s">
        <v>36</v>
      </c>
      <c r="D101" s="302" t="s">
        <v>37</v>
      </c>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row>
    <row r="102" spans="1:44" ht="15" customHeight="1">
      <c r="A102" s="300" t="s">
        <v>38</v>
      </c>
      <c r="B102" s="334" t="s">
        <v>171</v>
      </c>
      <c r="C102" s="335" t="s">
        <v>171</v>
      </c>
      <c r="D102" s="302" t="s">
        <v>39</v>
      </c>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row>
    <row r="103" spans="1:44" ht="15" customHeight="1">
      <c r="A103" s="300" t="s">
        <v>40</v>
      </c>
      <c r="B103" s="332" t="s">
        <v>41</v>
      </c>
      <c r="C103" s="333" t="s">
        <v>42</v>
      </c>
      <c r="D103" s="302" t="s">
        <v>43</v>
      </c>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row>
    <row r="104" spans="1:44" ht="15" customHeight="1">
      <c r="A104" s="300" t="s">
        <v>44</v>
      </c>
      <c r="B104" s="332" t="s">
        <v>60</v>
      </c>
      <c r="C104" s="333" t="s">
        <v>61</v>
      </c>
      <c r="D104" s="302" t="s">
        <v>46</v>
      </c>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row>
    <row r="105" spans="1:44" ht="24">
      <c r="A105" s="300" t="s">
        <v>47</v>
      </c>
      <c r="B105" s="340" t="s">
        <v>172</v>
      </c>
      <c r="C105" s="341" t="s">
        <v>177</v>
      </c>
      <c r="D105" s="302" t="s">
        <v>48</v>
      </c>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row>
    <row r="106" spans="1:44">
      <c r="A106" s="300" t="s">
        <v>49</v>
      </c>
      <c r="B106" s="355" t="s">
        <v>173</v>
      </c>
      <c r="C106" s="353" t="s">
        <v>178</v>
      </c>
      <c r="D106" s="302" t="s">
        <v>50</v>
      </c>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row>
    <row r="107" spans="1:44" ht="15" customHeight="1">
      <c r="A107" s="300" t="s">
        <v>51</v>
      </c>
      <c r="B107" s="336">
        <v>41927</v>
      </c>
      <c r="C107" s="337">
        <v>41927</v>
      </c>
      <c r="D107" s="302" t="s">
        <v>52</v>
      </c>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row>
    <row r="108" spans="1:44" ht="15" customHeight="1">
      <c r="A108" s="300" t="s">
        <v>53</v>
      </c>
      <c r="B108" s="336">
        <v>41961</v>
      </c>
      <c r="C108" s="337">
        <v>41961</v>
      </c>
      <c r="D108" s="302" t="s">
        <v>54</v>
      </c>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row>
    <row r="109" spans="1:44" ht="51.75" customHeight="1">
      <c r="A109" s="297" t="s">
        <v>55</v>
      </c>
      <c r="B109" s="358" t="s">
        <v>131</v>
      </c>
      <c r="C109" s="358" t="s">
        <v>132</v>
      </c>
      <c r="D109" s="298" t="s">
        <v>56</v>
      </c>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row>
    <row r="110" spans="1:44" ht="20" customHeight="1">
      <c r="A110" s="427" t="s">
        <v>136</v>
      </c>
      <c r="B110" s="428"/>
      <c r="C110" s="423" t="s">
        <v>136</v>
      </c>
      <c r="D110" s="424"/>
      <c r="F110" s="303"/>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row>
    <row r="111" spans="1:44">
      <c r="A111" s="407" t="s">
        <v>174</v>
      </c>
      <c r="B111" s="408"/>
      <c r="C111" s="409" t="s">
        <v>179</v>
      </c>
      <c r="D111" s="410"/>
      <c r="F111" s="303"/>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row>
    <row r="112" spans="1:44">
      <c r="A112" s="407" t="s">
        <v>133</v>
      </c>
      <c r="B112" s="408"/>
      <c r="C112" s="409" t="s">
        <v>134</v>
      </c>
      <c r="D112" s="410"/>
      <c r="F112" s="303"/>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row>
    <row r="113" spans="1:44">
      <c r="A113" s="407"/>
      <c r="B113" s="408"/>
      <c r="C113" s="409"/>
      <c r="D113" s="410"/>
      <c r="F113" s="30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row>
    <row r="114" spans="1:44" ht="20" customHeight="1">
      <c r="A114" s="427">
        <v>2018</v>
      </c>
      <c r="B114" s="428"/>
      <c r="C114" s="423" t="s">
        <v>149</v>
      </c>
      <c r="D114" s="424"/>
      <c r="F114" s="303"/>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row>
    <row r="115" spans="1:44">
      <c r="A115" s="407" t="s">
        <v>175</v>
      </c>
      <c r="B115" s="408"/>
      <c r="C115" s="409" t="s">
        <v>180</v>
      </c>
      <c r="D115" s="410"/>
      <c r="F115" s="303"/>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row>
    <row r="116" spans="1:44" ht="32.25" customHeight="1">
      <c r="A116" s="425" t="s">
        <v>176</v>
      </c>
      <c r="B116" s="426"/>
      <c r="C116" s="407" t="s">
        <v>176</v>
      </c>
      <c r="D116" s="408"/>
      <c r="F116" s="303"/>
      <c r="G116"/>
      <c r="H116" s="351"/>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row>
    <row r="117" spans="1:44" ht="11.25" customHeight="1">
      <c r="A117" s="342"/>
      <c r="B117" s="343"/>
      <c r="C117" s="344"/>
      <c r="D117" s="345"/>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row>
    <row r="118" spans="1:44" s="290" customFormat="1" ht="15" customHeight="1">
      <c r="A118" s="295"/>
      <c r="C118" s="308"/>
      <c r="D118" s="308"/>
      <c r="E118" s="293"/>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row>
    <row r="119" spans="1:44" s="290" customFormat="1" ht="15" customHeight="1">
      <c r="A119" s="295"/>
      <c r="C119" s="308"/>
      <c r="D119" s="308"/>
      <c r="E119" s="293"/>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row>
    <row r="120" spans="1:44">
      <c r="A120" s="296" t="s">
        <v>80</v>
      </c>
      <c r="D120" s="309" t="s">
        <v>81</v>
      </c>
      <c r="F120" s="291"/>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row>
    <row r="121" spans="1:44" ht="15" customHeight="1">
      <c r="A121" s="299" t="s">
        <v>24</v>
      </c>
      <c r="B121" s="330" t="s">
        <v>82</v>
      </c>
      <c r="C121" s="331" t="s">
        <v>83</v>
      </c>
      <c r="D121" s="301" t="s">
        <v>25</v>
      </c>
      <c r="F121" s="29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row>
    <row r="122" spans="1:44" ht="15" customHeight="1">
      <c r="A122" s="300" t="s">
        <v>26</v>
      </c>
      <c r="B122" s="332" t="s">
        <v>27</v>
      </c>
      <c r="C122" s="333" t="s">
        <v>28</v>
      </c>
      <c r="D122" s="302" t="s">
        <v>29</v>
      </c>
      <c r="F122" s="291"/>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row>
    <row r="123" spans="1:44" ht="15" customHeight="1">
      <c r="A123" s="300" t="s">
        <v>30</v>
      </c>
      <c r="B123" s="332" t="s">
        <v>31</v>
      </c>
      <c r="C123" s="333" t="s">
        <v>32</v>
      </c>
      <c r="D123" s="302" t="s">
        <v>33</v>
      </c>
      <c r="F123" s="291"/>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row>
    <row r="124" spans="1:44" ht="15" customHeight="1">
      <c r="A124" s="300" t="s">
        <v>34</v>
      </c>
      <c r="B124" s="332" t="s">
        <v>35</v>
      </c>
      <c r="C124" s="333" t="s">
        <v>36</v>
      </c>
      <c r="D124" s="302" t="s">
        <v>37</v>
      </c>
      <c r="F124" s="291"/>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row>
    <row r="125" spans="1:44" ht="15" customHeight="1">
      <c r="A125" s="300" t="s">
        <v>38</v>
      </c>
      <c r="B125" s="334" t="s">
        <v>167</v>
      </c>
      <c r="C125" s="335" t="s">
        <v>167</v>
      </c>
      <c r="D125" s="302" t="s">
        <v>39</v>
      </c>
      <c r="F125" s="291"/>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row>
    <row r="126" spans="1:44" ht="15" customHeight="1">
      <c r="A126" s="300" t="s">
        <v>40</v>
      </c>
      <c r="B126" s="332" t="s">
        <v>41</v>
      </c>
      <c r="C126" s="333" t="s">
        <v>42</v>
      </c>
      <c r="D126" s="302" t="s">
        <v>43</v>
      </c>
      <c r="F126" s="291"/>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row>
    <row r="127" spans="1:44" ht="15" customHeight="1">
      <c r="A127" s="300" t="s">
        <v>44</v>
      </c>
      <c r="B127" s="332" t="s">
        <v>45</v>
      </c>
      <c r="C127" s="333" t="s">
        <v>57</v>
      </c>
      <c r="D127" s="302" t="s">
        <v>46</v>
      </c>
      <c r="F127" s="291"/>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row>
    <row r="128" spans="1:44" ht="15" customHeight="1">
      <c r="A128" s="300" t="s">
        <v>47</v>
      </c>
      <c r="B128" s="332" t="s">
        <v>58</v>
      </c>
      <c r="C128" s="333" t="s">
        <v>59</v>
      </c>
      <c r="D128" s="302" t="s">
        <v>48</v>
      </c>
      <c r="F128" s="291"/>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row>
    <row r="129" spans="1:44" ht="15" customHeight="1">
      <c r="A129" s="300" t="s">
        <v>49</v>
      </c>
      <c r="B129" s="386" t="s">
        <v>159</v>
      </c>
      <c r="C129" s="387" t="s">
        <v>160</v>
      </c>
      <c r="D129" s="302" t="s">
        <v>50</v>
      </c>
      <c r="F129" s="291"/>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row>
    <row r="130" spans="1:44" ht="15" customHeight="1">
      <c r="A130" s="300" t="s">
        <v>51</v>
      </c>
      <c r="B130" s="336">
        <v>41928</v>
      </c>
      <c r="C130" s="336">
        <v>41928</v>
      </c>
      <c r="D130" s="302" t="s">
        <v>52</v>
      </c>
      <c r="F130" s="291"/>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row>
    <row r="131" spans="1:44" ht="15" customHeight="1">
      <c r="A131" s="300" t="s">
        <v>53</v>
      </c>
      <c r="B131" s="336">
        <v>41961</v>
      </c>
      <c r="C131" s="336">
        <v>41961</v>
      </c>
      <c r="D131" s="302" t="s">
        <v>54</v>
      </c>
      <c r="F131" s="29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row>
    <row r="132" spans="1:44" ht="15" customHeight="1">
      <c r="A132" s="297" t="s">
        <v>55</v>
      </c>
      <c r="B132" s="338"/>
      <c r="C132" s="339"/>
      <c r="D132" s="298" t="s">
        <v>56</v>
      </c>
      <c r="F132" s="291"/>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row>
    <row r="133" spans="1:44" ht="12.75" customHeight="1">
      <c r="A133" s="403"/>
      <c r="B133" s="403"/>
      <c r="C133" s="403"/>
      <c r="D133" s="403"/>
      <c r="F133" s="291"/>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row>
    <row r="134" spans="1:44">
      <c r="A134" s="402"/>
      <c r="B134" s="402"/>
      <c r="C134" s="402"/>
      <c r="D134" s="402"/>
      <c r="F134" s="291"/>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row>
    <row r="135" spans="1:44">
      <c r="A135" s="404"/>
      <c r="B135" s="404"/>
      <c r="C135" s="404"/>
      <c r="D135" s="404"/>
      <c r="F135" s="291"/>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row>
    <row r="140" spans="1:44">
      <c r="A140" s="296" t="s">
        <v>87</v>
      </c>
      <c r="D140" s="309" t="s">
        <v>88</v>
      </c>
      <c r="F140" s="291"/>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row>
    <row r="141" spans="1:44" ht="15" customHeight="1">
      <c r="A141" s="299" t="s">
        <v>24</v>
      </c>
      <c r="B141" s="330" t="s">
        <v>64</v>
      </c>
      <c r="C141" s="331" t="s">
        <v>65</v>
      </c>
      <c r="D141" s="301" t="s">
        <v>25</v>
      </c>
      <c r="F141" s="29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row>
    <row r="142" spans="1:44">
      <c r="A142" s="300" t="s">
        <v>26</v>
      </c>
      <c r="B142" s="332" t="s">
        <v>27</v>
      </c>
      <c r="C142" s="333" t="s">
        <v>28</v>
      </c>
      <c r="D142" s="302" t="s">
        <v>29</v>
      </c>
      <c r="F142" s="291"/>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row>
    <row r="143" spans="1:44" ht="15" customHeight="1">
      <c r="A143" s="300" t="s">
        <v>30</v>
      </c>
      <c r="B143" s="332" t="s">
        <v>31</v>
      </c>
      <c r="C143" s="333" t="s">
        <v>32</v>
      </c>
      <c r="D143" s="302" t="s">
        <v>33</v>
      </c>
      <c r="F143" s="291"/>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row>
    <row r="144" spans="1:44" ht="15" customHeight="1">
      <c r="A144" s="300" t="s">
        <v>34</v>
      </c>
      <c r="B144" s="332" t="s">
        <v>35</v>
      </c>
      <c r="C144" s="333" t="s">
        <v>36</v>
      </c>
      <c r="D144" s="302" t="s">
        <v>37</v>
      </c>
      <c r="F144" s="291"/>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row>
    <row r="145" spans="1:44" ht="15" customHeight="1">
      <c r="A145" s="300" t="s">
        <v>38</v>
      </c>
      <c r="B145" s="334" t="str">
        <f>+B11</f>
        <v>[2010 : 2018-09]</v>
      </c>
      <c r="C145" s="335" t="str">
        <f>+B145</f>
        <v>[2010 : 2018-09]</v>
      </c>
      <c r="D145" s="302" t="s">
        <v>39</v>
      </c>
      <c r="F145" s="291"/>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row>
    <row r="146" spans="1:44" ht="15" customHeight="1">
      <c r="A146" s="300" t="s">
        <v>40</v>
      </c>
      <c r="B146" s="332" t="s">
        <v>41</v>
      </c>
      <c r="C146" s="333" t="s">
        <v>42</v>
      </c>
      <c r="D146" s="302" t="s">
        <v>43</v>
      </c>
      <c r="F146" s="291"/>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row>
    <row r="147" spans="1:44" ht="15" customHeight="1">
      <c r="A147" s="300" t="s">
        <v>44</v>
      </c>
      <c r="B147" s="332" t="s">
        <v>45</v>
      </c>
      <c r="C147" s="333" t="s">
        <v>57</v>
      </c>
      <c r="D147" s="302" t="s">
        <v>46</v>
      </c>
      <c r="F147" s="291"/>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row>
    <row r="148" spans="1:44">
      <c r="A148" s="300" t="s">
        <v>47</v>
      </c>
      <c r="B148" s="340" t="s">
        <v>58</v>
      </c>
      <c r="C148" s="340" t="s">
        <v>59</v>
      </c>
      <c r="D148" s="302" t="s">
        <v>48</v>
      </c>
      <c r="F148" s="291"/>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row>
    <row r="149" spans="1:44" ht="15" customHeight="1">
      <c r="A149" s="300" t="s">
        <v>49</v>
      </c>
      <c r="B149" s="336" t="str">
        <f t="shared" ref="B149:C151" si="1">+B15</f>
        <v>set-17</v>
      </c>
      <c r="C149" s="337" t="str">
        <f t="shared" si="1"/>
        <v>Sep-17</v>
      </c>
      <c r="D149" s="302" t="s">
        <v>50</v>
      </c>
      <c r="F149" s="291"/>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row>
    <row r="150" spans="1:44" ht="15" customHeight="1">
      <c r="A150" s="300" t="s">
        <v>51</v>
      </c>
      <c r="B150" s="336">
        <f t="shared" si="1"/>
        <v>41936</v>
      </c>
      <c r="C150" s="337">
        <f t="shared" si="1"/>
        <v>41936</v>
      </c>
      <c r="D150" s="302" t="s">
        <v>52</v>
      </c>
      <c r="F150" s="291"/>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row>
    <row r="151" spans="1:44" ht="15" customHeight="1">
      <c r="A151" s="300" t="s">
        <v>53</v>
      </c>
      <c r="B151" s="336">
        <f t="shared" si="1"/>
        <v>41968</v>
      </c>
      <c r="C151" s="337">
        <f t="shared" si="1"/>
        <v>41968</v>
      </c>
      <c r="D151" s="302" t="s">
        <v>54</v>
      </c>
      <c r="F151" s="29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row>
    <row r="152" spans="1:44" ht="15" customHeight="1">
      <c r="A152" s="297" t="s">
        <v>55</v>
      </c>
      <c r="B152" s="338"/>
      <c r="C152" s="339"/>
      <c r="D152" s="298" t="s">
        <v>56</v>
      </c>
      <c r="F152" s="291"/>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row>
    <row r="153" spans="1:44" ht="70.5" customHeight="1">
      <c r="A153" s="403" t="s">
        <v>139</v>
      </c>
      <c r="B153" s="403"/>
      <c r="C153" s="405" t="s">
        <v>140</v>
      </c>
      <c r="D153" s="405"/>
      <c r="F153" s="291"/>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row>
    <row r="154" spans="1:44" ht="27" customHeight="1">
      <c r="A154" s="402" t="s">
        <v>141</v>
      </c>
      <c r="B154" s="402"/>
      <c r="C154" s="401" t="s">
        <v>142</v>
      </c>
      <c r="D154" s="401"/>
      <c r="F154" s="291"/>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row>
    <row r="155" spans="1:44" ht="27.75" customHeight="1">
      <c r="A155" s="407" t="s">
        <v>115</v>
      </c>
      <c r="B155" s="408"/>
      <c r="C155" s="409" t="s">
        <v>84</v>
      </c>
      <c r="D155" s="410"/>
      <c r="F155" s="291"/>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row>
    <row r="156" spans="1:44" ht="43.5" customHeight="1">
      <c r="A156" s="402" t="s">
        <v>155</v>
      </c>
      <c r="B156" s="402"/>
      <c r="C156" s="401" t="s">
        <v>156</v>
      </c>
      <c r="D156" s="401"/>
    </row>
    <row r="157" spans="1:44">
      <c r="A157" s="379"/>
      <c r="B157" s="380"/>
      <c r="C157" s="377"/>
      <c r="D157" s="378"/>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row>
    <row r="158" spans="1:44" ht="15">
      <c r="A158" s="360"/>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row>
    <row r="159" spans="1:44" customFormat="1">
      <c r="C159" s="310"/>
      <c r="D159" s="310"/>
    </row>
    <row r="160" spans="1:44">
      <c r="A160" s="296" t="s">
        <v>95</v>
      </c>
      <c r="D160" s="309" t="s">
        <v>96</v>
      </c>
      <c r="F160" s="291"/>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row>
    <row r="161" spans="1:44" ht="15" customHeight="1">
      <c r="A161" s="299" t="s">
        <v>24</v>
      </c>
      <c r="B161" s="330" t="s">
        <v>64</v>
      </c>
      <c r="C161" s="331" t="s">
        <v>65</v>
      </c>
      <c r="D161" s="301" t="s">
        <v>25</v>
      </c>
      <c r="F161" s="29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row>
    <row r="162" spans="1:44" ht="24">
      <c r="A162" s="300" t="s">
        <v>26</v>
      </c>
      <c r="B162" s="340" t="s">
        <v>89</v>
      </c>
      <c r="C162" s="341" t="s">
        <v>90</v>
      </c>
      <c r="D162" s="302" t="s">
        <v>29</v>
      </c>
      <c r="F162" s="291"/>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row>
    <row r="163" spans="1:44" ht="15" customHeight="1">
      <c r="A163" s="300" t="s">
        <v>30</v>
      </c>
      <c r="B163" s="332" t="s">
        <v>31</v>
      </c>
      <c r="C163" s="333" t="s">
        <v>32</v>
      </c>
      <c r="D163" s="302" t="s">
        <v>33</v>
      </c>
      <c r="F163" s="291"/>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row>
    <row r="164" spans="1:44" ht="15" customHeight="1">
      <c r="A164" s="300" t="s">
        <v>34</v>
      </c>
      <c r="B164" s="332" t="s">
        <v>35</v>
      </c>
      <c r="C164" s="333" t="s">
        <v>36</v>
      </c>
      <c r="D164" s="302" t="s">
        <v>37</v>
      </c>
      <c r="F164" s="291"/>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row>
    <row r="165" spans="1:44" ht="15" customHeight="1">
      <c r="A165" s="300" t="s">
        <v>38</v>
      </c>
      <c r="B165" s="334" t="str">
        <f>+B11</f>
        <v>[2010 : 2018-09]</v>
      </c>
      <c r="C165" s="335" t="str">
        <f>B165</f>
        <v>[2010 : 2018-09]</v>
      </c>
      <c r="D165" s="302" t="s">
        <v>39</v>
      </c>
      <c r="F165" s="291"/>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row>
    <row r="166" spans="1:44" ht="15" customHeight="1">
      <c r="A166" s="300" t="s">
        <v>40</v>
      </c>
      <c r="B166" s="332" t="s">
        <v>41</v>
      </c>
      <c r="C166" s="333" t="s">
        <v>42</v>
      </c>
      <c r="D166" s="302" t="s">
        <v>43</v>
      </c>
      <c r="F166" s="291"/>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row>
    <row r="167" spans="1:44" ht="15" customHeight="1">
      <c r="A167" s="300" t="s">
        <v>44</v>
      </c>
      <c r="B167" s="332" t="s">
        <v>45</v>
      </c>
      <c r="C167" s="333" t="s">
        <v>57</v>
      </c>
      <c r="D167" s="302" t="s">
        <v>46</v>
      </c>
      <c r="F167" s="291"/>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row>
    <row r="168" spans="1:44" ht="15" customHeight="1">
      <c r="A168" s="300" t="s">
        <v>47</v>
      </c>
      <c r="B168" s="332" t="s">
        <v>58</v>
      </c>
      <c r="C168" s="333" t="s">
        <v>59</v>
      </c>
      <c r="D168" s="302" t="s">
        <v>48</v>
      </c>
      <c r="F168" s="291"/>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row>
    <row r="169" spans="1:44" ht="15" customHeight="1">
      <c r="A169" s="300" t="s">
        <v>49</v>
      </c>
      <c r="B169" s="336" t="str">
        <f t="shared" ref="B169:C171" si="2">+B15</f>
        <v>set-17</v>
      </c>
      <c r="C169" s="337" t="str">
        <f t="shared" si="2"/>
        <v>Sep-17</v>
      </c>
      <c r="D169" s="302" t="s">
        <v>50</v>
      </c>
      <c r="F169" s="291"/>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row>
    <row r="170" spans="1:44" ht="15" customHeight="1">
      <c r="A170" s="300" t="s">
        <v>51</v>
      </c>
      <c r="B170" s="336">
        <f t="shared" si="2"/>
        <v>41936</v>
      </c>
      <c r="C170" s="337">
        <f t="shared" si="2"/>
        <v>41936</v>
      </c>
      <c r="D170" s="302" t="s">
        <v>52</v>
      </c>
      <c r="F170" s="291"/>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row>
    <row r="171" spans="1:44" ht="15" customHeight="1">
      <c r="A171" s="300" t="s">
        <v>53</v>
      </c>
      <c r="B171" s="336">
        <f t="shared" si="2"/>
        <v>41968</v>
      </c>
      <c r="C171" s="337">
        <f t="shared" si="2"/>
        <v>41968</v>
      </c>
      <c r="D171" s="302" t="s">
        <v>54</v>
      </c>
      <c r="F171" s="29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row>
    <row r="172" spans="1:44" ht="15" customHeight="1">
      <c r="A172" s="297" t="s">
        <v>55</v>
      </c>
      <c r="B172" s="338"/>
      <c r="C172" s="339"/>
      <c r="D172" s="298" t="s">
        <v>56</v>
      </c>
      <c r="F172" s="291"/>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row>
    <row r="173" spans="1:44" ht="12.75" customHeight="1">
      <c r="A173" s="403" t="s">
        <v>93</v>
      </c>
      <c r="B173" s="403"/>
      <c r="C173" s="405" t="s">
        <v>94</v>
      </c>
      <c r="D173" s="405"/>
      <c r="F173" s="291"/>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row>
    <row r="174" spans="1:44" ht="24.75" customHeight="1">
      <c r="A174" s="402" t="s">
        <v>109</v>
      </c>
      <c r="B174" s="402"/>
      <c r="C174" s="401" t="s">
        <v>112</v>
      </c>
      <c r="D174" s="401"/>
      <c r="F174" s="291"/>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row>
    <row r="175" spans="1:44" ht="24.75" customHeight="1">
      <c r="A175" s="402" t="s">
        <v>91</v>
      </c>
      <c r="B175" s="402"/>
      <c r="C175" s="401" t="s">
        <v>92</v>
      </c>
      <c r="D175" s="401"/>
      <c r="F175" s="291"/>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row>
    <row r="176" spans="1:44" s="290" customFormat="1" ht="39.75" customHeight="1">
      <c r="A176" s="402" t="s">
        <v>164</v>
      </c>
      <c r="B176" s="402"/>
      <c r="C176" s="401" t="s">
        <v>165</v>
      </c>
      <c r="D176" s="401"/>
      <c r="E176" s="293"/>
      <c r="F176" s="303"/>
    </row>
    <row r="177" spans="1:44">
      <c r="A177" s="404"/>
      <c r="B177" s="404"/>
      <c r="C177" s="406"/>
      <c r="D177" s="406"/>
      <c r="F177" s="291"/>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row>
    <row r="182" spans="1:44">
      <c r="A182" s="296" t="s">
        <v>101</v>
      </c>
      <c r="D182" s="309" t="s">
        <v>102</v>
      </c>
      <c r="F182" s="291"/>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row>
    <row r="183" spans="1:44" ht="15" customHeight="1">
      <c r="A183" s="299" t="s">
        <v>24</v>
      </c>
      <c r="B183" s="330" t="s">
        <v>64</v>
      </c>
      <c r="C183" s="331" t="s">
        <v>65</v>
      </c>
      <c r="D183" s="301" t="s">
        <v>25</v>
      </c>
      <c r="F183" s="291"/>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row>
    <row r="184" spans="1:44">
      <c r="A184" s="300" t="s">
        <v>26</v>
      </c>
      <c r="B184" s="332" t="s">
        <v>27</v>
      </c>
      <c r="C184" s="333" t="s">
        <v>28</v>
      </c>
      <c r="D184" s="302" t="s">
        <v>29</v>
      </c>
      <c r="F184" s="291"/>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row>
    <row r="185" spans="1:44" ht="15" customHeight="1">
      <c r="A185" s="300" t="s">
        <v>30</v>
      </c>
      <c r="B185" s="332" t="s">
        <v>31</v>
      </c>
      <c r="C185" s="333" t="s">
        <v>32</v>
      </c>
      <c r="D185" s="302" t="s">
        <v>33</v>
      </c>
      <c r="F185" s="291"/>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row>
    <row r="186" spans="1:44" ht="15" customHeight="1">
      <c r="A186" s="300" t="s">
        <v>34</v>
      </c>
      <c r="B186" s="332" t="s">
        <v>35</v>
      </c>
      <c r="C186" s="333" t="s">
        <v>36</v>
      </c>
      <c r="D186" s="302" t="s">
        <v>37</v>
      </c>
      <c r="F186" s="291"/>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row>
    <row r="187" spans="1:44" ht="15" customHeight="1">
      <c r="A187" s="300" t="s">
        <v>38</v>
      </c>
      <c r="B187" s="334" t="s">
        <v>181</v>
      </c>
      <c r="C187" s="335" t="s">
        <v>182</v>
      </c>
      <c r="D187" s="302" t="s">
        <v>39</v>
      </c>
      <c r="F187" s="291"/>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row>
    <row r="188" spans="1:44" ht="15" customHeight="1">
      <c r="A188" s="300" t="s">
        <v>40</v>
      </c>
      <c r="B188" s="332" t="s">
        <v>41</v>
      </c>
      <c r="C188" s="333" t="s">
        <v>42</v>
      </c>
      <c r="D188" s="302" t="s">
        <v>43</v>
      </c>
      <c r="F188" s="291"/>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row>
    <row r="189" spans="1:44" ht="15" customHeight="1">
      <c r="A189" s="300" t="s">
        <v>44</v>
      </c>
      <c r="B189" s="332" t="s">
        <v>45</v>
      </c>
      <c r="C189" s="333" t="s">
        <v>57</v>
      </c>
      <c r="D189" s="302" t="s">
        <v>46</v>
      </c>
      <c r="F189" s="291"/>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row>
    <row r="190" spans="1:44" ht="15" customHeight="1">
      <c r="A190" s="300" t="s">
        <v>47</v>
      </c>
      <c r="B190" s="332" t="s">
        <v>58</v>
      </c>
      <c r="C190" s="333" t="s">
        <v>59</v>
      </c>
      <c r="D190" s="302" t="s">
        <v>48</v>
      </c>
      <c r="F190" s="291"/>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row>
    <row r="191" spans="1:44" ht="15" customHeight="1">
      <c r="A191" s="300" t="s">
        <v>49</v>
      </c>
      <c r="B191" s="332" t="s">
        <v>58</v>
      </c>
      <c r="C191" s="333" t="s">
        <v>59</v>
      </c>
      <c r="D191" s="302" t="s">
        <v>50</v>
      </c>
      <c r="F191" s="2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row>
    <row r="192" spans="1:44" ht="15" customHeight="1">
      <c r="A192" s="300" t="s">
        <v>51</v>
      </c>
      <c r="B192" s="336">
        <f>+B16</f>
        <v>41936</v>
      </c>
      <c r="C192" s="337">
        <f>+C16</f>
        <v>41936</v>
      </c>
      <c r="D192" s="302" t="s">
        <v>52</v>
      </c>
      <c r="F192" s="291"/>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row>
    <row r="193" spans="1:44" ht="15" customHeight="1">
      <c r="A193" s="300" t="s">
        <v>53</v>
      </c>
      <c r="B193" s="336">
        <f>+B17</f>
        <v>41968</v>
      </c>
      <c r="C193" s="337">
        <f>+C17</f>
        <v>41968</v>
      </c>
      <c r="D193" s="302" t="s">
        <v>54</v>
      </c>
      <c r="F193" s="291"/>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row>
    <row r="194" spans="1:44" ht="27" customHeight="1">
      <c r="A194" s="297" t="s">
        <v>55</v>
      </c>
      <c r="B194" s="358"/>
      <c r="C194" s="358"/>
      <c r="D194" s="298" t="s">
        <v>56</v>
      </c>
      <c r="F194" s="291"/>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row>
    <row r="195" spans="1:44" ht="12.75" customHeight="1">
      <c r="A195" s="403" t="s">
        <v>97</v>
      </c>
      <c r="B195" s="403"/>
      <c r="C195" s="405" t="s">
        <v>98</v>
      </c>
      <c r="D195" s="405"/>
      <c r="F195" s="291"/>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row>
    <row r="196" spans="1:44" ht="24.75" customHeight="1">
      <c r="A196" s="402" t="s">
        <v>109</v>
      </c>
      <c r="B196" s="402"/>
      <c r="C196" s="401" t="s">
        <v>112</v>
      </c>
      <c r="D196" s="401"/>
      <c r="F196" s="291"/>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row>
    <row r="197" spans="1:44" ht="27.75" customHeight="1">
      <c r="A197" s="402" t="s">
        <v>99</v>
      </c>
      <c r="B197" s="402"/>
      <c r="C197" s="401" t="s">
        <v>100</v>
      </c>
      <c r="D197" s="401"/>
      <c r="F197" s="291"/>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row>
    <row r="198" spans="1:44" ht="12" customHeight="1">
      <c r="A198" s="404"/>
      <c r="B198" s="404"/>
      <c r="C198" s="406"/>
      <c r="D198" s="406"/>
    </row>
    <row r="203" spans="1:44">
      <c r="A203" s="296" t="s">
        <v>103</v>
      </c>
      <c r="D203" s="309" t="s">
        <v>104</v>
      </c>
      <c r="F203" s="291"/>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row>
    <row r="204" spans="1:44" ht="15" customHeight="1">
      <c r="A204" s="299" t="s">
        <v>24</v>
      </c>
      <c r="B204" s="330" t="s">
        <v>68</v>
      </c>
      <c r="C204" s="331" t="s">
        <v>69</v>
      </c>
      <c r="D204" s="301" t="s">
        <v>25</v>
      </c>
      <c r="F204" s="291"/>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row>
    <row r="205" spans="1:44" ht="29.25" customHeight="1">
      <c r="A205" s="300" t="s">
        <v>26</v>
      </c>
      <c r="B205" s="340" t="s">
        <v>89</v>
      </c>
      <c r="C205" s="341" t="s">
        <v>90</v>
      </c>
      <c r="D205" s="302" t="s">
        <v>29</v>
      </c>
      <c r="F205" s="291"/>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row>
    <row r="206" spans="1:44" ht="15" customHeight="1">
      <c r="A206" s="300" t="s">
        <v>30</v>
      </c>
      <c r="B206" s="332" t="s">
        <v>31</v>
      </c>
      <c r="C206" s="333" t="s">
        <v>32</v>
      </c>
      <c r="D206" s="302" t="s">
        <v>33</v>
      </c>
      <c r="F206" s="291"/>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row>
    <row r="207" spans="1:44" ht="15" customHeight="1">
      <c r="A207" s="300" t="s">
        <v>34</v>
      </c>
      <c r="B207" s="332" t="s">
        <v>35</v>
      </c>
      <c r="C207" s="333" t="s">
        <v>36</v>
      </c>
      <c r="D207" s="302" t="s">
        <v>37</v>
      </c>
      <c r="F207" s="291"/>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row>
    <row r="208" spans="1:44" ht="15" customHeight="1">
      <c r="A208" s="300" t="s">
        <v>38</v>
      </c>
      <c r="B208" s="334" t="str">
        <f>B165</f>
        <v>[2010 : 2018-09]</v>
      </c>
      <c r="C208" s="335" t="str">
        <f>B208</f>
        <v>[2010 : 2018-09]</v>
      </c>
      <c r="D208" s="302" t="s">
        <v>39</v>
      </c>
      <c r="F208" s="291"/>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row>
    <row r="209" spans="1:44" ht="15" customHeight="1">
      <c r="A209" s="300" t="s">
        <v>40</v>
      </c>
      <c r="B209" s="332" t="s">
        <v>41</v>
      </c>
      <c r="C209" s="333" t="s">
        <v>42</v>
      </c>
      <c r="D209" s="302" t="s">
        <v>43</v>
      </c>
      <c r="F209" s="291"/>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row>
    <row r="210" spans="1:44" ht="15" customHeight="1">
      <c r="A210" s="300" t="s">
        <v>44</v>
      </c>
      <c r="B210" s="332" t="s">
        <v>45</v>
      </c>
      <c r="C210" s="333" t="s">
        <v>57</v>
      </c>
      <c r="D210" s="302" t="s">
        <v>46</v>
      </c>
      <c r="F210" s="291"/>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row>
    <row r="211" spans="1:44" ht="28" customHeight="1">
      <c r="A211" s="300" t="s">
        <v>47</v>
      </c>
      <c r="B211" s="340" t="str">
        <f>+B33</f>
        <v>set-17: - Nº de entidades estimadas: 5
set-18: - Nº de entidades estimadas: 13</v>
      </c>
      <c r="C211" s="340" t="str">
        <f>+C33</f>
        <v>Sep-17: - Nº of estimated entities: 5
Sep-18: - Nº of estimated entities: 13</v>
      </c>
      <c r="D211" s="302" t="s">
        <v>48</v>
      </c>
      <c r="F211" s="29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row>
    <row r="212" spans="1:44" ht="15" customHeight="1">
      <c r="A212" s="300" t="s">
        <v>49</v>
      </c>
      <c r="B212" s="355" t="str">
        <f>+B169</f>
        <v>set-17</v>
      </c>
      <c r="C212" s="355" t="str">
        <f>+C169</f>
        <v>Sep-17</v>
      </c>
      <c r="D212" s="302" t="s">
        <v>50</v>
      </c>
      <c r="F212" s="291"/>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row>
    <row r="213" spans="1:44" ht="15" customHeight="1">
      <c r="A213" s="300" t="s">
        <v>51</v>
      </c>
      <c r="B213" s="336">
        <f>B16</f>
        <v>41936</v>
      </c>
      <c r="C213" s="337">
        <f>C16</f>
        <v>41936</v>
      </c>
      <c r="D213" s="302" t="s">
        <v>52</v>
      </c>
      <c r="F213" s="291"/>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row>
    <row r="214" spans="1:44" ht="15" customHeight="1">
      <c r="A214" s="300" t="s">
        <v>53</v>
      </c>
      <c r="B214" s="336">
        <f>B17</f>
        <v>41968</v>
      </c>
      <c r="C214" s="337">
        <f>C17</f>
        <v>41968</v>
      </c>
      <c r="D214" s="302" t="s">
        <v>54</v>
      </c>
      <c r="F214" s="291"/>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row>
    <row r="215" spans="1:44" ht="15" customHeight="1">
      <c r="A215" s="297" t="s">
        <v>55</v>
      </c>
      <c r="B215" s="338"/>
      <c r="C215" s="339"/>
      <c r="D215" s="298" t="s">
        <v>56</v>
      </c>
      <c r="F215" s="291"/>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row>
    <row r="216" spans="1:44" ht="12.75" customHeight="1">
      <c r="A216" s="403" t="s">
        <v>93</v>
      </c>
      <c r="B216" s="403"/>
      <c r="C216" s="405" t="s">
        <v>94</v>
      </c>
      <c r="D216" s="405"/>
      <c r="F216" s="291"/>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row>
    <row r="217" spans="1:44" ht="24.75" customHeight="1">
      <c r="A217" s="402" t="s">
        <v>109</v>
      </c>
      <c r="B217" s="402"/>
      <c r="C217" s="401" t="s">
        <v>112</v>
      </c>
      <c r="D217" s="401"/>
      <c r="F217" s="291"/>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row>
    <row r="218" spans="1:44" s="290" customFormat="1" ht="73.5" customHeight="1">
      <c r="A218" s="402" t="s">
        <v>150</v>
      </c>
      <c r="B218" s="402"/>
      <c r="C218" s="401" t="s">
        <v>151</v>
      </c>
      <c r="D218" s="401"/>
      <c r="E218" s="293"/>
      <c r="F218" s="303"/>
      <c r="H218" s="357"/>
      <c r="I218" s="357"/>
    </row>
    <row r="219" spans="1:44" s="290" customFormat="1" ht="77.25" customHeight="1">
      <c r="A219" s="402" t="s">
        <v>152</v>
      </c>
      <c r="B219" s="402"/>
      <c r="C219" s="401" t="s">
        <v>153</v>
      </c>
      <c r="D219" s="401"/>
      <c r="E219" s="417"/>
      <c r="F219" s="418"/>
      <c r="G219" s="418"/>
      <c r="H219" s="418"/>
      <c r="I219" s="418"/>
      <c r="J219" s="418"/>
      <c r="K219" s="418"/>
      <c r="L219" s="418"/>
    </row>
    <row r="220" spans="1:44" ht="24.75" customHeight="1">
      <c r="A220" s="402" t="s">
        <v>91</v>
      </c>
      <c r="B220" s="402"/>
      <c r="C220" s="401" t="s">
        <v>92</v>
      </c>
      <c r="D220" s="401"/>
      <c r="F220" s="291"/>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row>
    <row r="221" spans="1:44" s="290" customFormat="1" ht="39.75" customHeight="1">
      <c r="A221" s="402" t="s">
        <v>164</v>
      </c>
      <c r="B221" s="402"/>
      <c r="C221" s="401" t="s">
        <v>165</v>
      </c>
      <c r="D221" s="401"/>
      <c r="E221" s="293"/>
      <c r="F221" s="303"/>
    </row>
    <row r="222" spans="1:44" s="295" customFormat="1" ht="27" customHeight="1">
      <c r="A222" s="419" t="s">
        <v>116</v>
      </c>
      <c r="B222" s="419"/>
      <c r="C222" s="420" t="s">
        <v>106</v>
      </c>
      <c r="D222" s="420"/>
      <c r="E222" s="311"/>
      <c r="F222" s="296"/>
    </row>
    <row r="223" spans="1:44" s="290" customFormat="1" ht="19.5" customHeight="1">
      <c r="A223" s="419">
        <v>2017</v>
      </c>
      <c r="B223" s="419"/>
      <c r="C223" s="420">
        <f>+A223</f>
        <v>2017</v>
      </c>
      <c r="D223" s="420"/>
      <c r="E223" s="293"/>
      <c r="F223" s="291"/>
    </row>
    <row r="224" spans="1:44" s="290" customFormat="1" ht="32.25" customHeight="1">
      <c r="A224" s="402" t="str">
        <f>A46</f>
        <v>Es Tech Ventures, SGPS, S.A.; Fundação Carlos Lloyd Braga; Praça do Marquês - Serviços Auxiliares,S.A.; Quinta dos Cónegos - Sociedade Imobiliária,S.A.; Righthour, S.A..</v>
      </c>
      <c r="B224" s="402"/>
      <c r="C224" s="401" t="str">
        <f>A224</f>
        <v>Es Tech Ventures, SGPS, S.A.; Fundação Carlos Lloyd Braga; Praça do Marquês - Serviços Auxiliares,S.A.; Quinta dos Cónegos - Sociedade Imobiliária,S.A.; Righthour, S.A..</v>
      </c>
      <c r="D224" s="401"/>
      <c r="E224" s="293"/>
      <c r="F224" s="291"/>
    </row>
    <row r="225" spans="1:44" s="290" customFormat="1" ht="19.5" customHeight="1">
      <c r="A225" s="419">
        <v>2018</v>
      </c>
      <c r="B225" s="419"/>
      <c r="C225" s="420">
        <f>+A225</f>
        <v>2018</v>
      </c>
      <c r="D225" s="420"/>
      <c r="E225" s="293"/>
      <c r="F225" s="291"/>
    </row>
    <row r="226" spans="1:44" s="290" customFormat="1" ht="84.75" customHeight="1">
      <c r="A226" s="402" t="str">
        <f>A48</f>
        <v>AVEIROPOLIS - Sociedade para o Desenvolvimento do Programa Polis em Aveiro, S.A.; ECODETRA - Sociedade de Tratamento e Deposição de Resíduos, S.A.; Es Tech Ventures, SGPS, S.A.; Fundação Carlos Lloyd Braga; Fundação Escola Portuguesa de Macau; GNB Concessões, SGPS, S.A.; IMAR - Instituto do Mar; Instituto de Proteção e Assistência na Doença, I.P.; Mobi.E, S.A.; Praça do Marquês - Serviços Auxiliares,S.A.; Quinta dos Cónegos - Sociedade Imobiliária,S.A.; Righthour, S.A.; UL - Faculdade de Motricidade Humana.</v>
      </c>
      <c r="B226" s="402"/>
      <c r="C226" s="401" t="str">
        <f>A226</f>
        <v>AVEIROPOLIS - Sociedade para o Desenvolvimento do Programa Polis em Aveiro, S.A.; ECODETRA - Sociedade de Tratamento e Deposição de Resíduos, S.A.; Es Tech Ventures, SGPS, S.A.; Fundação Carlos Lloyd Braga; Fundação Escola Portuguesa de Macau; GNB Concessões, SGPS, S.A.; IMAR - Instituto do Mar; Instituto de Proteção e Assistência na Doença, I.P.; Mobi.E, S.A.; Praça do Marquês - Serviços Auxiliares,S.A.; Quinta dos Cónegos - Sociedade Imobiliária,S.A.; Righthour, S.A.; UL - Faculdade de Motricidade Humana.</v>
      </c>
      <c r="D226" s="401"/>
      <c r="E226" s="312"/>
      <c r="F226" s="291"/>
    </row>
    <row r="227" spans="1:44">
      <c r="A227" s="379"/>
      <c r="B227" s="380"/>
      <c r="C227" s="377"/>
      <c r="D227" s="378"/>
    </row>
    <row r="232" spans="1:44">
      <c r="A232" s="296" t="s">
        <v>137</v>
      </c>
      <c r="D232" s="309" t="s">
        <v>138</v>
      </c>
      <c r="F232" s="291"/>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row>
    <row r="233" spans="1:44" ht="15" customHeight="1">
      <c r="A233" s="299" t="s">
        <v>24</v>
      </c>
      <c r="B233" s="330" t="s">
        <v>68</v>
      </c>
      <c r="C233" s="331" t="s">
        <v>69</v>
      </c>
      <c r="D233" s="301" t="s">
        <v>25</v>
      </c>
      <c r="F233" s="291"/>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row>
    <row r="234" spans="1:44">
      <c r="A234" s="300" t="s">
        <v>26</v>
      </c>
      <c r="B234" s="332" t="s">
        <v>27</v>
      </c>
      <c r="C234" s="333" t="s">
        <v>28</v>
      </c>
      <c r="D234" s="302" t="s">
        <v>29</v>
      </c>
      <c r="F234" s="291"/>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row>
    <row r="235" spans="1:44" ht="15" customHeight="1">
      <c r="A235" s="300" t="s">
        <v>30</v>
      </c>
      <c r="B235" s="332" t="s">
        <v>31</v>
      </c>
      <c r="C235" s="333" t="s">
        <v>32</v>
      </c>
      <c r="D235" s="302" t="s">
        <v>33</v>
      </c>
      <c r="F235" s="291"/>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row>
    <row r="236" spans="1:44" ht="15" customHeight="1">
      <c r="A236" s="300" t="s">
        <v>34</v>
      </c>
      <c r="B236" s="332" t="s">
        <v>35</v>
      </c>
      <c r="C236" s="333" t="s">
        <v>36</v>
      </c>
      <c r="D236" s="302" t="s">
        <v>37</v>
      </c>
      <c r="F236" s="291"/>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row>
    <row r="237" spans="1:44" ht="15" customHeight="1">
      <c r="A237" s="300" t="s">
        <v>38</v>
      </c>
      <c r="B237" s="334" t="str">
        <f>B187</f>
        <v>set-17 e set-18</v>
      </c>
      <c r="C237" s="335" t="str">
        <f>C187</f>
        <v>Sep-17 and Sep-18</v>
      </c>
      <c r="D237" s="302" t="s">
        <v>39</v>
      </c>
      <c r="F237" s="291"/>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row>
    <row r="238" spans="1:44" ht="15" customHeight="1">
      <c r="A238" s="300" t="s">
        <v>40</v>
      </c>
      <c r="B238" s="332" t="s">
        <v>41</v>
      </c>
      <c r="C238" s="333" t="s">
        <v>42</v>
      </c>
      <c r="D238" s="302" t="s">
        <v>43</v>
      </c>
      <c r="F238" s="291"/>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row>
    <row r="239" spans="1:44" ht="15" customHeight="1">
      <c r="A239" s="300" t="s">
        <v>44</v>
      </c>
      <c r="B239" s="332" t="s">
        <v>45</v>
      </c>
      <c r="C239" s="333" t="s">
        <v>57</v>
      </c>
      <c r="D239" s="302" t="s">
        <v>46</v>
      </c>
      <c r="F239" s="291"/>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row>
    <row r="240" spans="1:44" ht="30" customHeight="1">
      <c r="A240" s="300" t="s">
        <v>47</v>
      </c>
      <c r="B240" s="340" t="str">
        <f>+B211</f>
        <v>set-17: - Nº de entidades estimadas: 5
set-18: - Nº de entidades estimadas: 13</v>
      </c>
      <c r="C240" s="340" t="str">
        <f>+C211</f>
        <v>Sep-17: - Nº of estimated entities: 5
Sep-18: - Nº of estimated entities: 13</v>
      </c>
      <c r="D240" s="302" t="s">
        <v>48</v>
      </c>
      <c r="F240" s="291"/>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row>
    <row r="241" spans="1:44" ht="15" customHeight="1">
      <c r="A241" s="300" t="s">
        <v>49</v>
      </c>
      <c r="B241" s="332" t="s">
        <v>58</v>
      </c>
      <c r="C241" s="333" t="s">
        <v>59</v>
      </c>
      <c r="D241" s="302" t="s">
        <v>50</v>
      </c>
      <c r="F241" s="29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row>
    <row r="242" spans="1:44" ht="15" customHeight="1">
      <c r="A242" s="300" t="s">
        <v>51</v>
      </c>
      <c r="B242" s="336">
        <f>B16</f>
        <v>41936</v>
      </c>
      <c r="C242" s="337">
        <f>C16</f>
        <v>41936</v>
      </c>
      <c r="D242" s="302" t="s">
        <v>52</v>
      </c>
      <c r="F242" s="291"/>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row>
    <row r="243" spans="1:44" ht="15" customHeight="1">
      <c r="A243" s="300" t="s">
        <v>53</v>
      </c>
      <c r="B243" s="336">
        <f>B17</f>
        <v>41968</v>
      </c>
      <c r="C243" s="337">
        <f>C17</f>
        <v>41968</v>
      </c>
      <c r="D243" s="302" t="s">
        <v>54</v>
      </c>
      <c r="F243" s="291"/>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row>
    <row r="244" spans="1:44">
      <c r="A244" s="297" t="s">
        <v>55</v>
      </c>
      <c r="B244" s="358"/>
      <c r="C244" s="358"/>
      <c r="D244" s="298" t="s">
        <v>56</v>
      </c>
      <c r="F244" s="291"/>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row>
    <row r="245" spans="1:44" ht="12.75" customHeight="1">
      <c r="A245" s="403" t="s">
        <v>97</v>
      </c>
      <c r="B245" s="403"/>
      <c r="C245" s="405" t="s">
        <v>98</v>
      </c>
      <c r="D245" s="405"/>
      <c r="F245" s="291"/>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row>
    <row r="246" spans="1:44" ht="24.75" customHeight="1">
      <c r="A246" s="402" t="s">
        <v>109</v>
      </c>
      <c r="B246" s="402"/>
      <c r="C246" s="401" t="s">
        <v>112</v>
      </c>
      <c r="D246" s="401"/>
      <c r="F246" s="291"/>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row>
    <row r="247" spans="1:44" ht="27.75" customHeight="1">
      <c r="A247" s="402" t="s">
        <v>99</v>
      </c>
      <c r="B247" s="402"/>
      <c r="C247" s="401" t="s">
        <v>100</v>
      </c>
      <c r="D247" s="401"/>
      <c r="F247" s="291"/>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row>
    <row r="248" spans="1:44" s="290" customFormat="1" ht="73.5" customHeight="1">
      <c r="A248" s="402" t="s">
        <v>150</v>
      </c>
      <c r="B248" s="402"/>
      <c r="C248" s="401" t="s">
        <v>151</v>
      </c>
      <c r="D248" s="401"/>
      <c r="E248" s="293"/>
      <c r="F248" s="303"/>
      <c r="H248" s="357"/>
      <c r="I248" s="357"/>
    </row>
    <row r="249" spans="1:44" ht="33.75" customHeight="1">
      <c r="A249" s="402" t="s">
        <v>129</v>
      </c>
      <c r="B249" s="402"/>
      <c r="C249" s="401" t="s">
        <v>130</v>
      </c>
      <c r="D249" s="401"/>
      <c r="F249" s="291"/>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row>
    <row r="250" spans="1:44" s="290" customFormat="1" ht="77.25" customHeight="1">
      <c r="A250" s="402" t="s">
        <v>152</v>
      </c>
      <c r="B250" s="402"/>
      <c r="C250" s="401" t="s">
        <v>153</v>
      </c>
      <c r="D250" s="401"/>
      <c r="E250" s="417"/>
      <c r="F250" s="418"/>
      <c r="G250" s="418"/>
      <c r="H250" s="418"/>
      <c r="I250" s="418"/>
      <c r="J250" s="418"/>
      <c r="K250" s="418"/>
      <c r="L250" s="418"/>
    </row>
    <row r="251" spans="1:44" s="295" customFormat="1" ht="27" customHeight="1">
      <c r="A251" s="419" t="s">
        <v>116</v>
      </c>
      <c r="B251" s="419"/>
      <c r="C251" s="420" t="s">
        <v>106</v>
      </c>
      <c r="D251" s="420"/>
      <c r="E251" s="311"/>
      <c r="F251" s="296"/>
    </row>
    <row r="252" spans="1:44" s="290" customFormat="1" ht="19.5" customHeight="1">
      <c r="A252" s="419">
        <v>2017</v>
      </c>
      <c r="B252" s="419"/>
      <c r="C252" s="423">
        <f>A252</f>
        <v>2017</v>
      </c>
      <c r="D252" s="424"/>
      <c r="E252" s="293"/>
      <c r="F252" s="291"/>
    </row>
    <row r="253" spans="1:44" s="290" customFormat="1" ht="34.5" customHeight="1">
      <c r="A253" s="402" t="str">
        <f>+A224</f>
        <v>Es Tech Ventures, SGPS, S.A.; Fundação Carlos Lloyd Braga; Praça do Marquês - Serviços Auxiliares,S.A.; Quinta dos Cónegos - Sociedade Imobiliária,S.A.; Righthour, S.A..</v>
      </c>
      <c r="B253" s="402"/>
      <c r="C253" s="401" t="str">
        <f>A253</f>
        <v>Es Tech Ventures, SGPS, S.A.; Fundação Carlos Lloyd Braga; Praça do Marquês - Serviços Auxiliares,S.A.; Quinta dos Cónegos - Sociedade Imobiliária,S.A.; Righthour, S.A..</v>
      </c>
      <c r="D253" s="401"/>
      <c r="E253" s="293"/>
      <c r="F253" s="291"/>
    </row>
    <row r="254" spans="1:44" s="290" customFormat="1" ht="19.5" customHeight="1">
      <c r="A254" s="419">
        <v>2018</v>
      </c>
      <c r="B254" s="419"/>
      <c r="C254" s="423">
        <f>A254</f>
        <v>2018</v>
      </c>
      <c r="D254" s="424"/>
      <c r="E254" s="293"/>
      <c r="F254" s="291"/>
    </row>
    <row r="255" spans="1:44" s="290" customFormat="1" ht="81" customHeight="1">
      <c r="A255" s="402" t="str">
        <f>+A226</f>
        <v>AVEIROPOLIS - Sociedade para o Desenvolvimento do Programa Polis em Aveiro, S.A.; ECODETRA - Sociedade de Tratamento e Deposição de Resíduos, S.A.; Es Tech Ventures, SGPS, S.A.; Fundação Carlos Lloyd Braga; Fundação Escola Portuguesa de Macau; GNB Concessões, SGPS, S.A.; IMAR - Instituto do Mar; Instituto de Proteção e Assistência na Doença, I.P.; Mobi.E, S.A.; Praça do Marquês - Serviços Auxiliares,S.A.; Quinta dos Cónegos - Sociedade Imobiliária,S.A.; Righthour, S.A.; UL - Faculdade de Motricidade Humana.</v>
      </c>
      <c r="B255" s="402"/>
      <c r="C255" s="402" t="str">
        <f>+C226</f>
        <v>AVEIROPOLIS - Sociedade para o Desenvolvimento do Programa Polis em Aveiro, S.A.; ECODETRA - Sociedade de Tratamento e Deposição de Resíduos, S.A.; Es Tech Ventures, SGPS, S.A.; Fundação Carlos Lloyd Braga; Fundação Escola Portuguesa de Macau; GNB Concessões, SGPS, S.A.; IMAR - Instituto do Mar; Instituto de Proteção e Assistência na Doença, I.P.; Mobi.E, S.A.; Praça do Marquês - Serviços Auxiliares,S.A.; Quinta dos Cónegos - Sociedade Imobiliária,S.A.; Righthour, S.A.; UL - Faculdade de Motricidade Humana.</v>
      </c>
      <c r="D255" s="402"/>
      <c r="E255" s="312"/>
      <c r="F255" s="291"/>
    </row>
    <row r="256" spans="1:44" ht="12" customHeight="1">
      <c r="A256" s="413"/>
      <c r="B256" s="414"/>
      <c r="C256" s="415"/>
      <c r="D256" s="416"/>
    </row>
    <row r="257" customFormat="1"/>
    <row r="258" customFormat="1"/>
    <row r="259" customFormat="1"/>
    <row r="260" customFormat="1"/>
    <row r="261" customFormat="1"/>
    <row r="262" customFormat="1" ht="15" customHeight="1"/>
    <row r="263" customFormat="1" ht="21" customHeight="1"/>
    <row r="264" customFormat="1" ht="15" customHeight="1"/>
    <row r="265" customFormat="1" ht="15" customHeight="1"/>
    <row r="266" customFormat="1" ht="15" customHeight="1"/>
    <row r="267" customFormat="1" ht="15" customHeight="1"/>
    <row r="268" customFormat="1" ht="15" customHeight="1"/>
    <row r="269" customFormat="1" ht="30" customHeight="1"/>
    <row r="270" customFormat="1" ht="15" customHeight="1"/>
    <row r="271" customFormat="1" ht="15" customHeight="1"/>
    <row r="272" customFormat="1" ht="15" customHeight="1"/>
    <row r="273" customFormat="1" ht="15" customHeight="1"/>
    <row r="274" customFormat="1" ht="70.5" customHeight="1"/>
    <row r="275" customFormat="1" ht="33.75" customHeight="1"/>
    <row r="276" customFormat="1" ht="48.75" customHeight="1"/>
    <row r="277" customFormat="1" ht="12" customHeight="1"/>
    <row r="278" customFormat="1"/>
    <row r="279" customFormat="1"/>
    <row r="280" customFormat="1"/>
  </sheetData>
  <mergeCells count="154">
    <mergeCell ref="A252:B252"/>
    <mergeCell ref="C252:D252"/>
    <mergeCell ref="A225:B225"/>
    <mergeCell ref="C225:D225"/>
    <mergeCell ref="A221:B221"/>
    <mergeCell ref="C221:D221"/>
    <mergeCell ref="A224:B224"/>
    <mergeCell ref="C224:D224"/>
    <mergeCell ref="A255:B255"/>
    <mergeCell ref="C255:D255"/>
    <mergeCell ref="A254:B254"/>
    <mergeCell ref="C254:D254"/>
    <mergeCell ref="A251:B251"/>
    <mergeCell ref="C251:D251"/>
    <mergeCell ref="A113:B113"/>
    <mergeCell ref="C217:D217"/>
    <mergeCell ref="C197:D197"/>
    <mergeCell ref="C256:D256"/>
    <mergeCell ref="A256:B256"/>
    <mergeCell ref="C250:D250"/>
    <mergeCell ref="A253:B253"/>
    <mergeCell ref="C253:D253"/>
    <mergeCell ref="A226:B226"/>
    <mergeCell ref="C226:D226"/>
    <mergeCell ref="A177:B177"/>
    <mergeCell ref="C173:D173"/>
    <mergeCell ref="C174:D174"/>
    <mergeCell ref="C177:D177"/>
    <mergeCell ref="A217:B217"/>
    <mergeCell ref="C176:D176"/>
    <mergeCell ref="A114:B114"/>
    <mergeCell ref="C114:D114"/>
    <mergeCell ref="A115:B115"/>
    <mergeCell ref="C115:D115"/>
    <mergeCell ref="A173:B173"/>
    <mergeCell ref="A174:B174"/>
    <mergeCell ref="C41:D41"/>
    <mergeCell ref="E219:L219"/>
    <mergeCell ref="A116:B116"/>
    <mergeCell ref="C116:D116"/>
    <mergeCell ref="A110:B110"/>
    <mergeCell ref="C110:D110"/>
    <mergeCell ref="A111:B111"/>
    <mergeCell ref="C111:D111"/>
    <mergeCell ref="A112:B112"/>
    <mergeCell ref="C112:D112"/>
    <mergeCell ref="A39:B39"/>
    <mergeCell ref="C39:D39"/>
    <mergeCell ref="A69:B69"/>
    <mergeCell ref="C69:D69"/>
    <mergeCell ref="A66:B66"/>
    <mergeCell ref="C66:D66"/>
    <mergeCell ref="A48:B48"/>
    <mergeCell ref="C48:D48"/>
    <mergeCell ref="A49:B49"/>
    <mergeCell ref="A43:B43"/>
    <mergeCell ref="C92:D92"/>
    <mergeCell ref="A76:B76"/>
    <mergeCell ref="C76:D76"/>
    <mergeCell ref="E40:L40"/>
    <mergeCell ref="A42:B42"/>
    <mergeCell ref="C42:D42"/>
    <mergeCell ref="A70:B70"/>
    <mergeCell ref="E67:L67"/>
    <mergeCell ref="A44:B44"/>
    <mergeCell ref="C70:D70"/>
    <mergeCell ref="A73:B73"/>
    <mergeCell ref="C73:D73"/>
    <mergeCell ref="A74:B74"/>
    <mergeCell ref="C74:D74"/>
    <mergeCell ref="A67:B67"/>
    <mergeCell ref="C75:D75"/>
    <mergeCell ref="A71:B71"/>
    <mergeCell ref="C71:D71"/>
    <mergeCell ref="A68:B68"/>
    <mergeCell ref="C67:D67"/>
    <mergeCell ref="C68:D68"/>
    <mergeCell ref="A72:B72"/>
    <mergeCell ref="C72:D72"/>
    <mergeCell ref="A20:B20"/>
    <mergeCell ref="C20:D20"/>
    <mergeCell ref="A21:B21"/>
    <mergeCell ref="C21:D21"/>
    <mergeCell ref="A41:B41"/>
    <mergeCell ref="A93:B93"/>
    <mergeCell ref="C93:D93"/>
    <mergeCell ref="C44:D44"/>
    <mergeCell ref="C49:D49"/>
    <mergeCell ref="A75:B75"/>
    <mergeCell ref="C43:D43"/>
    <mergeCell ref="C65:D65"/>
    <mergeCell ref="A45:B45"/>
    <mergeCell ref="C45:D45"/>
    <mergeCell ref="A46:B46"/>
    <mergeCell ref="C46:D46"/>
    <mergeCell ref="A47:B47"/>
    <mergeCell ref="C47:D47"/>
    <mergeCell ref="A250:B250"/>
    <mergeCell ref="A19:B19"/>
    <mergeCell ref="A22:B22"/>
    <mergeCell ref="C19:D19"/>
    <mergeCell ref="C22:D22"/>
    <mergeCell ref="A65:B65"/>
    <mergeCell ref="A38:B38"/>
    <mergeCell ref="C38:D38"/>
    <mergeCell ref="A40:B40"/>
    <mergeCell ref="C40:D40"/>
    <mergeCell ref="C223:D223"/>
    <mergeCell ref="A245:B245"/>
    <mergeCell ref="C245:D245"/>
    <mergeCell ref="A246:B246"/>
    <mergeCell ref="C246:D246"/>
    <mergeCell ref="A248:B248"/>
    <mergeCell ref="C248:D248"/>
    <mergeCell ref="A94:B94"/>
    <mergeCell ref="C94:D94"/>
    <mergeCell ref="E250:L250"/>
    <mergeCell ref="A249:B249"/>
    <mergeCell ref="C249:D249"/>
    <mergeCell ref="A222:B222"/>
    <mergeCell ref="C222:D222"/>
    <mergeCell ref="A247:B247"/>
    <mergeCell ref="C247:D247"/>
    <mergeCell ref="A223:B223"/>
    <mergeCell ref="C153:D153"/>
    <mergeCell ref="A155:B155"/>
    <mergeCell ref="C155:D155"/>
    <mergeCell ref="A156:B156"/>
    <mergeCell ref="C156:D156"/>
    <mergeCell ref="A92:B92"/>
    <mergeCell ref="C113:D113"/>
    <mergeCell ref="A153:B153"/>
    <mergeCell ref="A154:B154"/>
    <mergeCell ref="C154:D154"/>
    <mergeCell ref="C175:D175"/>
    <mergeCell ref="A176:B176"/>
    <mergeCell ref="A218:B218"/>
    <mergeCell ref="C218:D218"/>
    <mergeCell ref="A220:B220"/>
    <mergeCell ref="A216:B216"/>
    <mergeCell ref="C216:D216"/>
    <mergeCell ref="A198:B198"/>
    <mergeCell ref="C198:D198"/>
    <mergeCell ref="A196:B196"/>
    <mergeCell ref="C220:D220"/>
    <mergeCell ref="A197:B197"/>
    <mergeCell ref="C196:D196"/>
    <mergeCell ref="A133:B135"/>
    <mergeCell ref="C133:D135"/>
    <mergeCell ref="A219:B219"/>
    <mergeCell ref="C219:D219"/>
    <mergeCell ref="A195:B195"/>
    <mergeCell ref="C195:D195"/>
    <mergeCell ref="A175:B175"/>
  </mergeCells>
  <printOptions horizontalCentered="1"/>
  <pageMargins left="0.19685039370078741" right="0.15748031496062992" top="0.47244094488188981" bottom="0.15748031496062992" header="0.47244094488188981" footer="0.15748031496062992"/>
  <pageSetup paperSize="9" scale="20" fitToHeight="2" orientation="landscape"/>
  <headerFooter alignWithMargins="0">
    <oddHeader>&amp;L&amp;G</oddHeader>
  </headerFooter>
  <ignoredErrors>
    <ignoredError sqref="C224:C225 C253 C46" formula="1"/>
    <ignoredError sqref="A112:D112 B111 D111 B114:C114 D114 D110 B110 A110 C110" numberStoredAsText="1"/>
  </ignoredErrors>
  <drawing r:id="rId1"/>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o" ma:contentTypeID="0x010100ED200C6C5585014EA355E4441A780B35" ma:contentTypeVersion="3" ma:contentTypeDescription="Criar um novo documento." ma:contentTypeScope="" ma:versionID="c516344e9028f71b284889b77c102610">
  <xsd:schema xmlns:xsd="http://www.w3.org/2001/XMLSchema" xmlns:xs="http://www.w3.org/2001/XMLSchema" xmlns:p="http://schemas.microsoft.com/office/2006/metadata/properties" xmlns:ns2="23bc334f-0e17-402a-872b-0123af4c73a8" xmlns:ns3="0765058e-95b3-4ff3-80c4-5ff3bc59ec36" targetNamespace="http://schemas.microsoft.com/office/2006/metadata/properties" ma:root="true" ma:fieldsID="7342fd8f7c4e3e8e9f5369c949b67c8d" ns2:_="" ns3:_="">
    <xsd:import namespace="23bc334f-0e17-402a-872b-0123af4c73a8"/>
    <xsd:import namespace="0765058e-95b3-4ff3-80c4-5ff3bc59ec36"/>
    <xsd:element name="properties">
      <xsd:complexType>
        <xsd:sequence>
          <xsd:element name="documentManagement">
            <xsd:complexType>
              <xsd:all>
                <xsd:element ref="ns2:Ano"/>
                <xsd:element ref="ns2:Mes"/>
                <xsd:element ref="ns3:Ordem"/>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bc334f-0e17-402a-872b-0123af4c73a8" elementFormDefault="qualified">
    <xsd:import namespace="http://schemas.microsoft.com/office/2006/documentManagement/types"/>
    <xsd:import namespace="http://schemas.microsoft.com/office/infopath/2007/PartnerControls"/>
    <xsd:element name="Ano" ma:index="8" ma:displayName="Ano" ma:list="{966f2760-667a-45cb-8ed1-c972f4e2f9db}" ma:internalName="Ano" ma:showField="Title" ma:web="23bc334f-0e17-402a-872b-0123af4c73a8">
      <xsd:simpleType>
        <xsd:restriction base="dms:Lookup"/>
      </xsd:simpleType>
    </xsd:element>
    <xsd:element name="Mes" ma:index="9" ma:displayName="Mes" ma:list="{eace2fa2-25a5-411e-924e-acb9b055deb3}" ma:internalName="Mes" ma:showField="Title" ma:web="23bc334f-0e17-402a-872b-0123af4c73a8">
      <xsd:simpleType>
        <xsd:restriction base="dms:Lookup"/>
      </xsd:simpleType>
    </xsd:element>
    <xsd:element name="_dlc_DocId" ma:index="11" nillable="true" ma:displayName="Valor do ID do Documento" ma:description="O valor do ID do documento atribuído a este item." ma:internalName="_dlc_DocId" ma:readOnly="true">
      <xsd:simpleType>
        <xsd:restriction base="dms:Text"/>
      </xsd:simpleType>
    </xsd:element>
    <xsd:element name="_dlc_DocIdUrl" ma:index="12" nillable="true" ma:displayName="ID do Documento" ma:description="Ligaçã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3"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0765058e-95b3-4ff3-80c4-5ff3bc59ec36" elementFormDefault="qualified">
    <xsd:import namespace="http://schemas.microsoft.com/office/2006/documentManagement/types"/>
    <xsd:import namespace="http://schemas.microsoft.com/office/infopath/2007/PartnerControls"/>
    <xsd:element name="Ordem" ma:index="10" ma:displayName="Ordem" ma:internalName="Ordem">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XMLData TextToDisplay="RightsWATCHMark">1|DGO-Geral-Público|{00000000-0000-0000-0000-000000000000}</XMLData>
</file>

<file path=customXml/item5.xml><?xml version="1.0" encoding="utf-8"?>
<LongProperties xmlns="http://schemas.microsoft.com/office/2006/metadata/longProperties"/>
</file>

<file path=customXml/itemProps1.xml><?xml version="1.0" encoding="utf-8"?>
<ds:datastoreItem xmlns:ds="http://schemas.openxmlformats.org/officeDocument/2006/customXml" ds:itemID="{20286D2C-7B18-4B65-AB3E-417CB9FBB3EA}">
  <ds:schemaRefs>
    <ds:schemaRef ds:uri="http://schemas.microsoft.com/sharepoint/v3/contenttype/forms"/>
  </ds:schemaRefs>
</ds:datastoreItem>
</file>

<file path=customXml/itemProps2.xml><?xml version="1.0" encoding="utf-8"?>
<ds:datastoreItem xmlns:ds="http://schemas.openxmlformats.org/officeDocument/2006/customXml" ds:itemID="{DBB8EE37-EF7A-4437-B3C6-FCC515A27D8F}">
  <ds:schemaRefs>
    <ds:schemaRef ds:uri="http://schemas.microsoft.com/sharepoint/events"/>
  </ds:schemaRefs>
</ds:datastoreItem>
</file>

<file path=customXml/itemProps3.xml><?xml version="1.0" encoding="utf-8"?>
<ds:datastoreItem xmlns:ds="http://schemas.openxmlformats.org/officeDocument/2006/customXml" ds:itemID="{40B214AB-9F99-46FE-9CB4-46CB2F6D5B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bc334f-0e17-402a-872b-0123af4c73a8"/>
    <ds:schemaRef ds:uri="0765058e-95b3-4ff3-80c4-5ff3bc59ec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B3C8FCA-E99D-48D7-8DC0-AE1DA10BF47E}">
  <ds:schemaRefs/>
</ds:datastoreItem>
</file>

<file path=customXml/itemProps5.xml><?xml version="1.0" encoding="utf-8"?>
<ds:datastoreItem xmlns:ds="http://schemas.openxmlformats.org/officeDocument/2006/customXml" ds:itemID="{DB960FDE-25C6-4E6C-8CB8-A9DDC93105EA}">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Capa EN</vt:lpstr>
      <vt:lpstr>Indice_index</vt:lpstr>
      <vt:lpstr>Evolução</vt:lpstr>
      <vt:lpstr>Estado - Receita</vt:lpstr>
      <vt:lpstr>Estado - Funcional</vt:lpstr>
      <vt:lpstr>Estado - orgânica</vt:lpstr>
      <vt:lpstr>SFA - Funcional</vt:lpstr>
      <vt:lpstr>SFA - orgânica</vt:lpstr>
      <vt:lpstr>MetaInfo Metadata</vt:lpstr>
      <vt:lpstr>'Capa EN'!Print_Area</vt:lpstr>
      <vt:lpstr>'Estado - Funcional'!Print_Area</vt:lpstr>
      <vt:lpstr>'Estado - orgânica'!Print_Area</vt:lpstr>
      <vt:lpstr>'Estado - Receita'!Print_Area</vt:lpstr>
      <vt:lpstr>Evolução!Print_Area</vt:lpstr>
      <vt:lpstr>Indice_index!Print_Area</vt:lpstr>
      <vt:lpstr>'MetaInfo Metadata'!Print_Area</vt:lpstr>
      <vt:lpstr>'SFA - Funcional'!Print_Area</vt:lpstr>
      <vt:lpstr>'SFA - orgânica'!Print_Area</vt:lpstr>
      <vt:lpstr>'Estado - orgânica'!Print_Titles</vt:lpstr>
      <vt:lpstr>'MetaInfo Metadata'!Print_Titles</vt:lpstr>
      <vt:lpstr>'SFA - orgânica'!Print_Titles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Síntese da Execução Orçamental de setembro de 2018 - Informação Estatística complementar (english version)</dc:title>
  <dc:creator>Sílvia Pinto</dc:creator>
  <cp:lastModifiedBy>Microsoft Office User</cp:lastModifiedBy>
  <cp:lastPrinted>2017-11-21T11:09:14Z</cp:lastPrinted>
  <dcterms:created xsi:type="dcterms:W3CDTF">2013-02-25T12:28:11Z</dcterms:created>
  <dcterms:modified xsi:type="dcterms:W3CDTF">2018-11-14T08:39:28Z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1|DGO-Geral-Público|{00000000-0000-0000-0000-000000000000}</vt:lpwstr>
  </property>
  <property fmtid="{D5CDD505-2E9C-101B-9397-08002B2CF9AE}" pid="3" name="Ano">
    <vt:lpwstr>61</vt:lpwstr>
  </property>
  <property fmtid="{D5CDD505-2E9C-101B-9397-08002B2CF9AE}" pid="4" name="Ordem">
    <vt:lpwstr>8.00000000000000</vt:lpwstr>
  </property>
  <property fmtid="{D5CDD505-2E9C-101B-9397-08002B2CF9AE}" pid="5" name="Mes">
    <vt:lpwstr>10</vt:lpwstr>
  </property>
  <property fmtid="{D5CDD505-2E9C-101B-9397-08002B2CF9AE}" pid="6" name="_dlc_DocId">
    <vt:lpwstr>X4XX2SRTQWXX-37-1286</vt:lpwstr>
  </property>
  <property fmtid="{D5CDD505-2E9C-101B-9397-08002B2CF9AE}" pid="7" name="_dlc_DocIdItemGuid">
    <vt:lpwstr>9c8d2013-4502-4f89-b5eb-fef11f34ec75</vt:lpwstr>
  </property>
  <property fmtid="{D5CDD505-2E9C-101B-9397-08002B2CF9AE}" pid="8" name="_dlc_DocIdUrl">
    <vt:lpwstr>https://extranet.dgo.pt/execucaoorcamental/_layouts/DocIdRedir.aspx?ID=X4XX2SRTQWXX-37-1286, X4XX2SRTQWXX-37-1286</vt:lpwstr>
  </property>
</Properties>
</file>